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0" windowWidth="16380" windowHeight="8190" tabRatio="477" activeTab="1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5.'!$A$6:$IU$8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comments2.xml><?xml version="1.0" encoding="utf-8"?>
<comments xmlns="http://schemas.openxmlformats.org/spreadsheetml/2006/main">
  <authors>
    <author>Чепелюк Денис Александрович</author>
  </authors>
  <commentList>
    <comment ref="H23" authorId="0">
      <text>
        <r>
          <rPr>
            <b/>
            <sz val="9"/>
            <rFont val="Tahoma"/>
            <family val="2"/>
          </rPr>
          <t>Или 63 690 тыс.руб.?</t>
        </r>
      </text>
    </comment>
  </commentList>
</comments>
</file>

<file path=xl/sharedStrings.xml><?xml version="1.0" encoding="utf-8"?>
<sst xmlns="http://schemas.openxmlformats.org/spreadsheetml/2006/main" count="856" uniqueCount="474">
  <si>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</si>
  <si>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</si>
  <si>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</si>
  <si>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</si>
  <si>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</si>
  <si>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</si>
  <si>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>Министерство транспорта и дорожного строительства Камчатского края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</si>
  <si>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</si>
  <si>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</si>
  <si>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</si>
  <si>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</si>
  <si>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</si>
  <si>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</si>
  <si>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</si>
  <si>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</si>
  <si>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</si>
  <si>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</si>
  <si>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</si>
  <si>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</si>
  <si>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</si>
  <si>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</si>
  <si>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</si>
  <si>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</si>
  <si>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</si>
  <si>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</si>
  <si>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</si>
  <si>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</si>
  <si>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</si>
  <si>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</si>
  <si>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</si>
  <si>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683032,  г.Петропавловск-Камчатский,  ул.Пограничная, 14А</t>
  </si>
  <si>
    <t>Почтовый адрес</t>
  </si>
  <si>
    <t>97862622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</si>
  <si>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</si>
  <si>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</si>
  <si>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</si>
  <si>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</si>
  <si>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</si>
  <si>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</si>
  <si>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</si>
  <si>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</si>
  <si>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</si>
  <si>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</si>
  <si>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</si>
  <si>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</si>
  <si>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</si>
  <si>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</si>
  <si>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</si>
  <si>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</si>
  <si>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</si>
  <si>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</si>
  <si>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</si>
  <si>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</si>
  <si>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</si>
  <si>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</si>
  <si>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</si>
  <si>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</si>
  <si>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</si>
  <si>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</si>
  <si>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</si>
  <si>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</si>
  <si>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</si>
  <si>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</si>
  <si>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</si>
  <si>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</si>
  <si>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</si>
  <si>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</si>
  <si>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</si>
  <si>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</si>
  <si>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</si>
  <si>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</si>
  <si>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</si>
  <si>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</si>
  <si>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</si>
  <si>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</si>
  <si>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</si>
  <si>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</si>
  <si>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</si>
  <si>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</si>
  <si>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</si>
  <si>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</si>
  <si>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</si>
  <si>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</si>
  <si>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</si>
  <si>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</si>
  <si>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</si>
  <si>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</si>
  <si>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</si>
  <si>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</si>
  <si>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</si>
  <si>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</si>
  <si>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</si>
  <si>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</si>
  <si>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</si>
  <si>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</si>
  <si>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</si>
  <si>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</si>
  <si>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</si>
  <si>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</si>
  <si>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</si>
  <si>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</si>
  <si>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</si>
  <si>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</si>
  <si>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</si>
  <si>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</si>
  <si>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</si>
  <si>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</si>
  <si>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</si>
  <si>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</si>
  <si>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</si>
  <si>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</si>
  <si>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</si>
  <si>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</si>
  <si>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</si>
  <si>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</si>
  <si>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</si>
  <si>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</si>
  <si>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</si>
  <si>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</si>
  <si>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</si>
  <si>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</si>
  <si>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</si>
  <si>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</si>
  <si>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</si>
  <si>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</si>
  <si>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</si>
  <si>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</si>
  <si>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</si>
  <si>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</si>
  <si>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</si>
  <si>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</si>
  <si>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</si>
  <si>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</si>
  <si>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</si>
  <si>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</si>
  <si>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</si>
  <si>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</si>
  <si>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</si>
  <si>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</si>
  <si>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</si>
  <si>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</si>
  <si>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</si>
  <si>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</si>
  <si>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</si>
  <si>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</si>
  <si>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</si>
  <si>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</si>
  <si>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</si>
  <si>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</si>
  <si>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</si>
  <si>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</si>
  <si>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</si>
  <si>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</si>
  <si>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</si>
  <si>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</si>
  <si>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</si>
  <si>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</si>
  <si>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</si>
  <si>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</si>
  <si>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</si>
  <si>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</si>
  <si>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</si>
  <si>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</si>
  <si>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</si>
  <si>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</si>
  <si>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</si>
  <si>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</si>
  <si>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</si>
  <si>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</si>
  <si>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</si>
  <si>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</si>
  <si>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</si>
  <si>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</si>
  <si>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</si>
  <si>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</si>
  <si>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</si>
  <si>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</si>
  <si>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</si>
  <si>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</si>
  <si>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</si>
  <si>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</si>
  <si>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</si>
  <si>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</si>
  <si>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</si>
  <si>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</si>
  <si>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</si>
  <si>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</si>
  <si>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</si>
  <si>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</si>
  <si>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</si>
  <si>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</si>
  <si>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</si>
  <si>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</si>
  <si>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</si>
  <si>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</si>
  <si>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</si>
  <si>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</si>
  <si>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</si>
  <si>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</si>
  <si>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</si>
  <si>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</si>
  <si>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</si>
  <si>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</si>
  <si>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</si>
  <si>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</si>
  <si>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</si>
  <si>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</si>
  <si>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</si>
  <si>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</si>
  <si>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</si>
  <si>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</si>
  <si>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</si>
  <si>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</si>
  <si>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</si>
  <si>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</si>
  <si>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</si>
  <si>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</si>
  <si>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</si>
  <si>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</si>
  <si>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</si>
  <si>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</si>
  <si>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</si>
  <si>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</si>
  <si>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</si>
  <si>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</si>
  <si>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</si>
  <si>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</si>
  <si>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</si>
  <si>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</si>
  <si>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</si>
  <si>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</si>
  <si>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</si>
  <si>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</si>
  <si>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</si>
  <si>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</si>
  <si>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</si>
  <si>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</si>
  <si>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</si>
  <si>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</si>
  <si>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</si>
  <si>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</si>
  <si>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</si>
  <si>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</si>
  <si>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</si>
  <si>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</si>
  <si>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</si>
  <si>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</si>
  <si>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</si>
  <si>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</si>
  <si>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</si>
  <si>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</si>
  <si>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</si>
  <si>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</si>
  <si>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</si>
  <si>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</si>
  <si>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</si>
  <si>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</si>
  <si>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</si>
  <si>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</si>
  <si>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</si>
  <si>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</si>
  <si>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</si>
  <si>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</si>
  <si>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</si>
  <si>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</si>
  <si>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</si>
  <si>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</si>
  <si>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</si>
  <si>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</si>
  <si>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</si>
  <si>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</si>
  <si>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</si>
  <si>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</si>
  <si>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</si>
  <si>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</si>
  <si>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</si>
  <si>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</si>
  <si>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</si>
  <si>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</si>
  <si>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</si>
  <si>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</si>
  <si>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</si>
  <si>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</si>
  <si>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</si>
  <si>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</si>
  <si>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</si>
  <si>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</si>
  <si>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</si>
  <si>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</si>
  <si>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</si>
  <si>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</si>
  <si>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</si>
  <si>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</si>
  <si>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</si>
  <si>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</si>
  <si>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</si>
  <si>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</si>
  <si>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</si>
  <si>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</si>
  <si>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</si>
  <si>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</si>
  <si>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</si>
  <si>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</si>
  <si>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</si>
  <si>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</si>
  <si>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</si>
  <si>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</si>
  <si>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</si>
  <si>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</si>
  <si>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</si>
  <si>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</si>
  <si>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</si>
  <si>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</si>
  <si>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</si>
  <si>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</si>
  <si>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</si>
  <si>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</si>
  <si>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</si>
  <si>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</si>
  <si>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</si>
  <si>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</si>
  <si>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</si>
  <si>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</si>
  <si>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</si>
  <si>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</si>
  <si>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</si>
  <si>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</si>
  <si>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</si>
  <si>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</si>
  <si>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</si>
  <si>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</si>
  <si>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</si>
  <si>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</si>
  <si>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</si>
  <si>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</si>
  <si>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</si>
  <si>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</si>
  <si>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</si>
  <si>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</si>
  <si>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</si>
  <si>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</si>
  <si>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</si>
  <si>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</si>
  <si>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</si>
  <si>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</si>
  <si>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</si>
  <si>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</si>
  <si>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</si>
  <si>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</si>
  <si>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</si>
  <si>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</si>
  <si>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</si>
  <si>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</si>
  <si>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</si>
  <si>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</si>
  <si>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</si>
  <si>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</si>
  <si>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</si>
  <si>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</si>
  <si>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</si>
  <si>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</si>
  <si>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</si>
  <si>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</si>
  <si>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</si>
  <si>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</si>
  <si>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</si>
  <si>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</si>
  <si>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</si>
  <si>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</si>
  <si>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</si>
  <si>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</si>
  <si>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</si>
  <si>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</si>
  <si>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</si>
  <si>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</si>
  <si>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</si>
  <si>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</si>
  <si>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</si>
  <si>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</si>
  <si>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</si>
  <si>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</si>
  <si>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</si>
  <si>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</si>
  <si>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Реконструкция автомобильной дороги "Садовое кольцо-подъезд к СНТ "БАМ" (проектные работы)</t>
  </si>
  <si>
    <t>Строительство автозимника продленного действия Анавгай-Палана на участке км 17 - км 33 (проектные работы)</t>
  </si>
  <si>
    <t>Реконструкция автомобильной дороги Петропавловск-Камчатский-Мильково на участке км 171 - км 181 (проектные работы)</t>
  </si>
  <si>
    <t>из строки 132 - трубопроводы высокого давления</t>
  </si>
  <si>
    <t>133</t>
  </si>
  <si>
    <t>Строительство автозимника продленного действия Анавгай-Палана на участке км 0 - км 16 (проектные работы)</t>
  </si>
  <si>
    <t>Реконструкция автомобильной дороги Петропавловск-Камчатский-Мильково на участке км 220 - км 230 (проектные работы)</t>
  </si>
  <si>
    <t>Реконструкция автомобильной дороги Петропавловск-Камчатский-Мильково на участке км 208 - км 219 (проектные работы)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</si>
  <si>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</si>
  <si>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</si>
  <si>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Реконструкция автомобильной дороги Петропавловск-Камчатский-Мильково на участке км 12 - км 17 (проектные работы)</t>
  </si>
  <si>
    <t>Реконструкция автомобильной дороги Петропавловск-Камчатский-Мильково на участке строительства западного обхода г.Елизово км 27 - км 30 с подъездом к аэропорту (проектные работы)</t>
  </si>
  <si>
    <t>0,43/48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</si>
  <si>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</si>
  <si>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</si>
  <si>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Реконструкция автомобильной дороги Елизово - Паратунка на участке мостового перехода через реку Половинка  ООО «Альбатрос-Сервис»</t>
  </si>
  <si>
    <t>2,63</t>
  </si>
  <si>
    <t>Магистраль общегородского значения от  II кольца, включая ул.Ломоносова в г.Петропавловске-Камчатском, СДРС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</si>
  <si>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</si>
  <si>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</si>
  <si>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15,859/79,67</t>
  </si>
  <si>
    <t>Строительство автозимника продленного действия Анавгай-Палана на участке км 0 - км 16</t>
  </si>
  <si>
    <t>13,153/49,07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</si>
  <si>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</si>
  <si>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</si>
  <si>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Строительство автозимника продлённого действия Анавгай - Палана на участке км 230 - км 240  ГУП КК ДРСУ</t>
  </si>
  <si>
    <t>11,188</t>
  </si>
  <si>
    <t>Строительство линии наружного освещения на участке автомобильной дороги Петропавловск-Камчатский-Мильково км 12 - км 24</t>
  </si>
  <si>
    <t>Количество дорожных светофорных объектов, введенных в эксплуатацию после капитального ремонта и ремонта</t>
  </si>
  <si>
    <t>138</t>
  </si>
  <si>
    <t>11,995/0</t>
  </si>
  <si>
    <t>Реконструкция автомобильной дороги Петропавловск-Камчатский-Мильково на участке км 220 - км 230</t>
  </si>
  <si>
    <t>10,983/76,250</t>
  </si>
  <si>
    <t>Протяженность велосипедных дорожек, введенных в эксплуатацию после капитального ремонта 
и ремонта</t>
  </si>
  <si>
    <t>139</t>
  </si>
  <si>
    <t>Реконструкция автомобильной дороги Петропавловск-Камчатский-Мильково на участке км 208 - км 219</t>
  </si>
  <si>
    <t>2018</t>
  </si>
  <si>
    <t>10,974/0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</si>
  <si>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</si>
  <si>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</si>
  <si>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Реконструкция автомобильной дороги Петропавловск-Камчатский-Мильково на участке км 171 - км 181</t>
  </si>
  <si>
    <t>18,0128/146,38</t>
  </si>
  <si>
    <t>Реконструкция автомобильной дороги Петропавловск-Камчатский-Мильково на участке км 231 - км 249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</si>
  <si>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</si>
  <si>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</si>
  <si>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18,12/63,30</t>
  </si>
  <si>
    <t>Реконструкция автомомбильной дороги Петропавловск-Камчатский - Мильково на участке км 152 - км 170  ООО "Устой-М"</t>
  </si>
  <si>
    <t>2016</t>
  </si>
  <si>
    <t>из строки 141 - оборудовано автоматическими шлагбаумами</t>
  </si>
  <si>
    <t>142</t>
  </si>
  <si>
    <t>6,06/28,15</t>
  </si>
  <si>
    <t>Реконструкция автомобильной дороги Петропавловск-Камчатский - Мильково на участке км 106 - км 112  ООО "Устой-М"</t>
  </si>
  <si>
    <t>2017</t>
  </si>
  <si>
    <t>из строки 141 - оборудовано заградительными устройствами</t>
  </si>
  <si>
    <t>143</t>
  </si>
  <si>
    <t>2,2/128,9</t>
  </si>
  <si>
    <t>км/п.м.</t>
  </si>
  <si>
    <t xml:space="preserve">Строительство мостового перехода через реку Кирганик на 16 км автомобильной дороги Мильково- Ключи - Усть-Камчатск 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</si>
  <si>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</si>
  <si>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</si>
  <si>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</si>
  <si>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</si>
  <si>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</si>
  <si>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</si>
  <si>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</si>
  <si>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</si>
  <si>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</si>
  <si>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</si>
  <si>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</si>
  <si>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</si>
  <si>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</si>
  <si>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</si>
  <si>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2,633</t>
  </si>
  <si>
    <t>18,12</t>
  </si>
  <si>
    <t>13,153</t>
  </si>
  <si>
    <t>Декабрь</t>
  </si>
  <si>
    <t>0</t>
  </si>
  <si>
    <t>6,06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</si>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</sst>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_-* #,##0.00_р_._-;\-* #,##0.00_р_._-;_-* \-??_р_._-;_-@_-"/>
    <numFmt numFmtId="173" formatCode="#,##0.0"/>
    <numFmt numFmtId="174" formatCode="#,##0.0_ ;\-#,##0.0\ "/>
    <numFmt numFmtId="175" formatCode="0.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_₽_-;\-* #,##0\ _₽_-;_-* &quot;-&quot;\ _₽_-;_-@_-"/>
    <numFmt numFmtId="181" formatCode="_-* #,##0\ &quot;₽&quot;_-;\-* #,##0\ &quot;₽&quot;_-;_-* &quot;-&quot;\ &quot;₽&quot;_-;_-@_-"/>
    <numFmt numFmtId="182" formatCode="_-* #,##0.00\ _₽_-;\-* #,##0.00\ _₽_-;_-* &quot;-&quot;??\ _₽_-;_-@_-"/>
    <numFmt numFmtId="183" formatCode="_-* #,##0.00\ &quot;₽&quot;_-;\-* #,##0.00\ &quot;₽&quot;_-;_-* &quot;-&quot;??\ &quot;₽&quot;_-;_-@_-"/>
    <numFmt numFmtId="184" formatCode="#,##0.000"/>
  </numFmts>
  <fonts count="53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2"/>
    </font>
    <font>
      <sz val="14"/>
      <color indexed="42"/>
      <name val="Times New Roman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3" fontId="7" fillId="0" borderId="0" applyFill="0" applyBorder="0" applyAlignment="0" applyProtection="0"/>
    <xf numFmtId="181" fontId="7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9" fillId="0" borderId="9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182" fontId="7" fillId="0" borderId="0" applyFill="0" applyBorder="0" applyAlignment="0" applyProtection="0"/>
    <xf numFmtId="180" fontId="7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173" fontId="1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175" fontId="1" fillId="0" borderId="17" xfId="59" applyNumberFormat="1" applyFont="1" applyFill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173" fontId="5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5" xfId="0" applyNumberFormat="1" applyFont="1" applyBorder="1" applyAlignment="1">
      <alignment horizontal="right" vertical="center"/>
    </xf>
    <xf numFmtId="173" fontId="1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right" vertical="center"/>
    </xf>
    <xf numFmtId="175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49" fontId="1" fillId="0" borderId="17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wrapText="1"/>
    </xf>
    <xf numFmtId="173" fontId="5" fillId="0" borderId="17" xfId="0" applyNumberFormat="1" applyFont="1" applyFill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5" fontId="2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49" fontId="1" fillId="0" borderId="17" xfId="59" applyNumberFormat="1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175" fontId="1" fillId="0" borderId="17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173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173" fontId="2" fillId="0" borderId="0" xfId="0" applyNumberFormat="1" applyFont="1" applyFill="1" applyAlignment="1">
      <alignment vertical="center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34" borderId="0" xfId="0" applyFont="1" applyFill="1" applyAlignment="1">
      <alignment/>
    </xf>
    <xf numFmtId="0" fontId="2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7" xfId="59" applyFont="1" applyFill="1" applyBorder="1" applyAlignment="1">
      <alignment wrapText="1"/>
      <protection/>
    </xf>
    <xf numFmtId="0" fontId="1" fillId="0" borderId="22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25" xfId="0" applyFont="1" applyBorder="1" applyAlignment="1">
      <alignment horizontal="left"/>
    </xf>
    <xf numFmtId="0" fontId="1" fillId="34" borderId="1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 indent="1"/>
    </xf>
    <xf numFmtId="1" fontId="1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175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33" borderId="28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75" fontId="1" fillId="0" borderId="0" xfId="0" applyNumberFormat="1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175" fontId="1" fillId="0" borderId="17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5" fillId="0" borderId="18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174" fontId="1" fillId="35" borderId="15" xfId="0" applyNumberFormat="1" applyFont="1" applyFill="1" applyBorder="1" applyAlignment="1">
      <alignment horizontal="right" vertical="center"/>
    </xf>
    <xf numFmtId="173" fontId="5" fillId="35" borderId="15" xfId="0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Раздел 5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">
      <selection activeCell="EX10" sqref="EA10:EX11"/>
    </sheetView>
  </sheetViews>
  <sheetFormatPr defaultColWidth="0.875" defaultRowHeight="12.75"/>
  <sheetData>
    <row r="1" spans="20:138" s="1" customFormat="1" ht="15" customHeight="1">
      <c r="T1" s="152" t="s">
        <v>0</v>
      </c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</row>
    <row r="2" s="1" customFormat="1" ht="7.5" customHeight="1"/>
    <row r="3" spans="20:138" s="1" customFormat="1" ht="15" customHeight="1">
      <c r="T3" s="153" t="s">
        <v>1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</row>
    <row r="4" s="1" customFormat="1" ht="12.75" customHeight="1"/>
    <row r="5" spans="15:143" s="1" customFormat="1" ht="54" customHeight="1">
      <c r="O5" s="112"/>
      <c r="P5" s="154" t="s">
        <v>2</v>
      </c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34"/>
    </row>
    <row r="6" s="1" customFormat="1" ht="12.75" customHeight="1"/>
    <row r="7" spans="20:138" s="1" customFormat="1" ht="15" customHeight="1">
      <c r="T7" s="153" t="s">
        <v>3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</row>
    <row r="8" spans="11:145" s="1" customFormat="1" ht="12.75" customHeight="1">
      <c r="K8" s="84"/>
      <c r="L8" s="19"/>
      <c r="M8" s="19"/>
      <c r="N8" s="19"/>
      <c r="O8" s="19"/>
      <c r="P8" s="19"/>
      <c r="Q8" s="19"/>
      <c r="R8" s="19"/>
      <c r="S8" s="19"/>
      <c r="T8" s="19"/>
      <c r="U8" s="19"/>
      <c r="EK8" s="19"/>
      <c r="EL8" s="19"/>
      <c r="EM8" s="19"/>
      <c r="EN8" s="19"/>
      <c r="EO8" s="84"/>
    </row>
    <row r="9" spans="29:129" s="1" customFormat="1" ht="40.5" customHeight="1">
      <c r="AC9" s="155" t="s">
        <v>4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</row>
    <row r="10" spans="29:129" s="1" customFormat="1" ht="11.25" customHeight="1">
      <c r="AC10" s="145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62" t="s">
        <v>5</v>
      </c>
      <c r="BW10" s="156" t="s">
        <v>473</v>
      </c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0"/>
      <c r="CJ10" s="157">
        <v>20</v>
      </c>
      <c r="CK10" s="157"/>
      <c r="CL10" s="157"/>
      <c r="CM10" s="158">
        <v>16</v>
      </c>
      <c r="CN10" s="158"/>
      <c r="CO10" s="158"/>
      <c r="CP10" s="101" t="s">
        <v>7</v>
      </c>
      <c r="CQ10" s="139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13"/>
    </row>
    <row r="11" spans="29:129" s="1" customFormat="1" ht="15" customHeight="1">
      <c r="AC11" s="137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59" t="s">
        <v>8</v>
      </c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21"/>
    </row>
    <row r="12" s="1" customFormat="1" ht="28.5" customHeight="1"/>
    <row r="13" spans="126:149" s="1" customFormat="1" ht="3" customHeight="1">
      <c r="DV13" s="160" t="s">
        <v>9</v>
      </c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</row>
    <row r="14" spans="1:149" s="1" customFormat="1" ht="15" customHeight="1">
      <c r="A14" s="161" t="s">
        <v>10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 t="s">
        <v>11</v>
      </c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R14" s="123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</row>
    <row r="15" spans="1:155" s="1" customFormat="1" ht="13.5" customHeight="1">
      <c r="A15" s="126"/>
      <c r="B15" s="162" t="s">
        <v>12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 t="s">
        <v>13</v>
      </c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P15" s="164" t="s">
        <v>14</v>
      </c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</row>
    <row r="16" spans="1:155" s="1" customFormat="1" ht="12" customHeight="1">
      <c r="A16" s="126"/>
      <c r="B16" s="9"/>
      <c r="C16" s="9"/>
      <c r="D16" s="165" t="s">
        <v>15</v>
      </c>
      <c r="E16" s="165"/>
      <c r="F16" s="166" t="s">
        <v>16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7" t="s">
        <v>17</v>
      </c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</row>
    <row r="17" spans="1:155" s="1" customFormat="1" ht="12" customHeight="1">
      <c r="A17" s="126"/>
      <c r="B17" s="58"/>
      <c r="C17" s="58"/>
      <c r="D17" s="58"/>
      <c r="E17" s="58"/>
      <c r="F17" s="168" t="s">
        <v>18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7" t="s">
        <v>19</v>
      </c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</row>
    <row r="18" spans="1:155" s="1" customFormat="1" ht="16.5" customHeight="1">
      <c r="A18" s="126"/>
      <c r="B18" s="96"/>
      <c r="C18" s="96"/>
      <c r="D18" s="98"/>
      <c r="E18" s="9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133"/>
      <c r="CG18" s="169" t="s">
        <v>20</v>
      </c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</row>
    <row r="19" spans="1:155" s="1" customFormat="1" ht="12" customHeight="1">
      <c r="A19" s="126"/>
      <c r="B19" s="168" t="s">
        <v>21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7" t="s">
        <v>22</v>
      </c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Q19" s="21"/>
      <c r="DR19" s="12"/>
      <c r="DS19" s="12"/>
      <c r="DT19" s="12"/>
      <c r="DU19" s="12"/>
      <c r="DV19" s="170" t="s">
        <v>23</v>
      </c>
      <c r="DW19" s="170"/>
      <c r="DX19" s="170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2" t="s">
        <v>24</v>
      </c>
      <c r="EL19" s="172"/>
      <c r="EM19" s="172"/>
      <c r="EN19" s="172"/>
      <c r="EO19" s="171"/>
      <c r="EP19" s="171"/>
      <c r="EQ19" s="171"/>
      <c r="ER19" s="171"/>
      <c r="ES19" s="171"/>
      <c r="EV19" s="12"/>
      <c r="EW19" s="12"/>
      <c r="EX19" s="12"/>
      <c r="EY19" s="12"/>
    </row>
    <row r="20" spans="1:155" s="1" customFormat="1" ht="12" customHeight="1">
      <c r="A20" s="126"/>
      <c r="B20" s="168" t="s">
        <v>25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7" t="s">
        <v>17</v>
      </c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Q20" s="21"/>
      <c r="DR20" s="21"/>
      <c r="DS20" s="21"/>
      <c r="DT20" s="21"/>
      <c r="DU20" s="21"/>
      <c r="DV20" s="170" t="s">
        <v>23</v>
      </c>
      <c r="DW20" s="170"/>
      <c r="DX20" s="170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2" t="s">
        <v>24</v>
      </c>
      <c r="EL20" s="172"/>
      <c r="EM20" s="172"/>
      <c r="EN20" s="172"/>
      <c r="EO20" s="173"/>
      <c r="EP20" s="173"/>
      <c r="EQ20" s="173"/>
      <c r="ER20" s="173"/>
      <c r="ES20" s="173"/>
      <c r="EW20" s="21"/>
      <c r="EX20" s="21"/>
      <c r="EY20" s="21"/>
    </row>
    <row r="21" spans="1:155" s="1" customFormat="1" ht="8.25" customHeight="1">
      <c r="A21" s="126"/>
      <c r="B21" s="94"/>
      <c r="C21" s="94"/>
      <c r="D21" s="165" t="s">
        <v>15</v>
      </c>
      <c r="E21" s="165"/>
      <c r="F21" s="166" t="s">
        <v>26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74" t="s">
        <v>27</v>
      </c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Q21" s="21"/>
      <c r="DR21" s="21"/>
      <c r="DS21" s="21"/>
      <c r="DT21" s="21"/>
      <c r="DU21" s="21"/>
      <c r="EW21" s="21"/>
      <c r="EX21" s="21"/>
      <c r="EY21" s="21"/>
    </row>
    <row r="22" spans="1:155" s="1" customFormat="1" ht="3.75" customHeight="1">
      <c r="A22" s="126"/>
      <c r="B22" s="94"/>
      <c r="C22" s="94"/>
      <c r="D22" s="165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Q22" s="21"/>
      <c r="DR22" s="21"/>
      <c r="DS22" s="21"/>
      <c r="DT22" s="21"/>
      <c r="DU22" s="175" t="s">
        <v>28</v>
      </c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W22" s="21"/>
      <c r="EX22" s="21"/>
      <c r="EY22" s="21"/>
    </row>
    <row r="23" spans="1:155" s="1" customFormat="1" ht="14.25" customHeight="1">
      <c r="A23" s="7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104"/>
      <c r="CG23" s="176" t="s">
        <v>20</v>
      </c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Q23" s="21"/>
      <c r="DR23" s="21"/>
      <c r="DS23" s="21"/>
      <c r="DT23" s="21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W23" s="21"/>
      <c r="EX23" s="21"/>
      <c r="EY23" s="21"/>
    </row>
    <row r="24" s="1" customFormat="1" ht="24" customHeight="1"/>
    <row r="25" spans="1:256" s="6" customFormat="1" ht="14.25" customHeight="1">
      <c r="A25" s="107"/>
      <c r="B25" s="177" t="s">
        <v>29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8" t="s">
        <v>6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74"/>
      <c r="EW25" s="74"/>
      <c r="EX25" s="74"/>
      <c r="EY25" s="114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" customFormat="1" ht="4.5" customHeight="1">
      <c r="A26" s="71"/>
      <c r="EY26" s="10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4.25" customHeight="1">
      <c r="A27" s="130"/>
      <c r="B27" s="177" t="s">
        <v>31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61"/>
      <c r="T27" s="179" t="s">
        <v>30</v>
      </c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61"/>
      <c r="EW27" s="61"/>
      <c r="EX27" s="61"/>
      <c r="EY27" s="119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3" customFormat="1" ht="4.5" customHeight="1">
      <c r="A28" s="7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EY28" s="11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21" customHeight="1">
      <c r="A29" s="180" t="s">
        <v>33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75" t="s">
        <v>34</v>
      </c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1" t="s">
        <v>35</v>
      </c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</row>
    <row r="31" spans="1:256" s="4" customFormat="1" ht="12.75">
      <c r="A31" s="183">
        <v>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>
        <v>2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>
        <v>3</v>
      </c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>
        <v>4</v>
      </c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2.75">
      <c r="A32" s="185" t="s">
        <v>36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6" t="s">
        <v>32</v>
      </c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BW10:CH10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2"/>
  <sheetViews>
    <sheetView tabSelected="1" view="pageBreakPreview" zoomScale="120" zoomScaleNormal="120" zoomScaleSheetLayoutView="120" zoomScalePageLayoutView="0" workbookViewId="0" topLeftCell="A1">
      <pane ySplit="8" topLeftCell="A21" activePane="bottomLeft" state="frozen"/>
      <selection pane="topLeft" activeCell="A1" sqref="A1:H3"/>
      <selection pane="bottomLeft" activeCell="H29" sqref="H29"/>
    </sheetView>
  </sheetViews>
  <sheetFormatPr defaultColWidth="11.625" defaultRowHeight="12.75"/>
  <cols>
    <col min="1" max="1" width="40.625" style="0" customWidth="1"/>
  </cols>
  <sheetData>
    <row r="1" spans="1:8" ht="14.25" customHeight="1">
      <c r="A1" s="187" t="s">
        <v>37</v>
      </c>
      <c r="B1" s="187"/>
      <c r="C1" s="187"/>
      <c r="D1" s="187"/>
      <c r="E1" s="187"/>
      <c r="F1" s="187"/>
      <c r="G1" s="187"/>
      <c r="H1" s="187"/>
    </row>
    <row r="2" spans="1:8" ht="12.75">
      <c r="A2" s="187"/>
      <c r="B2" s="187"/>
      <c r="C2" s="187"/>
      <c r="D2" s="187"/>
      <c r="E2" s="187"/>
      <c r="F2" s="187"/>
      <c r="G2" s="187"/>
      <c r="H2" s="187"/>
    </row>
    <row r="3" spans="1:8" ht="22.5" customHeight="1">
      <c r="A3" s="187"/>
      <c r="B3" s="187"/>
      <c r="C3" s="187"/>
      <c r="D3" s="187"/>
      <c r="E3" s="187"/>
      <c r="F3" s="187"/>
      <c r="G3" s="187"/>
      <c r="H3" s="187"/>
    </row>
    <row r="5" spans="4:8" ht="12.75">
      <c r="D5" s="188" t="s">
        <v>38</v>
      </c>
      <c r="E5" s="188"/>
      <c r="F5" s="188"/>
      <c r="G5" s="188"/>
      <c r="H5" s="188"/>
    </row>
    <row r="6" spans="1:8" ht="27" customHeight="1">
      <c r="A6" s="189" t="s">
        <v>39</v>
      </c>
      <c r="B6" s="189" t="s">
        <v>40</v>
      </c>
      <c r="C6" s="189" t="s">
        <v>41</v>
      </c>
      <c r="D6" s="189"/>
      <c r="E6" s="189"/>
      <c r="F6" s="189" t="s">
        <v>42</v>
      </c>
      <c r="G6" s="189"/>
      <c r="H6" s="189"/>
    </row>
    <row r="7" spans="1:8" ht="51">
      <c r="A7" s="189"/>
      <c r="B7" s="189"/>
      <c r="C7" s="38" t="s">
        <v>43</v>
      </c>
      <c r="D7" s="38" t="s">
        <v>44</v>
      </c>
      <c r="E7" s="38" t="s">
        <v>45</v>
      </c>
      <c r="F7" s="38" t="s">
        <v>43</v>
      </c>
      <c r="G7" s="38" t="s">
        <v>44</v>
      </c>
      <c r="H7" s="38" t="s">
        <v>45</v>
      </c>
    </row>
    <row r="8" spans="1:8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</row>
    <row r="9" spans="1:8" ht="25.5">
      <c r="A9" s="65" t="s">
        <v>46</v>
      </c>
      <c r="B9" s="38" t="s">
        <v>47</v>
      </c>
      <c r="C9" s="46"/>
      <c r="D9" s="46"/>
      <c r="E9" s="46"/>
      <c r="F9" s="34">
        <f>F11+F31+F32</f>
        <v>0</v>
      </c>
      <c r="G9" s="34">
        <f>G11+G31+G32</f>
        <v>5043790.182</v>
      </c>
      <c r="H9" s="34">
        <f>H11+H31+H32</f>
        <v>649111.377</v>
      </c>
    </row>
    <row r="10" spans="1:8" ht="12.75">
      <c r="A10" s="109" t="s">
        <v>48</v>
      </c>
      <c r="B10" s="46"/>
      <c r="C10" s="46"/>
      <c r="D10" s="46"/>
      <c r="E10" s="46"/>
      <c r="F10" s="46"/>
      <c r="G10" s="46"/>
      <c r="H10" s="46"/>
    </row>
    <row r="11" spans="1:8" ht="38.25">
      <c r="A11" s="65" t="s">
        <v>49</v>
      </c>
      <c r="B11" s="90" t="s">
        <v>50</v>
      </c>
      <c r="C11" s="46"/>
      <c r="D11" s="46"/>
      <c r="E11" s="46"/>
      <c r="F11" s="34">
        <f>F12+F13+F14+F15+F16+F17+F18+F19+F20+F21+F22+F23+F24+F25+F26+F27+F28+F29+F30</f>
        <v>0</v>
      </c>
      <c r="G11" s="34">
        <f>G12+G13+G14+G15+G16+G17+G18+G19+G20+G21+G22+G23+G24+G25+G26+G27+G28+G29+G30</f>
        <v>4089968.6820000005</v>
      </c>
      <c r="H11" s="34">
        <f>H12+H13+H14+H15+H16+H17+H18+H19+H20+H21+H22+H23+H24+H25+H26+H27+H28+H29+H30</f>
        <v>631340.218</v>
      </c>
    </row>
    <row r="12" spans="1:8" ht="89.25">
      <c r="A12" s="128" t="s">
        <v>51</v>
      </c>
      <c r="B12" s="135" t="s">
        <v>52</v>
      </c>
      <c r="C12" s="46"/>
      <c r="D12" s="46"/>
      <c r="E12" s="46"/>
      <c r="F12" s="67">
        <f aca="true" t="shared" si="0" ref="F12:F32">0</f>
        <v>0</v>
      </c>
      <c r="G12" s="67">
        <f>880205.355</f>
        <v>880205.355</v>
      </c>
      <c r="H12" s="67">
        <f>86539.894</f>
        <v>86539.894</v>
      </c>
    </row>
    <row r="13" spans="1:8" ht="12.75">
      <c r="A13" s="128" t="s">
        <v>53</v>
      </c>
      <c r="B13" s="135" t="s">
        <v>54</v>
      </c>
      <c r="C13" s="46"/>
      <c r="D13" s="46"/>
      <c r="E13" s="46"/>
      <c r="F13" s="67">
        <f t="shared" si="0"/>
        <v>0</v>
      </c>
      <c r="G13" s="67">
        <f>560555.563</f>
        <v>560555.563</v>
      </c>
      <c r="H13" s="67">
        <f>0</f>
        <v>0</v>
      </c>
    </row>
    <row r="14" spans="1:8" ht="38.25">
      <c r="A14" s="128" t="s">
        <v>55</v>
      </c>
      <c r="B14" s="135" t="s">
        <v>56</v>
      </c>
      <c r="C14" s="46"/>
      <c r="D14" s="46"/>
      <c r="E14" s="46"/>
      <c r="F14" s="67">
        <f t="shared" si="0"/>
        <v>0</v>
      </c>
      <c r="G14" s="67">
        <f>0</f>
        <v>0</v>
      </c>
      <c r="H14" s="67">
        <f>33989.364</f>
        <v>33989.364</v>
      </c>
    </row>
    <row r="15" spans="1:8" ht="38.25">
      <c r="A15" s="128" t="s">
        <v>57</v>
      </c>
      <c r="B15" s="135" t="s">
        <v>58</v>
      </c>
      <c r="C15" s="46"/>
      <c r="D15" s="46"/>
      <c r="E15" s="46"/>
      <c r="F15" s="67">
        <f t="shared" si="0"/>
        <v>0</v>
      </c>
      <c r="G15" s="67">
        <f aca="true" t="shared" si="1" ref="G15:H17">0</f>
        <v>0</v>
      </c>
      <c r="H15" s="67">
        <f t="shared" si="1"/>
        <v>0</v>
      </c>
    </row>
    <row r="16" spans="1:8" ht="38.25">
      <c r="A16" s="128" t="s">
        <v>59</v>
      </c>
      <c r="B16" s="135" t="s">
        <v>60</v>
      </c>
      <c r="C16" s="46"/>
      <c r="D16" s="46"/>
      <c r="E16" s="46"/>
      <c r="F16" s="67">
        <f t="shared" si="0"/>
        <v>0</v>
      </c>
      <c r="G16" s="67">
        <f t="shared" si="1"/>
        <v>0</v>
      </c>
      <c r="H16" s="67">
        <f t="shared" si="1"/>
        <v>0</v>
      </c>
    </row>
    <row r="17" spans="1:8" ht="63.75">
      <c r="A17" s="128" t="s">
        <v>61</v>
      </c>
      <c r="B17" s="135" t="s">
        <v>62</v>
      </c>
      <c r="C17" s="46"/>
      <c r="D17" s="46"/>
      <c r="E17" s="46"/>
      <c r="F17" s="67">
        <f t="shared" si="0"/>
        <v>0</v>
      </c>
      <c r="G17" s="67">
        <f t="shared" si="1"/>
        <v>0</v>
      </c>
      <c r="H17" s="67">
        <f t="shared" si="1"/>
        <v>0</v>
      </c>
    </row>
    <row r="18" spans="1:8" ht="63.75">
      <c r="A18" s="128" t="s">
        <v>63</v>
      </c>
      <c r="B18" s="135" t="s">
        <v>64</v>
      </c>
      <c r="C18" s="46"/>
      <c r="D18" s="46"/>
      <c r="E18" s="46"/>
      <c r="F18" s="67">
        <f t="shared" si="0"/>
        <v>0</v>
      </c>
      <c r="G18" s="67">
        <f>5689.7</f>
        <v>5689.7</v>
      </c>
      <c r="H18" s="67">
        <f>8.6</f>
        <v>8.6</v>
      </c>
    </row>
    <row r="19" spans="1:8" ht="63.75">
      <c r="A19" s="128" t="s">
        <v>65</v>
      </c>
      <c r="B19" s="135" t="s">
        <v>66</v>
      </c>
      <c r="C19" s="46"/>
      <c r="D19" s="46"/>
      <c r="E19" s="46"/>
      <c r="F19" s="67">
        <f t="shared" si="0"/>
        <v>0</v>
      </c>
      <c r="G19" s="67">
        <f aca="true" t="shared" si="2" ref="G19:H22">0</f>
        <v>0</v>
      </c>
      <c r="H19" s="67">
        <f t="shared" si="2"/>
        <v>0</v>
      </c>
    </row>
    <row r="20" spans="1:8" ht="51">
      <c r="A20" s="128" t="s">
        <v>67</v>
      </c>
      <c r="B20" s="135" t="s">
        <v>68</v>
      </c>
      <c r="C20" s="46"/>
      <c r="D20" s="46"/>
      <c r="E20" s="46"/>
      <c r="F20" s="67">
        <f t="shared" si="0"/>
        <v>0</v>
      </c>
      <c r="G20" s="67">
        <f t="shared" si="2"/>
        <v>0</v>
      </c>
      <c r="H20" s="67">
        <f t="shared" si="2"/>
        <v>0</v>
      </c>
    </row>
    <row r="21" spans="1:8" ht="51">
      <c r="A21" s="128" t="s">
        <v>69</v>
      </c>
      <c r="B21" s="135" t="s">
        <v>70</v>
      </c>
      <c r="C21" s="46"/>
      <c r="D21" s="46"/>
      <c r="E21" s="46"/>
      <c r="F21" s="67">
        <f t="shared" si="0"/>
        <v>0</v>
      </c>
      <c r="G21" s="67">
        <f t="shared" si="2"/>
        <v>0</v>
      </c>
      <c r="H21" s="67">
        <f t="shared" si="2"/>
        <v>0</v>
      </c>
    </row>
    <row r="22" spans="1:8" ht="89.25">
      <c r="A22" s="128" t="s">
        <v>71</v>
      </c>
      <c r="B22" s="135" t="s">
        <v>72</v>
      </c>
      <c r="C22" s="46"/>
      <c r="D22" s="46"/>
      <c r="E22" s="46"/>
      <c r="F22" s="67">
        <f t="shared" si="0"/>
        <v>0</v>
      </c>
      <c r="G22" s="67">
        <f t="shared" si="2"/>
        <v>0</v>
      </c>
      <c r="H22" s="67">
        <f t="shared" si="2"/>
        <v>0</v>
      </c>
    </row>
    <row r="23" spans="1:8" ht="63.75">
      <c r="A23" s="128" t="s">
        <v>73</v>
      </c>
      <c r="B23" s="135" t="s">
        <v>74</v>
      </c>
      <c r="C23" s="46"/>
      <c r="D23" s="46"/>
      <c r="E23" s="46"/>
      <c r="F23" s="67">
        <f t="shared" si="0"/>
        <v>0</v>
      </c>
      <c r="G23" s="67">
        <f>2642270.264</f>
        <v>2642270.264</v>
      </c>
      <c r="H23" s="213">
        <f>293741.36</f>
        <v>293741.36</v>
      </c>
    </row>
    <row r="24" spans="1:8" ht="76.5">
      <c r="A24" s="128" t="s">
        <v>75</v>
      </c>
      <c r="B24" s="135" t="s">
        <v>76</v>
      </c>
      <c r="C24" s="46"/>
      <c r="D24" s="46"/>
      <c r="E24" s="46"/>
      <c r="F24" s="67">
        <f t="shared" si="0"/>
        <v>0</v>
      </c>
      <c r="G24" s="67">
        <f>0</f>
        <v>0</v>
      </c>
      <c r="H24" s="67">
        <f>0</f>
        <v>0</v>
      </c>
    </row>
    <row r="25" spans="1:8" ht="140.25">
      <c r="A25" s="128" t="s">
        <v>77</v>
      </c>
      <c r="B25" s="135" t="s">
        <v>78</v>
      </c>
      <c r="C25" s="46"/>
      <c r="D25" s="46"/>
      <c r="E25" s="46"/>
      <c r="F25" s="67">
        <f t="shared" si="0"/>
        <v>0</v>
      </c>
      <c r="G25" s="67">
        <f>1075.1</f>
        <v>1075.1</v>
      </c>
      <c r="H25" s="67">
        <f>0</f>
        <v>0</v>
      </c>
    </row>
    <row r="26" spans="1:8" ht="127.5">
      <c r="A26" s="128" t="s">
        <v>79</v>
      </c>
      <c r="B26" s="135" t="s">
        <v>80</v>
      </c>
      <c r="C26" s="46"/>
      <c r="D26" s="46"/>
      <c r="E26" s="46"/>
      <c r="F26" s="67">
        <f t="shared" si="0"/>
        <v>0</v>
      </c>
      <c r="G26" s="67">
        <f aca="true" t="shared" si="3" ref="G26:H28">0</f>
        <v>0</v>
      </c>
      <c r="H26" s="67">
        <f t="shared" si="3"/>
        <v>0</v>
      </c>
    </row>
    <row r="27" spans="1:8" ht="102">
      <c r="A27" s="128" t="s">
        <v>81</v>
      </c>
      <c r="B27" s="135" t="s">
        <v>82</v>
      </c>
      <c r="C27" s="46"/>
      <c r="D27" s="46"/>
      <c r="E27" s="46"/>
      <c r="F27" s="67">
        <f t="shared" si="0"/>
        <v>0</v>
      </c>
      <c r="G27" s="67">
        <f t="shared" si="3"/>
        <v>0</v>
      </c>
      <c r="H27" s="67">
        <f t="shared" si="3"/>
        <v>0</v>
      </c>
    </row>
    <row r="28" spans="1:8" ht="76.5">
      <c r="A28" s="128" t="s">
        <v>83</v>
      </c>
      <c r="B28" s="135" t="s">
        <v>84</v>
      </c>
      <c r="C28" s="46"/>
      <c r="D28" s="46"/>
      <c r="E28" s="46"/>
      <c r="F28" s="67">
        <f t="shared" si="0"/>
        <v>0</v>
      </c>
      <c r="G28" s="67">
        <f t="shared" si="3"/>
        <v>0</v>
      </c>
      <c r="H28" s="67">
        <f t="shared" si="3"/>
        <v>0</v>
      </c>
    </row>
    <row r="29" spans="1:8" ht="12.75">
      <c r="A29" s="128" t="s">
        <v>85</v>
      </c>
      <c r="B29" s="135" t="s">
        <v>86</v>
      </c>
      <c r="C29" s="46"/>
      <c r="D29" s="46"/>
      <c r="E29" s="46"/>
      <c r="F29" s="67">
        <f t="shared" si="0"/>
        <v>0</v>
      </c>
      <c r="G29" s="67">
        <f>172.7</f>
        <v>172.7</v>
      </c>
      <c r="H29" s="213">
        <f>217061</f>
        <v>217061</v>
      </c>
    </row>
    <row r="30" spans="1:8" ht="25.5">
      <c r="A30" s="128" t="s">
        <v>87</v>
      </c>
      <c r="B30" s="135" t="s">
        <v>88</v>
      </c>
      <c r="C30" s="46"/>
      <c r="D30" s="46"/>
      <c r="E30" s="46"/>
      <c r="F30" s="67">
        <f t="shared" si="0"/>
        <v>0</v>
      </c>
      <c r="G30" s="67">
        <f>0</f>
        <v>0</v>
      </c>
      <c r="H30" s="67">
        <f>0</f>
        <v>0</v>
      </c>
    </row>
    <row r="31" spans="1:8" ht="25.5">
      <c r="A31" s="65" t="s">
        <v>89</v>
      </c>
      <c r="B31" s="90" t="s">
        <v>90</v>
      </c>
      <c r="C31" s="46"/>
      <c r="D31" s="46"/>
      <c r="E31" s="46"/>
      <c r="F31" s="34">
        <f t="shared" si="0"/>
        <v>0</v>
      </c>
      <c r="G31" s="34">
        <f>0</f>
        <v>0</v>
      </c>
      <c r="H31" s="34">
        <f>0</f>
        <v>0</v>
      </c>
    </row>
    <row r="32" spans="1:8" ht="38.25">
      <c r="A32" s="65" t="s">
        <v>91</v>
      </c>
      <c r="B32" s="90" t="s">
        <v>92</v>
      </c>
      <c r="C32" s="46"/>
      <c r="D32" s="46"/>
      <c r="E32" s="46"/>
      <c r="F32" s="34">
        <f t="shared" si="0"/>
        <v>0</v>
      </c>
      <c r="G32" s="34">
        <f>953821.5</f>
        <v>953821.5</v>
      </c>
      <c r="H32" s="214">
        <f>17771.159</f>
        <v>17771.159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300" verticalDpi="300" orientation="portrait" paperSize="9" scale="71" r:id="rId3"/>
  <headerFooter alignWithMargins="0">
    <oddFooter>&amp;C&amp;"Times New Roman,Обычный"&amp;12Подпись 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120" zoomScaleNormal="120" zoomScaleSheetLayoutView="120" zoomScalePageLayoutView="0" workbookViewId="0" topLeftCell="A37">
      <selection activeCell="E44" sqref="E44"/>
    </sheetView>
  </sheetViews>
  <sheetFormatPr defaultColWidth="9.00390625" defaultRowHeight="12.75"/>
  <cols>
    <col min="1" max="1" width="91.125" style="87" customWidth="1"/>
    <col min="2" max="2" width="8.625" style="87" customWidth="1"/>
    <col min="3" max="3" width="12.125" style="87" customWidth="1"/>
    <col min="4" max="4" width="17.00390625" style="87" customWidth="1"/>
    <col min="5" max="5" width="19.375" style="87" customWidth="1"/>
    <col min="6" max="6" width="13.125" style="87" customWidth="1"/>
    <col min="7" max="7" width="11.875" style="87" customWidth="1"/>
    <col min="8" max="16384" width="9.125" style="87" customWidth="1"/>
  </cols>
  <sheetData>
    <row r="1" spans="1:5" ht="121.5" customHeight="1">
      <c r="A1" s="190" t="s">
        <v>93</v>
      </c>
      <c r="B1" s="190"/>
      <c r="C1" s="190"/>
      <c r="D1" s="190"/>
      <c r="E1" s="190"/>
    </row>
    <row r="2" spans="1:5" ht="12.75">
      <c r="A2" s="191" t="s">
        <v>38</v>
      </c>
      <c r="B2" s="191"/>
      <c r="C2" s="191"/>
      <c r="D2" s="191"/>
      <c r="E2" s="191"/>
    </row>
    <row r="3" spans="1:5" s="28" customFormat="1" ht="60">
      <c r="A3" s="54" t="s">
        <v>39</v>
      </c>
      <c r="B3" s="54" t="s">
        <v>40</v>
      </c>
      <c r="C3" s="54" t="s">
        <v>94</v>
      </c>
      <c r="D3" s="54" t="s">
        <v>95</v>
      </c>
      <c r="E3" s="54" t="s">
        <v>96</v>
      </c>
    </row>
    <row r="4" spans="1:9" s="28" customFormat="1" ht="1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9"/>
      <c r="G4" s="59"/>
      <c r="H4" s="59"/>
      <c r="I4" s="59"/>
    </row>
    <row r="5" spans="1:9" s="89" customFormat="1" ht="14.25">
      <c r="A5" s="55" t="s">
        <v>97</v>
      </c>
      <c r="B5" s="55"/>
      <c r="C5" s="55"/>
      <c r="D5" s="55"/>
      <c r="E5" s="55"/>
      <c r="F5" s="75"/>
      <c r="G5" s="75"/>
      <c r="H5" s="75"/>
      <c r="I5" s="95"/>
    </row>
    <row r="6" spans="1:9" s="89" customFormat="1" ht="42.75">
      <c r="A6" s="124" t="s">
        <v>98</v>
      </c>
      <c r="B6" s="45" t="s">
        <v>47</v>
      </c>
      <c r="C6" s="66">
        <f>C7+C12+C32+C33+C41+C42+C43+C44+C45+C46</f>
        <v>0</v>
      </c>
      <c r="D6" s="147">
        <f>D7+D12+D32+D33+D37+D41+D42+D43+D44+D45+D46</f>
        <v>4869218.055000001</v>
      </c>
      <c r="E6" s="147">
        <f>E7+E12+E41+E42+E43+E44+E45+E46</f>
        <v>393293.82399999996</v>
      </c>
      <c r="F6" s="86"/>
      <c r="G6" s="86"/>
      <c r="H6" s="95"/>
      <c r="I6" s="95"/>
    </row>
    <row r="7" spans="1:5" s="28" customFormat="1" ht="43.5">
      <c r="A7" s="35" t="s">
        <v>99</v>
      </c>
      <c r="B7" s="45" t="s">
        <v>50</v>
      </c>
      <c r="C7" s="52">
        <f>C8+C9+C10+C11</f>
        <v>0</v>
      </c>
      <c r="D7" s="148">
        <f>D8+D9+D10+D11</f>
        <v>944438.8670000001</v>
      </c>
      <c r="E7" s="148">
        <f>E8+E9+E10+E11</f>
        <v>332028.97</v>
      </c>
    </row>
    <row r="8" spans="1:5" s="28" customFormat="1" ht="30">
      <c r="A8" s="35" t="s">
        <v>100</v>
      </c>
      <c r="B8" s="45" t="s">
        <v>52</v>
      </c>
      <c r="C8" s="52">
        <f>0</f>
        <v>0</v>
      </c>
      <c r="D8" s="148">
        <f>160.972</f>
        <v>160.972</v>
      </c>
      <c r="E8" s="148">
        <f>262056.81</f>
        <v>262056.81</v>
      </c>
    </row>
    <row r="9" spans="1:5" s="28" customFormat="1" ht="15">
      <c r="A9" s="35" t="s">
        <v>101</v>
      </c>
      <c r="B9" s="45" t="s">
        <v>54</v>
      </c>
      <c r="C9" s="52">
        <f>0</f>
        <v>0</v>
      </c>
      <c r="D9" s="148">
        <f>298355.676</f>
        <v>298355.676</v>
      </c>
      <c r="E9" s="148">
        <f>1447.1</f>
        <v>1447.1</v>
      </c>
    </row>
    <row r="10" spans="1:5" s="28" customFormat="1" ht="15">
      <c r="A10" s="35" t="s">
        <v>102</v>
      </c>
      <c r="B10" s="45" t="s">
        <v>56</v>
      </c>
      <c r="C10" s="52">
        <f>0</f>
        <v>0</v>
      </c>
      <c r="D10" s="148">
        <f>645922.219</f>
        <v>645922.219</v>
      </c>
      <c r="E10" s="148">
        <f>67961.16</f>
        <v>67961.16</v>
      </c>
    </row>
    <row r="11" spans="1:5" s="28" customFormat="1" ht="15">
      <c r="A11" s="35" t="s">
        <v>103</v>
      </c>
      <c r="B11" s="45" t="s">
        <v>58</v>
      </c>
      <c r="C11" s="52">
        <f>0</f>
        <v>0</v>
      </c>
      <c r="D11" s="148">
        <f>0</f>
        <v>0</v>
      </c>
      <c r="E11" s="148">
        <f>563.9</f>
        <v>563.9</v>
      </c>
    </row>
    <row r="12" spans="1:5" s="28" customFormat="1" ht="44.25">
      <c r="A12" s="35" t="s">
        <v>104</v>
      </c>
      <c r="B12" s="45" t="s">
        <v>60</v>
      </c>
      <c r="C12" s="52">
        <f>C13+C14+C31</f>
        <v>0</v>
      </c>
      <c r="D12" s="148">
        <f>D13+D14+D31</f>
        <v>3861089.193</v>
      </c>
      <c r="E12" s="148">
        <f>E13+E14+E31</f>
        <v>56021.653999999995</v>
      </c>
    </row>
    <row r="13" spans="1:7" s="28" customFormat="1" ht="48" customHeight="1">
      <c r="A13" s="35" t="s">
        <v>105</v>
      </c>
      <c r="B13" s="45" t="s">
        <v>62</v>
      </c>
      <c r="C13" s="52">
        <f>0</f>
        <v>0</v>
      </c>
      <c r="D13" s="148">
        <f>66992.593</f>
        <v>66992.593</v>
      </c>
      <c r="E13" s="148">
        <f>10437.77</f>
        <v>10437.77</v>
      </c>
      <c r="G13" s="102"/>
    </row>
    <row r="14" spans="1:5" s="28" customFormat="1" ht="29.25">
      <c r="A14" s="35" t="s">
        <v>106</v>
      </c>
      <c r="B14" s="45" t="s">
        <v>64</v>
      </c>
      <c r="C14" s="52">
        <f>C15+C18+C24+C25+C26+C27+C28+C29+C30</f>
        <v>0</v>
      </c>
      <c r="D14" s="148">
        <f>D15+D18+D24+D25+D26+D27+D28+D29+D30</f>
        <v>18734.5</v>
      </c>
      <c r="E14" s="148">
        <f>E15+E18+E24+E25+E26+E27+E28+E29+E30</f>
        <v>0</v>
      </c>
    </row>
    <row r="15" spans="1:5" s="28" customFormat="1" ht="44.25">
      <c r="A15" s="35" t="s">
        <v>107</v>
      </c>
      <c r="B15" s="45" t="s">
        <v>66</v>
      </c>
      <c r="C15" s="52">
        <f>C16+C17</f>
        <v>0</v>
      </c>
      <c r="D15" s="148">
        <f>D16+D17</f>
        <v>0</v>
      </c>
      <c r="E15" s="148">
        <f>E16+E17</f>
        <v>0</v>
      </c>
    </row>
    <row r="16" spans="1:5" s="28" customFormat="1" ht="15">
      <c r="A16" s="35" t="s">
        <v>108</v>
      </c>
      <c r="B16" s="45" t="s">
        <v>68</v>
      </c>
      <c r="C16" s="52">
        <f aca="true" t="shared" si="0" ref="C16:E17">0</f>
        <v>0</v>
      </c>
      <c r="D16" s="148">
        <f t="shared" si="0"/>
        <v>0</v>
      </c>
      <c r="E16" s="148">
        <f t="shared" si="0"/>
        <v>0</v>
      </c>
    </row>
    <row r="17" spans="1:5" s="28" customFormat="1" ht="60">
      <c r="A17" s="35" t="s">
        <v>109</v>
      </c>
      <c r="B17" s="45" t="s">
        <v>70</v>
      </c>
      <c r="C17" s="52">
        <f t="shared" si="0"/>
        <v>0</v>
      </c>
      <c r="D17" s="148">
        <f t="shared" si="0"/>
        <v>0</v>
      </c>
      <c r="E17" s="148">
        <f t="shared" si="0"/>
        <v>0</v>
      </c>
    </row>
    <row r="18" spans="1:5" s="28" customFormat="1" ht="44.25">
      <c r="A18" s="35" t="s">
        <v>110</v>
      </c>
      <c r="B18" s="45" t="s">
        <v>72</v>
      </c>
      <c r="C18" s="52">
        <f>C19+C20+C21+C22+C23</f>
        <v>0</v>
      </c>
      <c r="D18" s="148">
        <f>D19+D20+D21+D22+D23</f>
        <v>13148.3</v>
      </c>
      <c r="E18" s="148">
        <f>E19+E20+E21+E22+E23</f>
        <v>0</v>
      </c>
    </row>
    <row r="19" spans="1:5" s="28" customFormat="1" ht="30">
      <c r="A19" s="35" t="s">
        <v>111</v>
      </c>
      <c r="B19" s="18" t="s">
        <v>74</v>
      </c>
      <c r="C19" s="52">
        <f aca="true" t="shared" si="1" ref="C19:C32">0</f>
        <v>0</v>
      </c>
      <c r="D19" s="148">
        <f>0</f>
        <v>0</v>
      </c>
      <c r="E19" s="148">
        <f aca="true" t="shared" si="2" ref="E19:E30">0</f>
        <v>0</v>
      </c>
    </row>
    <row r="20" spans="1:5" s="28" customFormat="1" ht="30">
      <c r="A20" s="35" t="s">
        <v>112</v>
      </c>
      <c r="B20" s="45" t="s">
        <v>76</v>
      </c>
      <c r="C20" s="52">
        <f t="shared" si="1"/>
        <v>0</v>
      </c>
      <c r="D20" s="148">
        <f>0</f>
        <v>0</v>
      </c>
      <c r="E20" s="148">
        <f t="shared" si="2"/>
        <v>0</v>
      </c>
    </row>
    <row r="21" spans="1:5" s="28" customFormat="1" ht="15">
      <c r="A21" s="35" t="s">
        <v>113</v>
      </c>
      <c r="B21" s="45" t="s">
        <v>78</v>
      </c>
      <c r="C21" s="52">
        <f t="shared" si="1"/>
        <v>0</v>
      </c>
      <c r="D21" s="148">
        <f>13148.3</f>
        <v>13148.3</v>
      </c>
      <c r="E21" s="148">
        <f t="shared" si="2"/>
        <v>0</v>
      </c>
    </row>
    <row r="22" spans="1:5" s="28" customFormat="1" ht="30">
      <c r="A22" s="35" t="s">
        <v>114</v>
      </c>
      <c r="B22" s="45" t="s">
        <v>80</v>
      </c>
      <c r="C22" s="52">
        <f t="shared" si="1"/>
        <v>0</v>
      </c>
      <c r="D22" s="148">
        <f aca="true" t="shared" si="3" ref="D22:D29">0</f>
        <v>0</v>
      </c>
      <c r="E22" s="148">
        <f t="shared" si="2"/>
        <v>0</v>
      </c>
    </row>
    <row r="23" spans="1:5" s="28" customFormat="1" ht="60">
      <c r="A23" s="35" t="s">
        <v>115</v>
      </c>
      <c r="B23" s="18" t="s">
        <v>82</v>
      </c>
      <c r="C23" s="52">
        <f t="shared" si="1"/>
        <v>0</v>
      </c>
      <c r="D23" s="148">
        <f t="shared" si="3"/>
        <v>0</v>
      </c>
      <c r="E23" s="148">
        <f t="shared" si="2"/>
        <v>0</v>
      </c>
    </row>
    <row r="24" spans="1:5" s="28" customFormat="1" ht="30">
      <c r="A24" s="35" t="s">
        <v>116</v>
      </c>
      <c r="B24" s="18" t="s">
        <v>84</v>
      </c>
      <c r="C24" s="52">
        <f t="shared" si="1"/>
        <v>0</v>
      </c>
      <c r="D24" s="148">
        <f t="shared" si="3"/>
        <v>0</v>
      </c>
      <c r="E24" s="148">
        <f t="shared" si="2"/>
        <v>0</v>
      </c>
    </row>
    <row r="25" spans="1:5" s="28" customFormat="1" ht="30">
      <c r="A25" s="35" t="s">
        <v>117</v>
      </c>
      <c r="B25" s="45" t="s">
        <v>86</v>
      </c>
      <c r="C25" s="52">
        <f t="shared" si="1"/>
        <v>0</v>
      </c>
      <c r="D25" s="148">
        <f t="shared" si="3"/>
        <v>0</v>
      </c>
      <c r="E25" s="148">
        <f t="shared" si="2"/>
        <v>0</v>
      </c>
    </row>
    <row r="26" spans="1:5" s="28" customFormat="1" ht="30">
      <c r="A26" s="35" t="s">
        <v>118</v>
      </c>
      <c r="B26" s="18" t="s">
        <v>88</v>
      </c>
      <c r="C26" s="52">
        <f t="shared" si="1"/>
        <v>0</v>
      </c>
      <c r="D26" s="148">
        <f t="shared" si="3"/>
        <v>0</v>
      </c>
      <c r="E26" s="148">
        <f t="shared" si="2"/>
        <v>0</v>
      </c>
    </row>
    <row r="27" spans="1:5" s="28" customFormat="1" ht="15">
      <c r="A27" s="35" t="s">
        <v>119</v>
      </c>
      <c r="B27" s="45" t="s">
        <v>90</v>
      </c>
      <c r="C27" s="52">
        <f t="shared" si="1"/>
        <v>0</v>
      </c>
      <c r="D27" s="148">
        <f t="shared" si="3"/>
        <v>0</v>
      </c>
      <c r="E27" s="148">
        <f t="shared" si="2"/>
        <v>0</v>
      </c>
    </row>
    <row r="28" spans="1:5" s="28" customFormat="1" ht="30">
      <c r="A28" s="35" t="s">
        <v>120</v>
      </c>
      <c r="B28" s="45" t="s">
        <v>92</v>
      </c>
      <c r="C28" s="52">
        <f t="shared" si="1"/>
        <v>0</v>
      </c>
      <c r="D28" s="148">
        <f t="shared" si="3"/>
        <v>0</v>
      </c>
      <c r="E28" s="148">
        <f t="shared" si="2"/>
        <v>0</v>
      </c>
    </row>
    <row r="29" spans="1:5" s="28" customFormat="1" ht="15">
      <c r="A29" s="35" t="s">
        <v>121</v>
      </c>
      <c r="B29" s="45" t="s">
        <v>122</v>
      </c>
      <c r="C29" s="52">
        <f t="shared" si="1"/>
        <v>0</v>
      </c>
      <c r="D29" s="148">
        <f t="shared" si="3"/>
        <v>0</v>
      </c>
      <c r="E29" s="148">
        <f t="shared" si="2"/>
        <v>0</v>
      </c>
    </row>
    <row r="30" spans="1:5" s="28" customFormat="1" ht="15">
      <c r="A30" s="35" t="s">
        <v>123</v>
      </c>
      <c r="B30" s="45" t="s">
        <v>124</v>
      </c>
      <c r="C30" s="52">
        <f t="shared" si="1"/>
        <v>0</v>
      </c>
      <c r="D30" s="148">
        <f>5586.2</f>
        <v>5586.2</v>
      </c>
      <c r="E30" s="148">
        <f t="shared" si="2"/>
        <v>0</v>
      </c>
    </row>
    <row r="31" spans="1:5" s="28" customFormat="1" ht="15">
      <c r="A31" s="35" t="s">
        <v>125</v>
      </c>
      <c r="B31" s="45" t="s">
        <v>126</v>
      </c>
      <c r="C31" s="52">
        <f t="shared" si="1"/>
        <v>0</v>
      </c>
      <c r="D31" s="148">
        <f>3775362.1</f>
        <v>3775362.1</v>
      </c>
      <c r="E31" s="148">
        <f>45583.884</f>
        <v>45583.884</v>
      </c>
    </row>
    <row r="32" spans="1:5" s="28" customFormat="1" ht="30">
      <c r="A32" s="35" t="s">
        <v>127</v>
      </c>
      <c r="B32" s="45" t="s">
        <v>128</v>
      </c>
      <c r="C32" s="52">
        <f t="shared" si="1"/>
        <v>0</v>
      </c>
      <c r="D32" s="148">
        <f>0</f>
        <v>0</v>
      </c>
      <c r="E32" s="148">
        <f>0</f>
        <v>0</v>
      </c>
    </row>
    <row r="33" spans="1:5" s="28" customFormat="1" ht="59.25">
      <c r="A33" s="35" t="s">
        <v>129</v>
      </c>
      <c r="B33" s="18" t="s">
        <v>130</v>
      </c>
      <c r="C33" s="52">
        <f>C34+C35+C36</f>
        <v>0</v>
      </c>
      <c r="D33" s="148">
        <f>D34+D35+D36</f>
        <v>0</v>
      </c>
      <c r="E33" s="148">
        <f>E34+E35+E36</f>
        <v>0</v>
      </c>
    </row>
    <row r="34" spans="1:5" s="28" customFormat="1" ht="15">
      <c r="A34" s="35" t="s">
        <v>131</v>
      </c>
      <c r="B34" s="45" t="s">
        <v>132</v>
      </c>
      <c r="C34" s="52">
        <f aca="true" t="shared" si="4" ref="C34:E36">0</f>
        <v>0</v>
      </c>
      <c r="D34" s="148">
        <f t="shared" si="4"/>
        <v>0</v>
      </c>
      <c r="E34" s="148">
        <f t="shared" si="4"/>
        <v>0</v>
      </c>
    </row>
    <row r="35" spans="1:5" s="28" customFormat="1" ht="45">
      <c r="A35" s="35" t="s">
        <v>133</v>
      </c>
      <c r="B35" s="45" t="s">
        <v>134</v>
      </c>
      <c r="C35" s="52">
        <f t="shared" si="4"/>
        <v>0</v>
      </c>
      <c r="D35" s="148">
        <f t="shared" si="4"/>
        <v>0</v>
      </c>
      <c r="E35" s="148">
        <f t="shared" si="4"/>
        <v>0</v>
      </c>
    </row>
    <row r="36" spans="1:5" s="28" customFormat="1" ht="30">
      <c r="A36" s="35" t="s">
        <v>135</v>
      </c>
      <c r="B36" s="45" t="s">
        <v>136</v>
      </c>
      <c r="C36" s="52">
        <f t="shared" si="4"/>
        <v>0</v>
      </c>
      <c r="D36" s="148">
        <f t="shared" si="4"/>
        <v>0</v>
      </c>
      <c r="E36" s="148">
        <f t="shared" si="4"/>
        <v>0</v>
      </c>
    </row>
    <row r="37" spans="1:5" s="28" customFormat="1" ht="104.25">
      <c r="A37" s="35" t="s">
        <v>137</v>
      </c>
      <c r="B37" s="18" t="s">
        <v>138</v>
      </c>
      <c r="C37" s="52">
        <f>C38+C39+C40</f>
        <v>0</v>
      </c>
      <c r="D37" s="148">
        <f>D38+D39+D40</f>
        <v>25584.94</v>
      </c>
      <c r="E37" s="148">
        <f>E38+E39+E40</f>
        <v>0</v>
      </c>
    </row>
    <row r="38" spans="1:5" s="28" customFormat="1" ht="45">
      <c r="A38" s="35" t="s">
        <v>139</v>
      </c>
      <c r="B38" s="18" t="s">
        <v>140</v>
      </c>
      <c r="C38" s="52">
        <f aca="true" t="shared" si="5" ref="C38:C46">0</f>
        <v>0</v>
      </c>
      <c r="D38" s="148">
        <f>0</f>
        <v>0</v>
      </c>
      <c r="E38" s="148">
        <f aca="true" t="shared" si="6" ref="E38:E43">0</f>
        <v>0</v>
      </c>
    </row>
    <row r="39" spans="1:5" s="28" customFormat="1" ht="15">
      <c r="A39" s="35" t="s">
        <v>141</v>
      </c>
      <c r="B39" s="45" t="s">
        <v>142</v>
      </c>
      <c r="C39" s="52">
        <f t="shared" si="5"/>
        <v>0</v>
      </c>
      <c r="D39" s="148">
        <f>25178.334</f>
        <v>25178.334</v>
      </c>
      <c r="E39" s="148">
        <f t="shared" si="6"/>
        <v>0</v>
      </c>
    </row>
    <row r="40" spans="1:5" s="28" customFormat="1" ht="30">
      <c r="A40" s="35" t="s">
        <v>143</v>
      </c>
      <c r="B40" s="18" t="s">
        <v>144</v>
      </c>
      <c r="C40" s="52">
        <f t="shared" si="5"/>
        <v>0</v>
      </c>
      <c r="D40" s="148">
        <f>406.606</f>
        <v>406.606</v>
      </c>
      <c r="E40" s="148">
        <f t="shared" si="6"/>
        <v>0</v>
      </c>
    </row>
    <row r="41" spans="1:5" s="28" customFormat="1" ht="30">
      <c r="A41" s="35" t="s">
        <v>145</v>
      </c>
      <c r="B41" s="45" t="s">
        <v>146</v>
      </c>
      <c r="C41" s="52">
        <f t="shared" si="5"/>
        <v>0</v>
      </c>
      <c r="D41" s="148">
        <f>0</f>
        <v>0</v>
      </c>
      <c r="E41" s="148">
        <f t="shared" si="6"/>
        <v>0</v>
      </c>
    </row>
    <row r="42" spans="1:5" s="28" customFormat="1" ht="30">
      <c r="A42" s="35" t="s">
        <v>147</v>
      </c>
      <c r="B42" s="45" t="s">
        <v>148</v>
      </c>
      <c r="C42" s="52">
        <f t="shared" si="5"/>
        <v>0</v>
      </c>
      <c r="D42" s="148">
        <f>0</f>
        <v>0</v>
      </c>
      <c r="E42" s="148">
        <f t="shared" si="6"/>
        <v>0</v>
      </c>
    </row>
    <row r="43" spans="1:5" s="28" customFormat="1" ht="30">
      <c r="A43" s="35" t="s">
        <v>149</v>
      </c>
      <c r="B43" s="45" t="s">
        <v>150</v>
      </c>
      <c r="C43" s="52">
        <f t="shared" si="5"/>
        <v>0</v>
      </c>
      <c r="D43" s="148">
        <f>0</f>
        <v>0</v>
      </c>
      <c r="E43" s="148">
        <f t="shared" si="6"/>
        <v>0</v>
      </c>
    </row>
    <row r="44" spans="1:5" s="28" customFormat="1" ht="30">
      <c r="A44" s="35" t="s">
        <v>151</v>
      </c>
      <c r="B44" s="45" t="s">
        <v>152</v>
      </c>
      <c r="C44" s="52">
        <f t="shared" si="5"/>
        <v>0</v>
      </c>
      <c r="D44" s="148">
        <f>38105.055</f>
        <v>38105.055</v>
      </c>
      <c r="E44" s="148">
        <f>5243.2</f>
        <v>5243.2</v>
      </c>
    </row>
    <row r="45" spans="1:5" s="28" customFormat="1" ht="30">
      <c r="A45" s="35" t="s">
        <v>153</v>
      </c>
      <c r="B45" s="45" t="s">
        <v>154</v>
      </c>
      <c r="C45" s="52">
        <f t="shared" si="5"/>
        <v>0</v>
      </c>
      <c r="D45" s="148">
        <f>0</f>
        <v>0</v>
      </c>
      <c r="E45" s="148">
        <f>0</f>
        <v>0</v>
      </c>
    </row>
    <row r="46" spans="1:5" s="28" customFormat="1" ht="60">
      <c r="A46" s="35" t="s">
        <v>155</v>
      </c>
      <c r="B46" s="18" t="s">
        <v>156</v>
      </c>
      <c r="C46" s="52">
        <f t="shared" si="5"/>
        <v>0</v>
      </c>
      <c r="D46" s="148">
        <f>0</f>
        <v>0</v>
      </c>
      <c r="E46" s="148">
        <f>0</f>
        <v>0</v>
      </c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view="pageBreakPreview" zoomScale="120" zoomScaleNormal="120" zoomScaleSheetLayoutView="120" zoomScalePageLayoutView="0" workbookViewId="0" topLeftCell="A1">
      <selection activeCell="E12" sqref="E12"/>
    </sheetView>
  </sheetViews>
  <sheetFormatPr defaultColWidth="9.00390625" defaultRowHeight="12.75"/>
  <cols>
    <col min="1" max="1" width="83.25390625" style="44" customWidth="1"/>
    <col min="2" max="2" width="6.75390625" style="44" customWidth="1"/>
    <col min="3" max="3" width="10.00390625" style="44" customWidth="1"/>
    <col min="4" max="4" width="13.00390625" style="44" customWidth="1"/>
    <col min="5" max="5" width="11.375" style="44" customWidth="1"/>
    <col min="6" max="6" width="10.375" style="44" customWidth="1"/>
    <col min="7" max="7" width="14.375" style="44" customWidth="1"/>
    <col min="8" max="8" width="12.125" style="44" customWidth="1"/>
    <col min="9" max="16384" width="9.125" style="44" customWidth="1"/>
  </cols>
  <sheetData>
    <row r="1" spans="1:8" ht="113.25" customHeight="1">
      <c r="A1" s="192" t="s">
        <v>157</v>
      </c>
      <c r="B1" s="192"/>
      <c r="C1" s="192"/>
      <c r="D1" s="192"/>
      <c r="E1" s="192"/>
      <c r="F1" s="192"/>
      <c r="G1" s="192"/>
      <c r="H1" s="192"/>
    </row>
    <row r="2" spans="1:8" ht="12.75">
      <c r="A2" s="193" t="s">
        <v>38</v>
      </c>
      <c r="B2" s="193"/>
      <c r="C2" s="193"/>
      <c r="D2" s="193"/>
      <c r="E2" s="193"/>
      <c r="F2" s="193"/>
      <c r="G2" s="193"/>
      <c r="H2" s="193"/>
    </row>
    <row r="3" spans="1:8" s="15" customFormat="1" ht="23.25" customHeight="1">
      <c r="A3" s="194" t="s">
        <v>39</v>
      </c>
      <c r="B3" s="194" t="s">
        <v>40</v>
      </c>
      <c r="C3" s="194" t="s">
        <v>158</v>
      </c>
      <c r="D3" s="194"/>
      <c r="E3" s="194"/>
      <c r="F3" s="194" t="s">
        <v>159</v>
      </c>
      <c r="G3" s="194"/>
      <c r="H3" s="194"/>
    </row>
    <row r="4" spans="1:8" s="15" customFormat="1" ht="60">
      <c r="A4" s="194"/>
      <c r="B4" s="194"/>
      <c r="C4" s="39" t="s">
        <v>43</v>
      </c>
      <c r="D4" s="39" t="s">
        <v>44</v>
      </c>
      <c r="E4" s="39" t="s">
        <v>45</v>
      </c>
      <c r="F4" s="39" t="s">
        <v>160</v>
      </c>
      <c r="G4" s="39" t="s">
        <v>44</v>
      </c>
      <c r="H4" s="39" t="s">
        <v>45</v>
      </c>
    </row>
    <row r="5" spans="1:8" s="15" customFormat="1" ht="12.7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s="76" customFormat="1" ht="14.25">
      <c r="A6" s="42" t="s">
        <v>97</v>
      </c>
      <c r="B6" s="42"/>
      <c r="C6" s="42"/>
      <c r="D6" s="42"/>
      <c r="E6" s="42"/>
      <c r="F6" s="42"/>
      <c r="G6" s="42"/>
      <c r="H6" s="42"/>
    </row>
    <row r="7" spans="1:8" s="15" customFormat="1" ht="28.5">
      <c r="A7" s="79" t="s">
        <v>161</v>
      </c>
      <c r="B7" s="144" t="s">
        <v>47</v>
      </c>
      <c r="C7" s="49">
        <f>'Раздел 1.'!F32</f>
        <v>0</v>
      </c>
      <c r="D7" s="149">
        <f>'Раздел 1.'!G32</f>
        <v>953821.5</v>
      </c>
      <c r="E7" s="149">
        <f>'Раздел 1.'!H32</f>
        <v>17771.159</v>
      </c>
      <c r="F7" s="150" t="s">
        <v>162</v>
      </c>
      <c r="G7" s="150" t="s">
        <v>162</v>
      </c>
      <c r="H7" s="150" t="s">
        <v>162</v>
      </c>
    </row>
    <row r="8" spans="1:8" s="15" customFormat="1" ht="28.5">
      <c r="A8" s="79" t="s">
        <v>163</v>
      </c>
      <c r="B8" s="144" t="s">
        <v>50</v>
      </c>
      <c r="C8" s="49"/>
      <c r="D8" s="149"/>
      <c r="E8" s="149"/>
      <c r="F8" s="149">
        <f>'Раздел 1.'!F9</f>
        <v>0</v>
      </c>
      <c r="G8" s="149">
        <f>'Раздел 1.'!G9</f>
        <v>5043790.182</v>
      </c>
      <c r="H8" s="149">
        <f>'Раздел 1.'!H9</f>
        <v>649111.377</v>
      </c>
    </row>
    <row r="9" spans="1:8" s="15" customFormat="1" ht="15">
      <c r="A9" s="79" t="s">
        <v>164</v>
      </c>
      <c r="B9" s="144" t="s">
        <v>52</v>
      </c>
      <c r="C9" s="49">
        <f>0+0</f>
        <v>0</v>
      </c>
      <c r="D9" s="149">
        <f>4991106.713+-235664.71</f>
        <v>4755442.0030000005</v>
      </c>
      <c r="E9" s="149">
        <f>366387.04+-52273.76</f>
        <v>314113.27999999997</v>
      </c>
      <c r="F9" s="149">
        <f>0</f>
        <v>0</v>
      </c>
      <c r="G9" s="149">
        <f>4991106.713</f>
        <v>4991106.713</v>
      </c>
      <c r="H9" s="149">
        <f>366387.04</f>
        <v>366387.04</v>
      </c>
    </row>
    <row r="10" spans="1:8" s="15" customFormat="1" ht="28.5">
      <c r="A10" s="79" t="s">
        <v>165</v>
      </c>
      <c r="B10" s="144" t="s">
        <v>54</v>
      </c>
      <c r="C10" s="49"/>
      <c r="D10" s="149"/>
      <c r="E10" s="149"/>
      <c r="F10" s="149">
        <f>F11+F12+F17+F19+F20+F21+F22+F16</f>
        <v>0</v>
      </c>
      <c r="G10" s="149">
        <f>G11+G12+G17+G19+G20+G21+G22+G16+G18</f>
        <v>4869218.055000001</v>
      </c>
      <c r="H10" s="149">
        <f>H11+H12+H17+H19+H20+H21+H22+H16</f>
        <v>393293.82399999996</v>
      </c>
    </row>
    <row r="11" spans="1:8" s="15" customFormat="1" ht="15">
      <c r="A11" s="106" t="s">
        <v>166</v>
      </c>
      <c r="B11" s="144" t="s">
        <v>56</v>
      </c>
      <c r="C11" s="57"/>
      <c r="D11" s="151"/>
      <c r="E11" s="151"/>
      <c r="F11" s="148">
        <f>'Раздел 2.'!C7</f>
        <v>0</v>
      </c>
      <c r="G11" s="148">
        <f>'Раздел 2.'!D7</f>
        <v>944438.8670000001</v>
      </c>
      <c r="H11" s="148">
        <f>'Раздел 2.'!E7</f>
        <v>332028.97</v>
      </c>
    </row>
    <row r="12" spans="1:8" s="15" customFormat="1" ht="30">
      <c r="A12" s="106" t="s">
        <v>167</v>
      </c>
      <c r="B12" s="144" t="s">
        <v>58</v>
      </c>
      <c r="C12" s="57"/>
      <c r="D12" s="151"/>
      <c r="E12" s="151"/>
      <c r="F12" s="148">
        <f>F13+F14+F15</f>
        <v>0</v>
      </c>
      <c r="G12" s="148">
        <f>G13+G14+G15</f>
        <v>3861089.193</v>
      </c>
      <c r="H12" s="148">
        <f>H13+H14+H15</f>
        <v>56021.653999999995</v>
      </c>
    </row>
    <row r="13" spans="1:8" s="15" customFormat="1" ht="30">
      <c r="A13" s="106" t="s">
        <v>168</v>
      </c>
      <c r="B13" s="144" t="s">
        <v>60</v>
      </c>
      <c r="C13" s="57"/>
      <c r="D13" s="151"/>
      <c r="E13" s="151"/>
      <c r="F13" s="148">
        <f>'Раздел 2.'!C13</f>
        <v>0</v>
      </c>
      <c r="G13" s="148">
        <f>'Раздел 2.'!D13</f>
        <v>66992.593</v>
      </c>
      <c r="H13" s="148">
        <f>'Раздел 2.'!E13</f>
        <v>10437.77</v>
      </c>
    </row>
    <row r="14" spans="1:8" s="15" customFormat="1" ht="15">
      <c r="A14" s="106" t="s">
        <v>169</v>
      </c>
      <c r="B14" s="144" t="s">
        <v>62</v>
      </c>
      <c r="C14" s="57"/>
      <c r="D14" s="151"/>
      <c r="E14" s="151"/>
      <c r="F14" s="148">
        <f>'Раздел 2.'!C14</f>
        <v>0</v>
      </c>
      <c r="G14" s="148">
        <f>'Раздел 2.'!D14</f>
        <v>18734.5</v>
      </c>
      <c r="H14" s="148">
        <f>'Раздел 2.'!E14</f>
        <v>0</v>
      </c>
    </row>
    <row r="15" spans="1:8" s="15" customFormat="1" ht="22.5" customHeight="1">
      <c r="A15" s="106" t="s">
        <v>125</v>
      </c>
      <c r="B15" s="144" t="s">
        <v>64</v>
      </c>
      <c r="C15" s="57"/>
      <c r="D15" s="151"/>
      <c r="E15" s="151"/>
      <c r="F15" s="148">
        <f>'Раздел 2.'!C31</f>
        <v>0</v>
      </c>
      <c r="G15" s="148">
        <f>'Раздел 2.'!D31</f>
        <v>3775362.1</v>
      </c>
      <c r="H15" s="148">
        <f>'Раздел 2.'!E31</f>
        <v>45583.884</v>
      </c>
    </row>
    <row r="16" spans="1:8" s="15" customFormat="1" ht="30">
      <c r="A16" s="106" t="s">
        <v>127</v>
      </c>
      <c r="B16" s="144" t="s">
        <v>66</v>
      </c>
      <c r="C16" s="57"/>
      <c r="D16" s="151"/>
      <c r="E16" s="151"/>
      <c r="F16" s="148">
        <f>'Раздел 2.'!C32</f>
        <v>0</v>
      </c>
      <c r="G16" s="148">
        <f>'Раздел 2.'!D32</f>
        <v>0</v>
      </c>
      <c r="H16" s="148">
        <f>'Раздел 2.'!E32</f>
        <v>0</v>
      </c>
    </row>
    <row r="17" spans="1:8" s="15" customFormat="1" ht="45">
      <c r="A17" s="106" t="s">
        <v>170</v>
      </c>
      <c r="B17" s="144" t="s">
        <v>68</v>
      </c>
      <c r="C17" s="57"/>
      <c r="D17" s="151"/>
      <c r="E17" s="151"/>
      <c r="F17" s="148">
        <f>'Раздел 2.'!C33</f>
        <v>0</v>
      </c>
      <c r="G17" s="148"/>
      <c r="H17" s="148"/>
    </row>
    <row r="18" spans="1:8" s="15" customFormat="1" ht="45">
      <c r="A18" s="106" t="s">
        <v>171</v>
      </c>
      <c r="B18" s="144" t="s">
        <v>70</v>
      </c>
      <c r="C18" s="57"/>
      <c r="D18" s="151"/>
      <c r="E18" s="151"/>
      <c r="F18" s="148"/>
      <c r="G18" s="148">
        <f>'Раздел 2.'!D37</f>
        <v>25584.94</v>
      </c>
      <c r="H18" s="148"/>
    </row>
    <row r="19" spans="1:8" s="15" customFormat="1" ht="30">
      <c r="A19" s="106" t="s">
        <v>145</v>
      </c>
      <c r="B19" s="144" t="s">
        <v>72</v>
      </c>
      <c r="C19" s="57"/>
      <c r="D19" s="151"/>
      <c r="E19" s="151"/>
      <c r="F19" s="148">
        <f>'Раздел 2.'!C41</f>
        <v>0</v>
      </c>
      <c r="G19" s="148">
        <f>'Раздел 2.'!D41</f>
        <v>0</v>
      </c>
      <c r="H19" s="148">
        <f>'Раздел 2.'!E41</f>
        <v>0</v>
      </c>
    </row>
    <row r="20" spans="1:8" s="15" customFormat="1" ht="30">
      <c r="A20" s="106" t="s">
        <v>147</v>
      </c>
      <c r="B20" s="144" t="s">
        <v>74</v>
      </c>
      <c r="C20" s="57"/>
      <c r="D20" s="151"/>
      <c r="E20" s="151"/>
      <c r="F20" s="148">
        <f>'Раздел 2.'!C42</f>
        <v>0</v>
      </c>
      <c r="G20" s="148">
        <f>'Раздел 2.'!D42</f>
        <v>0</v>
      </c>
      <c r="H20" s="148">
        <f>'Раздел 2.'!E42</f>
        <v>0</v>
      </c>
    </row>
    <row r="21" spans="1:8" s="15" customFormat="1" ht="30">
      <c r="A21" s="106" t="s">
        <v>149</v>
      </c>
      <c r="B21" s="144" t="s">
        <v>76</v>
      </c>
      <c r="C21" s="57"/>
      <c r="D21" s="151"/>
      <c r="E21" s="151"/>
      <c r="F21" s="148">
        <f>'Раздел 2.'!C43</f>
        <v>0</v>
      </c>
      <c r="G21" s="148">
        <f>'Раздел 2.'!D43</f>
        <v>0</v>
      </c>
      <c r="H21" s="148">
        <f>'Раздел 2.'!E43</f>
        <v>0</v>
      </c>
    </row>
    <row r="22" spans="1:8" s="15" customFormat="1" ht="30">
      <c r="A22" s="106" t="s">
        <v>151</v>
      </c>
      <c r="B22" s="144" t="s">
        <v>78</v>
      </c>
      <c r="C22" s="57"/>
      <c r="D22" s="151"/>
      <c r="E22" s="151"/>
      <c r="F22" s="148">
        <f>'Раздел 2.'!C44+'Раздел 2.'!C45+'Раздел 2.'!C46</f>
        <v>0</v>
      </c>
      <c r="G22" s="148">
        <f>'Раздел 2.'!D44+'Раздел 2.'!D45+'Раздел 2.'!D46</f>
        <v>38105.055</v>
      </c>
      <c r="H22" s="148">
        <f>'Раздел 2.'!E44+'Раздел 2.'!E45+'Раздел 2.'!E46</f>
        <v>5243.2</v>
      </c>
    </row>
    <row r="23" spans="1:8" s="15" customFormat="1" ht="42.75">
      <c r="A23" s="79" t="s">
        <v>172</v>
      </c>
      <c r="B23" s="144" t="s">
        <v>80</v>
      </c>
      <c r="C23" s="57"/>
      <c r="D23" s="151"/>
      <c r="E23" s="151"/>
      <c r="F23" s="148">
        <f>0</f>
        <v>0</v>
      </c>
      <c r="G23" s="148">
        <f>-235664.71</f>
        <v>-235664.71</v>
      </c>
      <c r="H23" s="148">
        <f>-52273.76</f>
        <v>-52273.76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300" verticalDpi="300" orientation="portrait" paperSize="9" scale="55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44" customWidth="1"/>
    <col min="2" max="2" width="7.375" style="44" customWidth="1"/>
    <col min="3" max="3" width="9.00390625" style="44" customWidth="1"/>
    <col min="4" max="4" width="13.75390625" style="44" customWidth="1"/>
    <col min="5" max="5" width="15.00390625" style="44" customWidth="1"/>
    <col min="6" max="6" width="12.875" style="44" customWidth="1"/>
    <col min="7" max="7" width="5.625" style="44" customWidth="1"/>
    <col min="8" max="16384" width="0.875" style="44" customWidth="1"/>
  </cols>
  <sheetData>
    <row r="1" spans="1:6" ht="99.75" customHeight="1">
      <c r="A1" s="196" t="s">
        <v>173</v>
      </c>
      <c r="B1" s="196"/>
      <c r="C1" s="196"/>
      <c r="D1" s="196"/>
      <c r="E1" s="196"/>
      <c r="F1" s="196"/>
    </row>
    <row r="2" spans="1:6" ht="12.75">
      <c r="A2" s="197"/>
      <c r="B2" s="197"/>
      <c r="C2" s="197"/>
      <c r="D2" s="197"/>
      <c r="E2" s="197"/>
      <c r="F2" s="197"/>
    </row>
    <row r="3" spans="1:6" ht="12.75">
      <c r="A3" s="198" t="s">
        <v>174</v>
      </c>
      <c r="B3" s="198"/>
      <c r="C3" s="198"/>
      <c r="D3" s="198"/>
      <c r="E3" s="198"/>
      <c r="F3" s="198"/>
    </row>
    <row r="4" spans="1:6" ht="25.5" customHeight="1">
      <c r="A4" s="199" t="s">
        <v>39</v>
      </c>
      <c r="B4" s="200" t="s">
        <v>40</v>
      </c>
      <c r="C4" s="200" t="s">
        <v>175</v>
      </c>
      <c r="D4" s="200" t="s">
        <v>176</v>
      </c>
      <c r="E4" s="200"/>
      <c r="F4" s="200"/>
    </row>
    <row r="5" spans="1:6" ht="75">
      <c r="A5" s="199"/>
      <c r="B5" s="200"/>
      <c r="C5" s="200"/>
      <c r="D5" s="30" t="s">
        <v>177</v>
      </c>
      <c r="E5" s="30" t="s">
        <v>178</v>
      </c>
      <c r="F5" s="30" t="s">
        <v>179</v>
      </c>
    </row>
    <row r="6" spans="1:9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6"/>
      <c r="H6" s="16"/>
      <c r="I6" s="16"/>
    </row>
    <row r="7" spans="1:9" s="76" customFormat="1" ht="15">
      <c r="A7" s="36" t="s">
        <v>97</v>
      </c>
      <c r="B7" s="36"/>
      <c r="C7" s="36"/>
      <c r="D7" s="72"/>
      <c r="E7" s="97"/>
      <c r="F7" s="72"/>
      <c r="G7" s="63"/>
      <c r="H7" s="63"/>
      <c r="I7" s="93"/>
    </row>
    <row r="8" spans="1:9" ht="30">
      <c r="A8" s="24" t="s">
        <v>180</v>
      </c>
      <c r="B8" s="33"/>
      <c r="C8" s="14"/>
      <c r="D8" s="29"/>
      <c r="E8" s="29"/>
      <c r="F8" s="29"/>
      <c r="G8" s="16"/>
      <c r="H8" s="16"/>
      <c r="I8" s="16"/>
    </row>
    <row r="9" spans="1:6" ht="15">
      <c r="A9" s="24" t="s">
        <v>181</v>
      </c>
      <c r="B9" s="33" t="s">
        <v>47</v>
      </c>
      <c r="C9" s="14" t="s">
        <v>182</v>
      </c>
      <c r="D9" s="47">
        <f>0</f>
        <v>0</v>
      </c>
      <c r="E9" s="47">
        <f>522.45</f>
        <v>522.45</v>
      </c>
      <c r="F9" s="47">
        <f>422.35</f>
        <v>422.35</v>
      </c>
    </row>
    <row r="10" spans="1:6" ht="15">
      <c r="A10" s="24" t="s">
        <v>183</v>
      </c>
      <c r="B10" s="33" t="s">
        <v>50</v>
      </c>
      <c r="C10" s="14" t="s">
        <v>182</v>
      </c>
      <c r="D10" s="47">
        <f>0</f>
        <v>0</v>
      </c>
      <c r="E10" s="29">
        <f>585.5</f>
        <v>585.5</v>
      </c>
      <c r="F10" s="29">
        <f>339.964</f>
        <v>339.964</v>
      </c>
    </row>
    <row r="11" spans="1:6" ht="45">
      <c r="A11" s="24" t="s">
        <v>184</v>
      </c>
      <c r="B11" s="33"/>
      <c r="C11" s="14"/>
      <c r="D11" s="47"/>
      <c r="E11" s="68"/>
      <c r="F11" s="47"/>
    </row>
    <row r="12" spans="1:6" ht="15">
      <c r="A12" s="24" t="s">
        <v>181</v>
      </c>
      <c r="B12" s="33" t="s">
        <v>52</v>
      </c>
      <c r="C12" s="85" t="s">
        <v>185</v>
      </c>
      <c r="D12" s="47">
        <f>0</f>
        <v>0</v>
      </c>
      <c r="E12" s="68">
        <f>37</f>
        <v>37</v>
      </c>
      <c r="F12" s="29">
        <f>40.2</f>
        <v>40.2</v>
      </c>
    </row>
    <row r="13" spans="1:6" ht="15">
      <c r="A13" s="24" t="s">
        <v>183</v>
      </c>
      <c r="B13" s="33" t="s">
        <v>54</v>
      </c>
      <c r="C13" s="85" t="s">
        <v>185</v>
      </c>
      <c r="D13" s="47">
        <f>0</f>
        <v>0</v>
      </c>
      <c r="E13" s="68">
        <f>41.5</f>
        <v>41.5</v>
      </c>
      <c r="F13" s="29">
        <f>32.4</f>
        <v>32.4</v>
      </c>
    </row>
    <row r="14" spans="1:6" ht="30">
      <c r="A14" s="24" t="s">
        <v>186</v>
      </c>
      <c r="B14" s="33"/>
      <c r="C14" s="14"/>
      <c r="D14" s="47"/>
      <c r="E14" s="92"/>
      <c r="F14" s="92"/>
    </row>
    <row r="15" spans="1:6" ht="15">
      <c r="A15" s="24" t="s">
        <v>181</v>
      </c>
      <c r="B15" s="33" t="s">
        <v>56</v>
      </c>
      <c r="C15" s="14" t="s">
        <v>182</v>
      </c>
      <c r="D15" s="47">
        <f>0</f>
        <v>0</v>
      </c>
      <c r="E15" s="92">
        <f>243.2</f>
        <v>243.2</v>
      </c>
      <c r="F15" s="92">
        <f>0</f>
        <v>0</v>
      </c>
    </row>
    <row r="16" spans="1:6" ht="15">
      <c r="A16" s="24" t="s">
        <v>183</v>
      </c>
      <c r="B16" s="33" t="s">
        <v>58</v>
      </c>
      <c r="C16" s="14" t="s">
        <v>182</v>
      </c>
      <c r="D16" s="47">
        <f>0</f>
        <v>0</v>
      </c>
      <c r="E16" s="92">
        <f>243.2</f>
        <v>243.2</v>
      </c>
      <c r="F16" s="92">
        <f>284.76</f>
        <v>284.76</v>
      </c>
    </row>
    <row r="17" spans="1:6" ht="30">
      <c r="A17" s="24" t="s">
        <v>187</v>
      </c>
      <c r="B17" s="33"/>
      <c r="C17" s="14"/>
      <c r="D17" s="47"/>
      <c r="E17" s="92"/>
      <c r="F17" s="92"/>
    </row>
    <row r="18" spans="1:6" ht="15">
      <c r="A18" s="24" t="s">
        <v>181</v>
      </c>
      <c r="B18" s="33" t="s">
        <v>60</v>
      </c>
      <c r="C18" s="85" t="s">
        <v>185</v>
      </c>
      <c r="D18" s="47">
        <f>0</f>
        <v>0</v>
      </c>
      <c r="E18" s="68">
        <f>13.15</f>
        <v>13.15</v>
      </c>
      <c r="F18" s="92">
        <f>27.12</f>
        <v>27.12</v>
      </c>
    </row>
    <row r="19" spans="1:6" ht="15">
      <c r="A19" s="24" t="s">
        <v>183</v>
      </c>
      <c r="B19" s="33" t="s">
        <v>62</v>
      </c>
      <c r="C19" s="85" t="s">
        <v>185</v>
      </c>
      <c r="D19" s="47">
        <f>0</f>
        <v>0</v>
      </c>
      <c r="E19" s="97">
        <f>17.22</f>
        <v>17.22</v>
      </c>
      <c r="F19" s="72">
        <f>27.12</f>
        <v>27.12</v>
      </c>
    </row>
    <row r="20" spans="1:6" ht="44.25">
      <c r="A20" s="24" t="s">
        <v>188</v>
      </c>
      <c r="B20" s="33"/>
      <c r="C20" s="14"/>
      <c r="D20" s="47"/>
      <c r="E20" s="97"/>
      <c r="F20" s="72"/>
    </row>
    <row r="21" spans="1:6" ht="15">
      <c r="A21" s="24" t="s">
        <v>181</v>
      </c>
      <c r="B21" s="33" t="s">
        <v>64</v>
      </c>
      <c r="C21" s="14" t="s">
        <v>182</v>
      </c>
      <c r="D21" s="47">
        <f>0</f>
        <v>0</v>
      </c>
      <c r="E21" s="29">
        <f>1067.833</f>
        <v>1067.833</v>
      </c>
      <c r="F21" s="29">
        <f>193.72</f>
        <v>193.72</v>
      </c>
    </row>
    <row r="22" spans="1:6" ht="15">
      <c r="A22" s="24" t="s">
        <v>183</v>
      </c>
      <c r="B22" s="33" t="s">
        <v>66</v>
      </c>
      <c r="C22" s="14" t="s">
        <v>182</v>
      </c>
      <c r="D22" s="47">
        <f>0</f>
        <v>0</v>
      </c>
      <c r="E22" s="47">
        <f>1130.932</f>
        <v>1130.932</v>
      </c>
      <c r="F22" s="47">
        <f>193.72</f>
        <v>193.72</v>
      </c>
    </row>
    <row r="23" spans="1:6" ht="44.25">
      <c r="A23" s="24" t="s">
        <v>189</v>
      </c>
      <c r="B23" s="33"/>
      <c r="C23" s="14"/>
      <c r="D23" s="47"/>
      <c r="E23" s="29"/>
      <c r="F23" s="29"/>
    </row>
    <row r="24" spans="1:6" ht="15">
      <c r="A24" s="24" t="s">
        <v>181</v>
      </c>
      <c r="B24" s="33" t="s">
        <v>68</v>
      </c>
      <c r="C24" s="14" t="s">
        <v>182</v>
      </c>
      <c r="D24" s="47">
        <f>0</f>
        <v>0</v>
      </c>
      <c r="E24" s="68">
        <f>0</f>
        <v>0</v>
      </c>
      <c r="F24" s="47">
        <f>129.68</f>
        <v>129.68</v>
      </c>
    </row>
    <row r="25" spans="1:6" ht="15">
      <c r="A25" s="24" t="s">
        <v>183</v>
      </c>
      <c r="B25" s="33" t="s">
        <v>70</v>
      </c>
      <c r="C25" s="14" t="s">
        <v>182</v>
      </c>
      <c r="D25" s="47">
        <f>0</f>
        <v>0</v>
      </c>
      <c r="E25" s="68">
        <f>0</f>
        <v>0</v>
      </c>
      <c r="F25" s="29">
        <f>129.68</f>
        <v>129.68</v>
      </c>
    </row>
    <row r="26" spans="1:6" ht="12.75">
      <c r="A26" s="78"/>
      <c r="B26" s="78"/>
      <c r="C26" s="78"/>
      <c r="D26" s="70"/>
      <c r="E26" s="70"/>
      <c r="F26" s="70"/>
    </row>
    <row r="27" spans="1:6" s="132" customFormat="1" ht="12">
      <c r="A27" s="195"/>
      <c r="B27" s="195"/>
      <c r="C27" s="195"/>
      <c r="D27" s="195"/>
      <c r="E27" s="195"/>
      <c r="F27" s="195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">
      <selection activeCell="D70" sqref="D70"/>
    </sheetView>
  </sheetViews>
  <sheetFormatPr defaultColWidth="0.875" defaultRowHeight="12.75"/>
  <cols>
    <col min="1" max="1" width="89.875" style="44" customWidth="1"/>
    <col min="2" max="2" width="7.375" style="44" customWidth="1"/>
    <col min="3" max="3" width="9.00390625" style="44" customWidth="1"/>
    <col min="4" max="4" width="13.75390625" style="44" customWidth="1"/>
    <col min="5" max="5" width="15.00390625" style="125" customWidth="1"/>
    <col min="6" max="6" width="12.875" style="44" customWidth="1"/>
    <col min="7" max="16384" width="0.875" style="44" customWidth="1"/>
  </cols>
  <sheetData>
    <row r="1" spans="1:6" ht="132.75" customHeight="1">
      <c r="A1" s="201" t="s">
        <v>190</v>
      </c>
      <c r="B1" s="201"/>
      <c r="C1" s="201"/>
      <c r="D1" s="201"/>
      <c r="E1" s="201"/>
      <c r="F1" s="201"/>
    </row>
    <row r="2" spans="1:6" ht="12.75">
      <c r="A2" s="197"/>
      <c r="B2" s="197"/>
      <c r="C2" s="197"/>
      <c r="D2" s="197"/>
      <c r="E2" s="197"/>
      <c r="F2" s="197"/>
    </row>
    <row r="3" spans="1:6" ht="12.75">
      <c r="A3" s="202" t="s">
        <v>174</v>
      </c>
      <c r="B3" s="202"/>
      <c r="C3" s="202"/>
      <c r="D3" s="202"/>
      <c r="E3" s="202"/>
      <c r="F3" s="202"/>
    </row>
    <row r="4" spans="1:6" s="15" customFormat="1" ht="22.5" customHeight="1">
      <c r="A4" s="200" t="s">
        <v>39</v>
      </c>
      <c r="B4" s="200" t="s">
        <v>40</v>
      </c>
      <c r="C4" s="200" t="s">
        <v>175</v>
      </c>
      <c r="D4" s="200" t="s">
        <v>176</v>
      </c>
      <c r="E4" s="200"/>
      <c r="F4" s="200"/>
    </row>
    <row r="5" spans="1:6" s="15" customFormat="1" ht="60">
      <c r="A5" s="200"/>
      <c r="B5" s="200"/>
      <c r="C5" s="200"/>
      <c r="D5" s="30" t="s">
        <v>177</v>
      </c>
      <c r="E5" s="30" t="s">
        <v>191</v>
      </c>
      <c r="F5" s="30" t="s">
        <v>179</v>
      </c>
    </row>
    <row r="6" spans="1:9" s="15" customFormat="1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50"/>
      <c r="H6" s="50"/>
      <c r="I6" s="50"/>
    </row>
    <row r="7" spans="1:9" s="76" customFormat="1" ht="14.25">
      <c r="A7" s="36" t="s">
        <v>97</v>
      </c>
      <c r="B7" s="36"/>
      <c r="C7" s="36"/>
      <c r="D7" s="36"/>
      <c r="E7" s="36"/>
      <c r="F7" s="36"/>
      <c r="G7" s="63"/>
      <c r="H7" s="63"/>
      <c r="I7" s="93"/>
    </row>
    <row r="8" spans="1:9" s="15" customFormat="1" ht="15">
      <c r="A8" s="24" t="s">
        <v>192</v>
      </c>
      <c r="B8" s="33" t="s">
        <v>47</v>
      </c>
      <c r="C8" s="14" t="s">
        <v>182</v>
      </c>
      <c r="D8" s="51">
        <f>0</f>
        <v>0</v>
      </c>
      <c r="E8" s="48">
        <f>118.975</f>
        <v>118.975</v>
      </c>
      <c r="F8" s="48">
        <f>2.63</f>
        <v>2.63</v>
      </c>
      <c r="G8" s="50"/>
      <c r="H8" s="50"/>
      <c r="I8" s="50"/>
    </row>
    <row r="9" spans="1:9" s="15" customFormat="1" ht="30">
      <c r="A9" s="24" t="s">
        <v>193</v>
      </c>
      <c r="B9" s="33" t="s">
        <v>50</v>
      </c>
      <c r="C9" s="14" t="s">
        <v>182</v>
      </c>
      <c r="D9" s="25">
        <f>D10+D11+D12</f>
        <v>0</v>
      </c>
      <c r="E9" s="48">
        <f>E10+E11+E12</f>
        <v>37.333</v>
      </c>
      <c r="F9" s="48">
        <f>F10+F11+F12</f>
        <v>2.63</v>
      </c>
      <c r="G9" s="50"/>
      <c r="H9" s="50"/>
      <c r="I9" s="50"/>
    </row>
    <row r="10" spans="1:6" s="15" customFormat="1" ht="15">
      <c r="A10" s="24" t="s">
        <v>194</v>
      </c>
      <c r="B10" s="33" t="s">
        <v>52</v>
      </c>
      <c r="C10" s="14" t="s">
        <v>182</v>
      </c>
      <c r="D10" s="81">
        <f>0</f>
        <v>0</v>
      </c>
      <c r="E10" s="48">
        <f>24.18</f>
        <v>24.18</v>
      </c>
      <c r="F10" s="48">
        <f>2.63</f>
        <v>2.63</v>
      </c>
    </row>
    <row r="11" spans="1:6" s="15" customFormat="1" ht="15">
      <c r="A11" s="24" t="s">
        <v>195</v>
      </c>
      <c r="B11" s="33" t="s">
        <v>54</v>
      </c>
      <c r="C11" s="14" t="s">
        <v>182</v>
      </c>
      <c r="D11" s="81">
        <f>0</f>
        <v>0</v>
      </c>
      <c r="E11" s="48">
        <f>0</f>
        <v>0</v>
      </c>
      <c r="F11" s="48">
        <f>0</f>
        <v>0</v>
      </c>
    </row>
    <row r="12" spans="1:6" s="15" customFormat="1" ht="15">
      <c r="A12" s="24" t="s">
        <v>196</v>
      </c>
      <c r="B12" s="33" t="s">
        <v>56</v>
      </c>
      <c r="C12" s="14" t="s">
        <v>182</v>
      </c>
      <c r="D12" s="81">
        <f>0</f>
        <v>0</v>
      </c>
      <c r="E12" s="48">
        <f>13.153</f>
        <v>13.153</v>
      </c>
      <c r="F12" s="48">
        <f>0</f>
        <v>0</v>
      </c>
    </row>
    <row r="13" spans="1:6" s="28" customFormat="1" ht="30">
      <c r="A13" s="35" t="s">
        <v>197</v>
      </c>
      <c r="B13" s="18" t="s">
        <v>58</v>
      </c>
      <c r="C13" s="41" t="s">
        <v>182</v>
      </c>
      <c r="D13" s="81">
        <f>0</f>
        <v>0</v>
      </c>
      <c r="E13" s="48">
        <f>48.36</f>
        <v>48.36</v>
      </c>
      <c r="F13" s="48">
        <f>5.26</f>
        <v>5.26</v>
      </c>
    </row>
    <row r="14" spans="1:6" s="15" customFormat="1" ht="45">
      <c r="A14" s="24" t="s">
        <v>198</v>
      </c>
      <c r="B14" s="33" t="s">
        <v>60</v>
      </c>
      <c r="C14" s="14" t="s">
        <v>199</v>
      </c>
      <c r="D14" s="25">
        <f>D15+D16</f>
        <v>0</v>
      </c>
      <c r="E14" s="48">
        <f>E15+E16</f>
        <v>259.516</v>
      </c>
      <c r="F14" s="48">
        <f>F15+F16</f>
        <v>61.93</v>
      </c>
    </row>
    <row r="15" spans="1:6" s="15" customFormat="1" ht="18">
      <c r="A15" s="24" t="s">
        <v>194</v>
      </c>
      <c r="B15" s="33" t="s">
        <v>62</v>
      </c>
      <c r="C15" s="14" t="s">
        <v>199</v>
      </c>
      <c r="D15" s="51">
        <f>0</f>
        <v>0</v>
      </c>
      <c r="E15" s="48">
        <f>259.516</f>
        <v>259.516</v>
      </c>
      <c r="F15" s="48">
        <f>61.93</f>
        <v>61.93</v>
      </c>
    </row>
    <row r="16" spans="1:6" s="15" customFormat="1" ht="18">
      <c r="A16" s="24" t="s">
        <v>195</v>
      </c>
      <c r="B16" s="33" t="s">
        <v>64</v>
      </c>
      <c r="C16" s="14" t="s">
        <v>199</v>
      </c>
      <c r="D16" s="51">
        <f>0</f>
        <v>0</v>
      </c>
      <c r="E16" s="48">
        <f>0</f>
        <v>0</v>
      </c>
      <c r="F16" s="48">
        <f>0</f>
        <v>0</v>
      </c>
    </row>
    <row r="17" spans="1:6" s="15" customFormat="1" ht="15">
      <c r="A17" s="24" t="s">
        <v>200</v>
      </c>
      <c r="B17" s="33" t="s">
        <v>66</v>
      </c>
      <c r="C17" s="14" t="s">
        <v>182</v>
      </c>
      <c r="D17" s="81">
        <f>0</f>
        <v>0</v>
      </c>
      <c r="E17" s="48">
        <f>427.742</f>
        <v>427.742</v>
      </c>
      <c r="F17" s="48">
        <f>0</f>
        <v>0</v>
      </c>
    </row>
    <row r="18" spans="1:6" s="15" customFormat="1" ht="15">
      <c r="A18" s="24" t="s">
        <v>201</v>
      </c>
      <c r="B18" s="33" t="s">
        <v>68</v>
      </c>
      <c r="C18" s="14" t="s">
        <v>202</v>
      </c>
      <c r="D18" s="51">
        <f>0</f>
        <v>0</v>
      </c>
      <c r="E18" s="48">
        <f>17</f>
        <v>17</v>
      </c>
      <c r="F18" s="48">
        <f>0</f>
        <v>0</v>
      </c>
    </row>
    <row r="19" spans="1:6" s="15" customFormat="1" ht="30">
      <c r="A19" s="24" t="s">
        <v>203</v>
      </c>
      <c r="B19" s="33" t="s">
        <v>70</v>
      </c>
      <c r="C19" s="14" t="s">
        <v>202</v>
      </c>
      <c r="D19" s="56">
        <f>D20+D21+D22</f>
        <v>0</v>
      </c>
      <c r="E19" s="48">
        <f>E20+E21+E22</f>
        <v>6</v>
      </c>
      <c r="F19" s="48">
        <f>F20+F21+F22</f>
        <v>0</v>
      </c>
    </row>
    <row r="20" spans="1:6" s="15" customFormat="1" ht="15">
      <c r="A20" s="24" t="s">
        <v>204</v>
      </c>
      <c r="B20" s="33" t="s">
        <v>72</v>
      </c>
      <c r="C20" s="14" t="s">
        <v>202</v>
      </c>
      <c r="D20" s="51">
        <f>0</f>
        <v>0</v>
      </c>
      <c r="E20" s="48">
        <f>6</f>
        <v>6</v>
      </c>
      <c r="F20" s="48">
        <f>0</f>
        <v>0</v>
      </c>
    </row>
    <row r="21" spans="1:6" s="15" customFormat="1" ht="15">
      <c r="A21" s="24" t="s">
        <v>205</v>
      </c>
      <c r="B21" s="33" t="s">
        <v>74</v>
      </c>
      <c r="C21" s="14" t="s">
        <v>202</v>
      </c>
      <c r="D21" s="51">
        <f>0</f>
        <v>0</v>
      </c>
      <c r="E21" s="48">
        <f>0</f>
        <v>0</v>
      </c>
      <c r="F21" s="48">
        <f>0</f>
        <v>0</v>
      </c>
    </row>
    <row r="22" spans="1:6" s="15" customFormat="1" ht="15">
      <c r="A22" s="24" t="s">
        <v>206</v>
      </c>
      <c r="B22" s="33" t="s">
        <v>76</v>
      </c>
      <c r="C22" s="14" t="s">
        <v>202</v>
      </c>
      <c r="D22" s="51">
        <f>0</f>
        <v>0</v>
      </c>
      <c r="E22" s="48">
        <f>0</f>
        <v>0</v>
      </c>
      <c r="F22" s="48">
        <f>0</f>
        <v>0</v>
      </c>
    </row>
    <row r="23" spans="1:6" s="15" customFormat="1" ht="15">
      <c r="A23" s="24" t="s">
        <v>207</v>
      </c>
      <c r="B23" s="33" t="s">
        <v>78</v>
      </c>
      <c r="C23" s="14" t="s">
        <v>208</v>
      </c>
      <c r="D23" s="69">
        <f>0</f>
        <v>0</v>
      </c>
      <c r="E23" s="48">
        <f>619.96</f>
        <v>619.96</v>
      </c>
      <c r="F23" s="48">
        <f>0</f>
        <v>0</v>
      </c>
    </row>
    <row r="24" spans="1:6" s="15" customFormat="1" ht="30">
      <c r="A24" s="24" t="s">
        <v>209</v>
      </c>
      <c r="B24" s="33" t="s">
        <v>80</v>
      </c>
      <c r="C24" s="14" t="s">
        <v>208</v>
      </c>
      <c r="D24" s="25">
        <f>D25+D26+D27</f>
        <v>0</v>
      </c>
      <c r="E24" s="48">
        <f>E25+E26+E27</f>
        <v>140.52</v>
      </c>
      <c r="F24" s="48">
        <f>F25+F26+F27</f>
        <v>0</v>
      </c>
    </row>
    <row r="25" spans="1:6" s="15" customFormat="1" ht="15">
      <c r="A25" s="24" t="s">
        <v>204</v>
      </c>
      <c r="B25" s="33" t="s">
        <v>82</v>
      </c>
      <c r="C25" s="14" t="s">
        <v>208</v>
      </c>
      <c r="D25" s="51">
        <f>0</f>
        <v>0</v>
      </c>
      <c r="E25" s="48">
        <f>140.52</f>
        <v>140.52</v>
      </c>
      <c r="F25" s="48">
        <f>0</f>
        <v>0</v>
      </c>
    </row>
    <row r="26" spans="1:6" s="15" customFormat="1" ht="15">
      <c r="A26" s="24" t="s">
        <v>205</v>
      </c>
      <c r="B26" s="33" t="s">
        <v>84</v>
      </c>
      <c r="C26" s="14" t="s">
        <v>208</v>
      </c>
      <c r="D26" s="51">
        <f>0</f>
        <v>0</v>
      </c>
      <c r="E26" s="48">
        <f>0</f>
        <v>0</v>
      </c>
      <c r="F26" s="48">
        <f>0</f>
        <v>0</v>
      </c>
    </row>
    <row r="27" spans="1:6" s="15" customFormat="1" ht="15">
      <c r="A27" s="24" t="s">
        <v>206</v>
      </c>
      <c r="B27" s="33" t="s">
        <v>86</v>
      </c>
      <c r="C27" s="14" t="s">
        <v>208</v>
      </c>
      <c r="D27" s="51">
        <f>0</f>
        <v>0</v>
      </c>
      <c r="E27" s="48">
        <f>0</f>
        <v>0</v>
      </c>
      <c r="F27" s="48">
        <f>0</f>
        <v>0</v>
      </c>
    </row>
    <row r="28" spans="1:6" s="28" customFormat="1" ht="33.75" customHeight="1">
      <c r="A28" s="35" t="s">
        <v>210</v>
      </c>
      <c r="B28" s="18" t="s">
        <v>88</v>
      </c>
      <c r="C28" s="41" t="s">
        <v>208</v>
      </c>
      <c r="D28" s="32">
        <f>0</f>
        <v>0</v>
      </c>
      <c r="E28" s="48">
        <f>281.04</f>
        <v>281.04</v>
      </c>
      <c r="F28" s="48">
        <f>0</f>
        <v>0</v>
      </c>
    </row>
    <row r="29" spans="1:6" s="28" customFormat="1" ht="33.75" customHeight="1">
      <c r="A29" s="35" t="s">
        <v>211</v>
      </c>
      <c r="B29" s="18" t="s">
        <v>90</v>
      </c>
      <c r="C29" s="41" t="s">
        <v>212</v>
      </c>
      <c r="D29" s="25">
        <f>D30+D31+D32</f>
        <v>0</v>
      </c>
      <c r="E29" s="48">
        <f>E30+E31+E32</f>
        <v>2894.712</v>
      </c>
      <c r="F29" s="48">
        <f>F30+F31+F32</f>
        <v>0</v>
      </c>
    </row>
    <row r="30" spans="1:6" s="28" customFormat="1" ht="18">
      <c r="A30" s="35" t="s">
        <v>204</v>
      </c>
      <c r="B30" s="18" t="s">
        <v>92</v>
      </c>
      <c r="C30" s="41" t="s">
        <v>212</v>
      </c>
      <c r="D30" s="32">
        <f aca="true" t="shared" si="0" ref="D30:D35">0</f>
        <v>0</v>
      </c>
      <c r="E30" s="48">
        <f>2894.712</f>
        <v>2894.712</v>
      </c>
      <c r="F30" s="48">
        <f aca="true" t="shared" si="1" ref="F30:F35">0</f>
        <v>0</v>
      </c>
    </row>
    <row r="31" spans="1:6" s="28" customFormat="1" ht="18">
      <c r="A31" s="35" t="s">
        <v>205</v>
      </c>
      <c r="B31" s="18" t="s">
        <v>122</v>
      </c>
      <c r="C31" s="41" t="s">
        <v>212</v>
      </c>
      <c r="D31" s="32">
        <f t="shared" si="0"/>
        <v>0</v>
      </c>
      <c r="E31" s="48">
        <f>0</f>
        <v>0</v>
      </c>
      <c r="F31" s="48">
        <f t="shared" si="1"/>
        <v>0</v>
      </c>
    </row>
    <row r="32" spans="1:6" s="28" customFormat="1" ht="18">
      <c r="A32" s="35" t="s">
        <v>206</v>
      </c>
      <c r="B32" s="18" t="s">
        <v>124</v>
      </c>
      <c r="C32" s="41" t="s">
        <v>212</v>
      </c>
      <c r="D32" s="32">
        <f t="shared" si="0"/>
        <v>0</v>
      </c>
      <c r="E32" s="48">
        <f>0</f>
        <v>0</v>
      </c>
      <c r="F32" s="48">
        <f t="shared" si="1"/>
        <v>0</v>
      </c>
    </row>
    <row r="33" spans="1:6" s="15" customFormat="1" ht="15">
      <c r="A33" s="24" t="s">
        <v>213</v>
      </c>
      <c r="B33" s="33" t="s">
        <v>126</v>
      </c>
      <c r="C33" s="14" t="s">
        <v>202</v>
      </c>
      <c r="D33" s="13">
        <f t="shared" si="0"/>
        <v>0</v>
      </c>
      <c r="E33" s="48">
        <f>0</f>
        <v>0</v>
      </c>
      <c r="F33" s="48">
        <f t="shared" si="1"/>
        <v>0</v>
      </c>
    </row>
    <row r="34" spans="1:6" s="15" customFormat="1" ht="30">
      <c r="A34" s="24" t="s">
        <v>214</v>
      </c>
      <c r="B34" s="33" t="s">
        <v>128</v>
      </c>
      <c r="C34" s="14" t="s">
        <v>202</v>
      </c>
      <c r="D34" s="13">
        <f t="shared" si="0"/>
        <v>0</v>
      </c>
      <c r="E34" s="48">
        <f>0</f>
        <v>0</v>
      </c>
      <c r="F34" s="48">
        <f t="shared" si="1"/>
        <v>0</v>
      </c>
    </row>
    <row r="35" spans="1:6" s="15" customFormat="1" ht="30">
      <c r="A35" s="24" t="s">
        <v>215</v>
      </c>
      <c r="B35" s="33" t="s">
        <v>130</v>
      </c>
      <c r="C35" s="14" t="s">
        <v>212</v>
      </c>
      <c r="D35" s="13">
        <f t="shared" si="0"/>
        <v>0</v>
      </c>
      <c r="E35" s="48">
        <f>0</f>
        <v>0</v>
      </c>
      <c r="F35" s="48">
        <f t="shared" si="1"/>
        <v>0</v>
      </c>
    </row>
    <row r="36" spans="1:6" s="15" customFormat="1" ht="30">
      <c r="A36" s="24" t="s">
        <v>216</v>
      </c>
      <c r="B36" s="33" t="s">
        <v>132</v>
      </c>
      <c r="C36" s="14" t="s">
        <v>202</v>
      </c>
      <c r="D36" s="56">
        <f>D37+D38</f>
        <v>0</v>
      </c>
      <c r="E36" s="48">
        <f>E37+E38</f>
        <v>0</v>
      </c>
      <c r="F36" s="48">
        <f>F37+F38</f>
        <v>0</v>
      </c>
    </row>
    <row r="37" spans="1:6" s="15" customFormat="1" ht="15">
      <c r="A37" s="24" t="s">
        <v>217</v>
      </c>
      <c r="B37" s="33" t="s">
        <v>134</v>
      </c>
      <c r="C37" s="14" t="s">
        <v>202</v>
      </c>
      <c r="D37" s="13">
        <f aca="true" t="shared" si="2" ref="D37:F38">0</f>
        <v>0</v>
      </c>
      <c r="E37" s="48">
        <f t="shared" si="2"/>
        <v>0</v>
      </c>
      <c r="F37" s="48">
        <f t="shared" si="2"/>
        <v>0</v>
      </c>
    </row>
    <row r="38" spans="1:6" s="15" customFormat="1" ht="15">
      <c r="A38" s="24" t="s">
        <v>218</v>
      </c>
      <c r="B38" s="33" t="s">
        <v>136</v>
      </c>
      <c r="C38" s="14" t="s">
        <v>202</v>
      </c>
      <c r="D38" s="13">
        <f t="shared" si="2"/>
        <v>0</v>
      </c>
      <c r="E38" s="48">
        <f t="shared" si="2"/>
        <v>0</v>
      </c>
      <c r="F38" s="48">
        <f t="shared" si="2"/>
        <v>0</v>
      </c>
    </row>
    <row r="39" spans="1:6" s="15" customFormat="1" ht="30">
      <c r="A39" s="24" t="s">
        <v>219</v>
      </c>
      <c r="B39" s="33" t="s">
        <v>138</v>
      </c>
      <c r="C39" s="14" t="s">
        <v>208</v>
      </c>
      <c r="D39" s="56">
        <f>D40+D41</f>
        <v>0</v>
      </c>
      <c r="E39" s="48">
        <f>E40+E41</f>
        <v>0</v>
      </c>
      <c r="F39" s="48">
        <f>F40+F41</f>
        <v>0</v>
      </c>
    </row>
    <row r="40" spans="1:6" s="15" customFormat="1" ht="15">
      <c r="A40" s="24" t="s">
        <v>217</v>
      </c>
      <c r="B40" s="33" t="s">
        <v>140</v>
      </c>
      <c r="C40" s="14" t="s">
        <v>208</v>
      </c>
      <c r="D40" s="13">
        <f aca="true" t="shared" si="3" ref="D40:F41">0</f>
        <v>0</v>
      </c>
      <c r="E40" s="48">
        <f t="shared" si="3"/>
        <v>0</v>
      </c>
      <c r="F40" s="48">
        <f t="shared" si="3"/>
        <v>0</v>
      </c>
    </row>
    <row r="41" spans="1:6" s="15" customFormat="1" ht="15">
      <c r="A41" s="24" t="s">
        <v>218</v>
      </c>
      <c r="B41" s="33" t="s">
        <v>142</v>
      </c>
      <c r="C41" s="14" t="s">
        <v>208</v>
      </c>
      <c r="D41" s="13">
        <f t="shared" si="3"/>
        <v>0</v>
      </c>
      <c r="E41" s="48">
        <f t="shared" si="3"/>
        <v>0</v>
      </c>
      <c r="F41" s="48">
        <f t="shared" si="3"/>
        <v>0</v>
      </c>
    </row>
    <row r="42" spans="1:6" s="15" customFormat="1" ht="45">
      <c r="A42" s="24" t="s">
        <v>220</v>
      </c>
      <c r="B42" s="33" t="s">
        <v>144</v>
      </c>
      <c r="C42" s="14" t="s">
        <v>212</v>
      </c>
      <c r="D42" s="25">
        <f>D43+D44</f>
        <v>0</v>
      </c>
      <c r="E42" s="48">
        <f>E43+E44</f>
        <v>0</v>
      </c>
      <c r="F42" s="48">
        <f>F43+F44</f>
        <v>0</v>
      </c>
    </row>
    <row r="43" spans="1:6" s="15" customFormat="1" ht="18">
      <c r="A43" s="24" t="s">
        <v>217</v>
      </c>
      <c r="B43" s="33" t="s">
        <v>146</v>
      </c>
      <c r="C43" s="14" t="s">
        <v>212</v>
      </c>
      <c r="D43" s="13">
        <f aca="true" t="shared" si="4" ref="D43:D48">0</f>
        <v>0</v>
      </c>
      <c r="E43" s="48">
        <f>0</f>
        <v>0</v>
      </c>
      <c r="F43" s="48">
        <f aca="true" t="shared" si="5" ref="F43:F48">0</f>
        <v>0</v>
      </c>
    </row>
    <row r="44" spans="1:6" s="15" customFormat="1" ht="18">
      <c r="A44" s="24" t="s">
        <v>218</v>
      </c>
      <c r="B44" s="33" t="s">
        <v>148</v>
      </c>
      <c r="C44" s="14" t="s">
        <v>212</v>
      </c>
      <c r="D44" s="13">
        <f t="shared" si="4"/>
        <v>0</v>
      </c>
      <c r="E44" s="48">
        <f>0</f>
        <v>0</v>
      </c>
      <c r="F44" s="48">
        <f t="shared" si="5"/>
        <v>0</v>
      </c>
    </row>
    <row r="45" spans="1:6" s="15" customFormat="1" ht="30">
      <c r="A45" s="24" t="s">
        <v>221</v>
      </c>
      <c r="B45" s="33" t="s">
        <v>150</v>
      </c>
      <c r="C45" s="14" t="s">
        <v>202</v>
      </c>
      <c r="D45" s="13">
        <f t="shared" si="4"/>
        <v>0</v>
      </c>
      <c r="E45" s="48">
        <f>44</f>
        <v>44</v>
      </c>
      <c r="F45" s="48">
        <f t="shared" si="5"/>
        <v>0</v>
      </c>
    </row>
    <row r="46" spans="1:6" s="15" customFormat="1" ht="45">
      <c r="A46" s="24" t="s">
        <v>222</v>
      </c>
      <c r="B46" s="33" t="s">
        <v>152</v>
      </c>
      <c r="C46" s="14" t="s">
        <v>202</v>
      </c>
      <c r="D46" s="13">
        <f t="shared" si="4"/>
        <v>0</v>
      </c>
      <c r="E46" s="48">
        <f>5</f>
        <v>5</v>
      </c>
      <c r="F46" s="48">
        <f t="shared" si="5"/>
        <v>0</v>
      </c>
    </row>
    <row r="47" spans="1:6" s="15" customFormat="1" ht="30">
      <c r="A47" s="24" t="s">
        <v>223</v>
      </c>
      <c r="B47" s="33" t="s">
        <v>154</v>
      </c>
      <c r="C47" s="14" t="s">
        <v>208</v>
      </c>
      <c r="D47" s="13">
        <f t="shared" si="4"/>
        <v>0</v>
      </c>
      <c r="E47" s="48">
        <f>1550.34</f>
        <v>1550.34</v>
      </c>
      <c r="F47" s="48">
        <f t="shared" si="5"/>
        <v>0</v>
      </c>
    </row>
    <row r="48" spans="1:6" s="15" customFormat="1" ht="45">
      <c r="A48" s="24" t="s">
        <v>224</v>
      </c>
      <c r="B48" s="33" t="s">
        <v>156</v>
      </c>
      <c r="C48" s="14" t="s">
        <v>208</v>
      </c>
      <c r="D48" s="13">
        <f t="shared" si="4"/>
        <v>0</v>
      </c>
      <c r="E48" s="48">
        <f>160.1</f>
        <v>160.1</v>
      </c>
      <c r="F48" s="48">
        <f t="shared" si="5"/>
        <v>0</v>
      </c>
    </row>
    <row r="49" spans="1:6" s="15" customFormat="1" ht="45">
      <c r="A49" s="24" t="s">
        <v>225</v>
      </c>
      <c r="B49" s="33" t="s">
        <v>226</v>
      </c>
      <c r="C49" s="14" t="s">
        <v>208</v>
      </c>
      <c r="D49" s="25">
        <f>D50+D51+D52</f>
        <v>0</v>
      </c>
      <c r="E49" s="48">
        <f>E50+E51+E52</f>
        <v>0</v>
      </c>
      <c r="F49" s="48">
        <f>F50+F51+F52</f>
        <v>0</v>
      </c>
    </row>
    <row r="50" spans="1:6" s="15" customFormat="1" ht="15">
      <c r="A50" s="24" t="s">
        <v>227</v>
      </c>
      <c r="B50" s="33" t="s">
        <v>228</v>
      </c>
      <c r="C50" s="14" t="s">
        <v>208</v>
      </c>
      <c r="D50" s="13">
        <f aca="true" t="shared" si="6" ref="D50:D79">0</f>
        <v>0</v>
      </c>
      <c r="E50" s="48">
        <f aca="true" t="shared" si="7" ref="E50:E60">0</f>
        <v>0</v>
      </c>
      <c r="F50" s="48">
        <f>0</f>
        <v>0</v>
      </c>
    </row>
    <row r="51" spans="1:6" s="15" customFormat="1" ht="15">
      <c r="A51" s="24" t="s">
        <v>229</v>
      </c>
      <c r="B51" s="33" t="s">
        <v>230</v>
      </c>
      <c r="C51" s="14" t="s">
        <v>208</v>
      </c>
      <c r="D51" s="13">
        <f t="shared" si="6"/>
        <v>0</v>
      </c>
      <c r="E51" s="48">
        <f t="shared" si="7"/>
        <v>0</v>
      </c>
      <c r="F51" s="48">
        <f>0</f>
        <v>0</v>
      </c>
    </row>
    <row r="52" spans="1:6" s="15" customFormat="1" ht="30">
      <c r="A52" s="24" t="s">
        <v>231</v>
      </c>
      <c r="B52" s="33" t="s">
        <v>232</v>
      </c>
      <c r="C52" s="14" t="s">
        <v>208</v>
      </c>
      <c r="D52" s="13">
        <f t="shared" si="6"/>
        <v>0</v>
      </c>
      <c r="E52" s="48">
        <f t="shared" si="7"/>
        <v>0</v>
      </c>
      <c r="F52" s="48">
        <f>0</f>
        <v>0</v>
      </c>
    </row>
    <row r="53" spans="1:6" s="15" customFormat="1" ht="15">
      <c r="A53" s="24" t="s">
        <v>233</v>
      </c>
      <c r="B53" s="33" t="s">
        <v>234</v>
      </c>
      <c r="C53" s="14" t="s">
        <v>208</v>
      </c>
      <c r="D53" s="13">
        <f t="shared" si="6"/>
        <v>0</v>
      </c>
      <c r="E53" s="48">
        <f t="shared" si="7"/>
        <v>0</v>
      </c>
      <c r="F53" s="48">
        <f>0</f>
        <v>0</v>
      </c>
    </row>
    <row r="54" spans="1:6" s="15" customFormat="1" ht="30">
      <c r="A54" s="24" t="s">
        <v>235</v>
      </c>
      <c r="B54" s="33" t="s">
        <v>236</v>
      </c>
      <c r="C54" s="14" t="s">
        <v>212</v>
      </c>
      <c r="D54" s="13">
        <f t="shared" si="6"/>
        <v>0</v>
      </c>
      <c r="E54" s="48">
        <f t="shared" si="7"/>
        <v>0</v>
      </c>
      <c r="F54" s="48">
        <f>0</f>
        <v>0</v>
      </c>
    </row>
    <row r="55" spans="1:6" s="15" customFormat="1" ht="45">
      <c r="A55" s="24" t="s">
        <v>237</v>
      </c>
      <c r="B55" s="33" t="s">
        <v>238</v>
      </c>
      <c r="C55" s="14" t="s">
        <v>208</v>
      </c>
      <c r="D55" s="13">
        <f t="shared" si="6"/>
        <v>0</v>
      </c>
      <c r="E55" s="48">
        <f t="shared" si="7"/>
        <v>0</v>
      </c>
      <c r="F55" s="48">
        <f>7600</f>
        <v>7600</v>
      </c>
    </row>
    <row r="56" spans="1:6" s="15" customFormat="1" ht="30">
      <c r="A56" s="24" t="s">
        <v>239</v>
      </c>
      <c r="B56" s="33" t="s">
        <v>240</v>
      </c>
      <c r="C56" s="14" t="s">
        <v>208</v>
      </c>
      <c r="D56" s="13">
        <f t="shared" si="6"/>
        <v>0</v>
      </c>
      <c r="E56" s="48">
        <f t="shared" si="7"/>
        <v>0</v>
      </c>
      <c r="F56" s="48">
        <f aca="true" t="shared" si="8" ref="F56:F78">0</f>
        <v>0</v>
      </c>
    </row>
    <row r="57" spans="1:6" s="15" customFormat="1" ht="45">
      <c r="A57" s="24" t="s">
        <v>241</v>
      </c>
      <c r="B57" s="33" t="s">
        <v>242</v>
      </c>
      <c r="C57" s="14" t="s">
        <v>202</v>
      </c>
      <c r="D57" s="13">
        <f t="shared" si="6"/>
        <v>0</v>
      </c>
      <c r="E57" s="48">
        <f t="shared" si="7"/>
        <v>0</v>
      </c>
      <c r="F57" s="48">
        <f t="shared" si="8"/>
        <v>0</v>
      </c>
    </row>
    <row r="58" spans="1:6" s="15" customFormat="1" ht="15">
      <c r="A58" s="24" t="s">
        <v>243</v>
      </c>
      <c r="B58" s="33" t="s">
        <v>244</v>
      </c>
      <c r="C58" s="14" t="s">
        <v>202</v>
      </c>
      <c r="D58" s="13">
        <f t="shared" si="6"/>
        <v>0</v>
      </c>
      <c r="E58" s="48">
        <f t="shared" si="7"/>
        <v>0</v>
      </c>
      <c r="F58" s="48">
        <f t="shared" si="8"/>
        <v>0</v>
      </c>
    </row>
    <row r="59" spans="1:6" s="15" customFormat="1" ht="30">
      <c r="A59" s="24" t="s">
        <v>245</v>
      </c>
      <c r="B59" s="33" t="s">
        <v>246</v>
      </c>
      <c r="C59" s="14" t="s">
        <v>202</v>
      </c>
      <c r="D59" s="13">
        <f t="shared" si="6"/>
        <v>0</v>
      </c>
      <c r="E59" s="48">
        <f t="shared" si="7"/>
        <v>0</v>
      </c>
      <c r="F59" s="48">
        <f t="shared" si="8"/>
        <v>0</v>
      </c>
    </row>
    <row r="60" spans="1:6" s="15" customFormat="1" ht="15">
      <c r="A60" s="24" t="s">
        <v>247</v>
      </c>
      <c r="B60" s="33" t="s">
        <v>248</v>
      </c>
      <c r="C60" s="14" t="s">
        <v>202</v>
      </c>
      <c r="D60" s="13">
        <f t="shared" si="6"/>
        <v>0</v>
      </c>
      <c r="E60" s="48">
        <f t="shared" si="7"/>
        <v>0</v>
      </c>
      <c r="F60" s="48">
        <f t="shared" si="8"/>
        <v>0</v>
      </c>
    </row>
    <row r="61" spans="1:6" s="15" customFormat="1" ht="15">
      <c r="A61" s="80" t="s">
        <v>249</v>
      </c>
      <c r="B61" s="33" t="s">
        <v>250</v>
      </c>
      <c r="C61" s="14" t="s">
        <v>208</v>
      </c>
      <c r="D61" s="69">
        <f t="shared" si="6"/>
        <v>0</v>
      </c>
      <c r="E61" s="48">
        <f>21656</f>
        <v>21656</v>
      </c>
      <c r="F61" s="48">
        <f t="shared" si="8"/>
        <v>0</v>
      </c>
    </row>
    <row r="62" spans="1:6" s="15" customFormat="1" ht="15">
      <c r="A62" s="24" t="s">
        <v>251</v>
      </c>
      <c r="B62" s="33" t="s">
        <v>252</v>
      </c>
      <c r="C62" s="14" t="s">
        <v>208</v>
      </c>
      <c r="D62" s="13">
        <f t="shared" si="6"/>
        <v>0</v>
      </c>
      <c r="E62" s="48">
        <f>0</f>
        <v>0</v>
      </c>
      <c r="F62" s="48">
        <f t="shared" si="8"/>
        <v>0</v>
      </c>
    </row>
    <row r="63" spans="1:6" s="15" customFormat="1" ht="30">
      <c r="A63" s="24" t="s">
        <v>253</v>
      </c>
      <c r="B63" s="33" t="s">
        <v>254</v>
      </c>
      <c r="C63" s="14" t="s">
        <v>255</v>
      </c>
      <c r="D63" s="51">
        <f t="shared" si="6"/>
        <v>0</v>
      </c>
      <c r="E63" s="48">
        <f>316.74</f>
        <v>316.74</v>
      </c>
      <c r="F63" s="48">
        <f t="shared" si="8"/>
        <v>0</v>
      </c>
    </row>
    <row r="64" spans="1:6" s="15" customFormat="1" ht="30">
      <c r="A64" s="24" t="s">
        <v>256</v>
      </c>
      <c r="B64" s="33" t="s">
        <v>257</v>
      </c>
      <c r="C64" s="14" t="s">
        <v>212</v>
      </c>
      <c r="D64" s="13">
        <f t="shared" si="6"/>
        <v>0</v>
      </c>
      <c r="E64" s="48">
        <f aca="true" t="shared" si="9" ref="E64:E69">0</f>
        <v>0</v>
      </c>
      <c r="F64" s="48">
        <f t="shared" si="8"/>
        <v>0</v>
      </c>
    </row>
    <row r="65" spans="1:6" s="15" customFormat="1" ht="45">
      <c r="A65" s="24" t="s">
        <v>258</v>
      </c>
      <c r="B65" s="33" t="s">
        <v>259</v>
      </c>
      <c r="C65" s="14" t="s">
        <v>208</v>
      </c>
      <c r="D65" s="13">
        <f t="shared" si="6"/>
        <v>0</v>
      </c>
      <c r="E65" s="48">
        <f t="shared" si="9"/>
        <v>0</v>
      </c>
      <c r="F65" s="48">
        <f t="shared" si="8"/>
        <v>0</v>
      </c>
    </row>
    <row r="66" spans="1:6" s="15" customFormat="1" ht="45">
      <c r="A66" s="24" t="s">
        <v>260</v>
      </c>
      <c r="B66" s="33" t="s">
        <v>261</v>
      </c>
      <c r="C66" s="14" t="s">
        <v>208</v>
      </c>
      <c r="D66" s="13">
        <f t="shared" si="6"/>
        <v>0</v>
      </c>
      <c r="E66" s="48">
        <f t="shared" si="9"/>
        <v>0</v>
      </c>
      <c r="F66" s="48">
        <f t="shared" si="8"/>
        <v>0</v>
      </c>
    </row>
    <row r="67" spans="1:6" s="15" customFormat="1" ht="30">
      <c r="A67" s="24" t="s">
        <v>262</v>
      </c>
      <c r="B67" s="33" t="s">
        <v>263</v>
      </c>
      <c r="C67" s="14" t="s">
        <v>208</v>
      </c>
      <c r="D67" s="13">
        <f t="shared" si="6"/>
        <v>0</v>
      </c>
      <c r="E67" s="48">
        <f t="shared" si="9"/>
        <v>0</v>
      </c>
      <c r="F67" s="48">
        <f t="shared" si="8"/>
        <v>0</v>
      </c>
    </row>
    <row r="68" spans="1:6" s="15" customFormat="1" ht="15">
      <c r="A68" s="24" t="s">
        <v>264</v>
      </c>
      <c r="B68" s="33" t="s">
        <v>265</v>
      </c>
      <c r="C68" s="14" t="s">
        <v>208</v>
      </c>
      <c r="D68" s="13">
        <f t="shared" si="6"/>
        <v>0</v>
      </c>
      <c r="E68" s="48">
        <f t="shared" si="9"/>
        <v>0</v>
      </c>
      <c r="F68" s="48">
        <f t="shared" si="8"/>
        <v>0</v>
      </c>
    </row>
    <row r="69" spans="1:6" s="15" customFormat="1" ht="30">
      <c r="A69" s="24" t="s">
        <v>266</v>
      </c>
      <c r="B69" s="33" t="s">
        <v>267</v>
      </c>
      <c r="C69" s="14" t="s">
        <v>208</v>
      </c>
      <c r="D69" s="13">
        <f t="shared" si="6"/>
        <v>0</v>
      </c>
      <c r="E69" s="48">
        <f t="shared" si="9"/>
        <v>0</v>
      </c>
      <c r="F69" s="48">
        <f t="shared" si="8"/>
        <v>0</v>
      </c>
    </row>
    <row r="70" spans="1:6" s="28" customFormat="1" ht="45">
      <c r="A70" s="35" t="s">
        <v>268</v>
      </c>
      <c r="B70" s="18" t="s">
        <v>269</v>
      </c>
      <c r="C70" s="41" t="s">
        <v>202</v>
      </c>
      <c r="D70" s="32">
        <f t="shared" si="6"/>
        <v>0</v>
      </c>
      <c r="E70" s="48">
        <f>15</f>
        <v>15</v>
      </c>
      <c r="F70" s="48">
        <f t="shared" si="8"/>
        <v>0</v>
      </c>
    </row>
    <row r="71" spans="1:6" s="15" customFormat="1" ht="30">
      <c r="A71" s="24" t="s">
        <v>270</v>
      </c>
      <c r="B71" s="33" t="s">
        <v>271</v>
      </c>
      <c r="C71" s="14" t="s">
        <v>202</v>
      </c>
      <c r="D71" s="13">
        <f t="shared" si="6"/>
        <v>0</v>
      </c>
      <c r="E71" s="48">
        <f aca="true" t="shared" si="10" ref="E71:E78">0</f>
        <v>0</v>
      </c>
      <c r="F71" s="48">
        <f t="shared" si="8"/>
        <v>0</v>
      </c>
    </row>
    <row r="72" spans="1:6" s="15" customFormat="1" ht="30">
      <c r="A72" s="24" t="s">
        <v>272</v>
      </c>
      <c r="B72" s="33" t="s">
        <v>273</v>
      </c>
      <c r="C72" s="14" t="s">
        <v>202</v>
      </c>
      <c r="D72" s="13">
        <f t="shared" si="6"/>
        <v>0</v>
      </c>
      <c r="E72" s="48">
        <f t="shared" si="10"/>
        <v>0</v>
      </c>
      <c r="F72" s="48">
        <f t="shared" si="8"/>
        <v>0</v>
      </c>
    </row>
    <row r="73" spans="1:6" s="15" customFormat="1" ht="15">
      <c r="A73" s="24" t="s">
        <v>274</v>
      </c>
      <c r="B73" s="33" t="s">
        <v>275</v>
      </c>
      <c r="C73" s="14" t="s">
        <v>202</v>
      </c>
      <c r="D73" s="13">
        <f t="shared" si="6"/>
        <v>0</v>
      </c>
      <c r="E73" s="48">
        <f t="shared" si="10"/>
        <v>0</v>
      </c>
      <c r="F73" s="48">
        <f t="shared" si="8"/>
        <v>0</v>
      </c>
    </row>
    <row r="74" spans="1:6" s="15" customFormat="1" ht="15">
      <c r="A74" s="24" t="s">
        <v>276</v>
      </c>
      <c r="B74" s="33" t="s">
        <v>277</v>
      </c>
      <c r="C74" s="14" t="s">
        <v>182</v>
      </c>
      <c r="D74" s="13">
        <f t="shared" si="6"/>
        <v>0</v>
      </c>
      <c r="E74" s="48">
        <f t="shared" si="10"/>
        <v>0</v>
      </c>
      <c r="F74" s="48">
        <f t="shared" si="8"/>
        <v>0</v>
      </c>
    </row>
    <row r="75" spans="1:6" s="15" customFormat="1" ht="15">
      <c r="A75" s="24" t="s">
        <v>278</v>
      </c>
      <c r="B75" s="33" t="s">
        <v>279</v>
      </c>
      <c r="C75" s="14" t="s">
        <v>208</v>
      </c>
      <c r="D75" s="13">
        <f t="shared" si="6"/>
        <v>0</v>
      </c>
      <c r="E75" s="48">
        <f t="shared" si="10"/>
        <v>0</v>
      </c>
      <c r="F75" s="48">
        <f t="shared" si="8"/>
        <v>0</v>
      </c>
    </row>
    <row r="76" spans="1:6" s="15" customFormat="1" ht="15">
      <c r="A76" s="24" t="s">
        <v>280</v>
      </c>
      <c r="B76" s="33" t="s">
        <v>281</v>
      </c>
      <c r="C76" s="14" t="s">
        <v>202</v>
      </c>
      <c r="D76" s="13">
        <f t="shared" si="6"/>
        <v>0</v>
      </c>
      <c r="E76" s="48">
        <f t="shared" si="10"/>
        <v>0</v>
      </c>
      <c r="F76" s="48">
        <f t="shared" si="8"/>
        <v>0</v>
      </c>
    </row>
    <row r="77" spans="1:6" s="15" customFormat="1" ht="15">
      <c r="A77" s="24" t="s">
        <v>282</v>
      </c>
      <c r="B77" s="33" t="s">
        <v>283</v>
      </c>
      <c r="C77" s="14" t="s">
        <v>202</v>
      </c>
      <c r="D77" s="13">
        <f t="shared" si="6"/>
        <v>0</v>
      </c>
      <c r="E77" s="48">
        <f t="shared" si="10"/>
        <v>0</v>
      </c>
      <c r="F77" s="48">
        <f t="shared" si="8"/>
        <v>0</v>
      </c>
    </row>
    <row r="78" spans="1:6" s="15" customFormat="1" ht="15">
      <c r="A78" s="24" t="s">
        <v>284</v>
      </c>
      <c r="B78" s="33" t="s">
        <v>285</v>
      </c>
      <c r="C78" s="14" t="s">
        <v>202</v>
      </c>
      <c r="D78" s="13">
        <f t="shared" si="6"/>
        <v>0</v>
      </c>
      <c r="E78" s="48">
        <f t="shared" si="10"/>
        <v>0</v>
      </c>
      <c r="F78" s="48">
        <f t="shared" si="8"/>
        <v>0</v>
      </c>
    </row>
    <row r="79" spans="1:6" s="28" customFormat="1" ht="15">
      <c r="A79" s="35" t="s">
        <v>286</v>
      </c>
      <c r="B79" s="18" t="s">
        <v>287</v>
      </c>
      <c r="C79" s="41" t="s">
        <v>182</v>
      </c>
      <c r="D79" s="32">
        <f t="shared" si="6"/>
        <v>0</v>
      </c>
      <c r="E79" s="48">
        <f>72.58</f>
        <v>72.58</v>
      </c>
      <c r="F79" s="48">
        <f>7.19</f>
        <v>7.19</v>
      </c>
    </row>
    <row r="80" spans="1:6" s="15" customFormat="1" ht="45">
      <c r="A80" s="24" t="s">
        <v>288</v>
      </c>
      <c r="B80" s="33" t="s">
        <v>289</v>
      </c>
      <c r="C80" s="14" t="s">
        <v>182</v>
      </c>
      <c r="D80" s="99">
        <f>D81+D82</f>
        <v>0</v>
      </c>
      <c r="E80" s="48">
        <f>E81+E82</f>
        <v>72.58</v>
      </c>
      <c r="F80" s="48">
        <f>F81+F82</f>
        <v>0</v>
      </c>
    </row>
    <row r="81" spans="1:6" s="15" customFormat="1" ht="15">
      <c r="A81" s="24" t="s">
        <v>290</v>
      </c>
      <c r="B81" s="33" t="s">
        <v>291</v>
      </c>
      <c r="C81" s="14" t="s">
        <v>182</v>
      </c>
      <c r="D81" s="13">
        <f>0</f>
        <v>0</v>
      </c>
      <c r="E81" s="48">
        <f>0</f>
        <v>0</v>
      </c>
      <c r="F81" s="48">
        <f>0</f>
        <v>0</v>
      </c>
    </row>
    <row r="82" spans="1:6" s="15" customFormat="1" ht="15">
      <c r="A82" s="24" t="s">
        <v>292</v>
      </c>
      <c r="B82" s="33" t="s">
        <v>293</v>
      </c>
      <c r="C82" s="14" t="s">
        <v>182</v>
      </c>
      <c r="D82" s="13">
        <f>0</f>
        <v>0</v>
      </c>
      <c r="E82" s="48">
        <f>72.58</f>
        <v>72.58</v>
      </c>
      <c r="F82" s="48">
        <f>0</f>
        <v>0</v>
      </c>
    </row>
    <row r="83" spans="1:6" s="15" customFormat="1" ht="45">
      <c r="A83" s="24" t="s">
        <v>294</v>
      </c>
      <c r="B83" s="33" t="s">
        <v>295</v>
      </c>
      <c r="C83" s="14" t="s">
        <v>182</v>
      </c>
      <c r="D83" s="48">
        <f>D84+D85</f>
        <v>0</v>
      </c>
      <c r="E83" s="48">
        <f>E84+E85</f>
        <v>145.162</v>
      </c>
      <c r="F83" s="48">
        <f>F84+F85</f>
        <v>0</v>
      </c>
    </row>
    <row r="84" spans="1:6" s="15" customFormat="1" ht="15">
      <c r="A84" s="24" t="s">
        <v>290</v>
      </c>
      <c r="B84" s="33" t="s">
        <v>296</v>
      </c>
      <c r="C84" s="14" t="s">
        <v>182</v>
      </c>
      <c r="D84" s="13">
        <f>0</f>
        <v>0</v>
      </c>
      <c r="E84" s="48">
        <f>0</f>
        <v>0</v>
      </c>
      <c r="F84" s="48">
        <f>0</f>
        <v>0</v>
      </c>
    </row>
    <row r="85" spans="1:6" s="15" customFormat="1" ht="15">
      <c r="A85" s="24" t="s">
        <v>292</v>
      </c>
      <c r="B85" s="33" t="s">
        <v>297</v>
      </c>
      <c r="C85" s="14" t="s">
        <v>182</v>
      </c>
      <c r="D85" s="13">
        <f>0</f>
        <v>0</v>
      </c>
      <c r="E85" s="48">
        <f>145.162</f>
        <v>145.162</v>
      </c>
      <c r="F85" s="48">
        <f>0</f>
        <v>0</v>
      </c>
    </row>
    <row r="86" spans="1:6" s="15" customFormat="1" ht="30">
      <c r="A86" s="24" t="s">
        <v>298</v>
      </c>
      <c r="B86" s="33" t="s">
        <v>299</v>
      </c>
      <c r="C86" s="14" t="s">
        <v>199</v>
      </c>
      <c r="D86" s="25">
        <f>D87+D88</f>
        <v>0</v>
      </c>
      <c r="E86" s="48">
        <f>E87+E88</f>
        <v>711.3</v>
      </c>
      <c r="F86" s="48">
        <f>F87+F88</f>
        <v>0</v>
      </c>
    </row>
    <row r="87" spans="1:6" s="15" customFormat="1" ht="18">
      <c r="A87" s="24" t="s">
        <v>290</v>
      </c>
      <c r="B87" s="33" t="s">
        <v>300</v>
      </c>
      <c r="C87" s="14" t="s">
        <v>199</v>
      </c>
      <c r="D87" s="13">
        <f>0</f>
        <v>0</v>
      </c>
      <c r="E87" s="48">
        <f>0</f>
        <v>0</v>
      </c>
      <c r="F87" s="48">
        <f>0</f>
        <v>0</v>
      </c>
    </row>
    <row r="88" spans="1:6" s="15" customFormat="1" ht="18">
      <c r="A88" s="24" t="s">
        <v>292</v>
      </c>
      <c r="B88" s="33" t="s">
        <v>301</v>
      </c>
      <c r="C88" s="14" t="s">
        <v>199</v>
      </c>
      <c r="D88" s="32">
        <f>0</f>
        <v>0</v>
      </c>
      <c r="E88" s="48">
        <f>711.3</f>
        <v>711.3</v>
      </c>
      <c r="F88" s="48">
        <f>0</f>
        <v>0</v>
      </c>
    </row>
    <row r="89" spans="1:6" s="15" customFormat="1" ht="15">
      <c r="A89" s="24" t="s">
        <v>302</v>
      </c>
      <c r="B89" s="33" t="s">
        <v>303</v>
      </c>
      <c r="C89" s="14" t="s">
        <v>202</v>
      </c>
      <c r="D89" s="13">
        <f>0</f>
        <v>0</v>
      </c>
      <c r="E89" s="48">
        <f>4</f>
        <v>4</v>
      </c>
      <c r="F89" s="48">
        <f>1</f>
        <v>1</v>
      </c>
    </row>
    <row r="90" spans="1:6" s="15" customFormat="1" ht="30">
      <c r="A90" s="24" t="s">
        <v>304</v>
      </c>
      <c r="B90" s="33" t="s">
        <v>305</v>
      </c>
      <c r="C90" s="14" t="s">
        <v>202</v>
      </c>
      <c r="D90" s="48">
        <f>D91+D92</f>
        <v>0</v>
      </c>
      <c r="E90" s="48">
        <f>E91+E92</f>
        <v>4</v>
      </c>
      <c r="F90" s="48">
        <f>F91+F92</f>
        <v>1</v>
      </c>
    </row>
    <row r="91" spans="1:6" s="15" customFormat="1" ht="15">
      <c r="A91" s="24" t="s">
        <v>290</v>
      </c>
      <c r="B91" s="33" t="s">
        <v>306</v>
      </c>
      <c r="C91" s="14" t="s">
        <v>202</v>
      </c>
      <c r="D91" s="13">
        <f>0</f>
        <v>0</v>
      </c>
      <c r="E91" s="48">
        <f>0</f>
        <v>0</v>
      </c>
      <c r="F91" s="48">
        <f>0</f>
        <v>0</v>
      </c>
    </row>
    <row r="92" spans="1:6" s="15" customFormat="1" ht="15">
      <c r="A92" s="24" t="s">
        <v>292</v>
      </c>
      <c r="B92" s="33" t="s">
        <v>307</v>
      </c>
      <c r="C92" s="14" t="s">
        <v>202</v>
      </c>
      <c r="D92" s="13">
        <f>0</f>
        <v>0</v>
      </c>
      <c r="E92" s="48">
        <f>4</f>
        <v>4</v>
      </c>
      <c r="F92" s="48">
        <f>1</f>
        <v>1</v>
      </c>
    </row>
    <row r="93" spans="1:6" s="15" customFormat="1" ht="15">
      <c r="A93" s="24" t="s">
        <v>308</v>
      </c>
      <c r="B93" s="33" t="s">
        <v>309</v>
      </c>
      <c r="C93" s="14" t="s">
        <v>208</v>
      </c>
      <c r="D93" s="13">
        <f>0</f>
        <v>0</v>
      </c>
      <c r="E93" s="48">
        <f>137.8</f>
        <v>137.8</v>
      </c>
      <c r="F93" s="48">
        <f>10.5</f>
        <v>10.5</v>
      </c>
    </row>
    <row r="94" spans="1:6" s="15" customFormat="1" ht="30">
      <c r="A94" s="24" t="s">
        <v>310</v>
      </c>
      <c r="B94" s="33" t="s">
        <v>311</v>
      </c>
      <c r="C94" s="14" t="s">
        <v>208</v>
      </c>
      <c r="D94" s="25">
        <f>D95+D96</f>
        <v>0</v>
      </c>
      <c r="E94" s="48">
        <f>E95+E96</f>
        <v>137.8</v>
      </c>
      <c r="F94" s="48">
        <f>F95+F96</f>
        <v>10.5</v>
      </c>
    </row>
    <row r="95" spans="1:6" s="26" customFormat="1" ht="15">
      <c r="A95" s="24" t="s">
        <v>290</v>
      </c>
      <c r="B95" s="33" t="s">
        <v>312</v>
      </c>
      <c r="C95" s="14" t="s">
        <v>208</v>
      </c>
      <c r="D95" s="13">
        <f>0</f>
        <v>0</v>
      </c>
      <c r="E95" s="48">
        <f>0</f>
        <v>0</v>
      </c>
      <c r="F95" s="48">
        <f>0</f>
        <v>0</v>
      </c>
    </row>
    <row r="96" spans="1:6" s="26" customFormat="1" ht="15">
      <c r="A96" s="24" t="s">
        <v>292</v>
      </c>
      <c r="B96" s="33" t="s">
        <v>313</v>
      </c>
      <c r="C96" s="14" t="s">
        <v>208</v>
      </c>
      <c r="D96" s="13">
        <f>0</f>
        <v>0</v>
      </c>
      <c r="E96" s="48">
        <f>137.8</f>
        <v>137.8</v>
      </c>
      <c r="F96" s="48">
        <f>10.5</f>
        <v>10.5</v>
      </c>
    </row>
    <row r="97" spans="1:6" s="15" customFormat="1" ht="45">
      <c r="A97" s="24" t="s">
        <v>314</v>
      </c>
      <c r="B97" s="33" t="s">
        <v>315</v>
      </c>
      <c r="C97" s="14" t="s">
        <v>208</v>
      </c>
      <c r="D97" s="56">
        <f>D98+D99</f>
        <v>0</v>
      </c>
      <c r="E97" s="48">
        <f>E98+E99</f>
        <v>275.6</v>
      </c>
      <c r="F97" s="48">
        <f>F98+F99</f>
        <v>21</v>
      </c>
    </row>
    <row r="98" spans="1:6" s="26" customFormat="1" ht="15">
      <c r="A98" s="24" t="s">
        <v>290</v>
      </c>
      <c r="B98" s="33" t="s">
        <v>316</v>
      </c>
      <c r="C98" s="14" t="s">
        <v>208</v>
      </c>
      <c r="D98" s="13">
        <f>0</f>
        <v>0</v>
      </c>
      <c r="E98" s="48">
        <f>0</f>
        <v>0</v>
      </c>
      <c r="F98" s="48">
        <f>0</f>
        <v>0</v>
      </c>
    </row>
    <row r="99" spans="1:6" s="26" customFormat="1" ht="15">
      <c r="A99" s="24" t="s">
        <v>292</v>
      </c>
      <c r="B99" s="33" t="s">
        <v>317</v>
      </c>
      <c r="C99" s="14" t="s">
        <v>208</v>
      </c>
      <c r="D99" s="13">
        <f>0</f>
        <v>0</v>
      </c>
      <c r="E99" s="48">
        <f>275.6</f>
        <v>275.6</v>
      </c>
      <c r="F99" s="48">
        <f>21</f>
        <v>21</v>
      </c>
    </row>
    <row r="100" spans="1:6" s="15" customFormat="1" ht="30">
      <c r="A100" s="24" t="s">
        <v>318</v>
      </c>
      <c r="B100" s="33" t="s">
        <v>319</v>
      </c>
      <c r="C100" s="14" t="s">
        <v>199</v>
      </c>
      <c r="D100" s="99">
        <f>D101+D102</f>
        <v>0</v>
      </c>
      <c r="E100" s="48">
        <f>E101+E102</f>
        <v>1.19</v>
      </c>
      <c r="F100" s="48">
        <f>F101+F102</f>
        <v>0.065</v>
      </c>
    </row>
    <row r="101" spans="1:6" s="26" customFormat="1" ht="18">
      <c r="A101" s="24" t="s">
        <v>290</v>
      </c>
      <c r="B101" s="33" t="s">
        <v>320</v>
      </c>
      <c r="C101" s="14" t="s">
        <v>199</v>
      </c>
      <c r="D101" s="13">
        <f>0</f>
        <v>0</v>
      </c>
      <c r="E101" s="48">
        <f>0</f>
        <v>0</v>
      </c>
      <c r="F101" s="48">
        <f>0</f>
        <v>0</v>
      </c>
    </row>
    <row r="102" spans="1:6" s="26" customFormat="1" ht="18">
      <c r="A102" s="24" t="s">
        <v>292</v>
      </c>
      <c r="B102" s="33" t="s">
        <v>321</v>
      </c>
      <c r="C102" s="14" t="s">
        <v>199</v>
      </c>
      <c r="D102" s="13">
        <f>0</f>
        <v>0</v>
      </c>
      <c r="E102" s="48">
        <f>1.19</f>
        <v>1.19</v>
      </c>
      <c r="F102" s="48">
        <f>0.065</f>
        <v>0.065</v>
      </c>
    </row>
    <row r="103" spans="1:6" s="15" customFormat="1" ht="15">
      <c r="A103" s="24" t="s">
        <v>322</v>
      </c>
      <c r="B103" s="33" t="s">
        <v>323</v>
      </c>
      <c r="C103" s="14" t="s">
        <v>202</v>
      </c>
      <c r="D103" s="13">
        <f>0</f>
        <v>0</v>
      </c>
      <c r="E103" s="48">
        <f>0</f>
        <v>0</v>
      </c>
      <c r="F103" s="48">
        <f>0</f>
        <v>0</v>
      </c>
    </row>
    <row r="104" spans="1:6" s="15" customFormat="1" ht="30">
      <c r="A104" s="24" t="s">
        <v>324</v>
      </c>
      <c r="B104" s="33" t="s">
        <v>325</v>
      </c>
      <c r="C104" s="14" t="s">
        <v>202</v>
      </c>
      <c r="D104" s="25">
        <f>D105+D106</f>
        <v>0</v>
      </c>
      <c r="E104" s="48">
        <f>E105+E106</f>
        <v>0</v>
      </c>
      <c r="F104" s="48">
        <f>F105+F106</f>
        <v>0</v>
      </c>
    </row>
    <row r="105" spans="1:6" s="26" customFormat="1" ht="15">
      <c r="A105" s="24" t="s">
        <v>290</v>
      </c>
      <c r="B105" s="33" t="s">
        <v>326</v>
      </c>
      <c r="C105" s="14" t="s">
        <v>202</v>
      </c>
      <c r="D105" s="13">
        <f aca="true" t="shared" si="11" ref="D105:F106">0</f>
        <v>0</v>
      </c>
      <c r="E105" s="48">
        <f t="shared" si="11"/>
        <v>0</v>
      </c>
      <c r="F105" s="48">
        <f t="shared" si="11"/>
        <v>0</v>
      </c>
    </row>
    <row r="106" spans="1:6" s="26" customFormat="1" ht="15">
      <c r="A106" s="24" t="s">
        <v>292</v>
      </c>
      <c r="B106" s="33" t="s">
        <v>327</v>
      </c>
      <c r="C106" s="14" t="s">
        <v>202</v>
      </c>
      <c r="D106" s="13">
        <f t="shared" si="11"/>
        <v>0</v>
      </c>
      <c r="E106" s="48">
        <f t="shared" si="11"/>
        <v>0</v>
      </c>
      <c r="F106" s="48">
        <f t="shared" si="11"/>
        <v>0</v>
      </c>
    </row>
    <row r="107" spans="1:6" s="15" customFormat="1" ht="30">
      <c r="A107" s="24" t="s">
        <v>328</v>
      </c>
      <c r="B107" s="33" t="s">
        <v>329</v>
      </c>
      <c r="C107" s="14" t="s">
        <v>199</v>
      </c>
      <c r="D107" s="25">
        <f>D108+D109</f>
        <v>0</v>
      </c>
      <c r="E107" s="48">
        <f>E108+E109</f>
        <v>0</v>
      </c>
      <c r="F107" s="48">
        <f>F108+F109</f>
        <v>0</v>
      </c>
    </row>
    <row r="108" spans="1:6" s="26" customFormat="1" ht="18">
      <c r="A108" s="24" t="s">
        <v>290</v>
      </c>
      <c r="B108" s="33" t="s">
        <v>330</v>
      </c>
      <c r="C108" s="14" t="s">
        <v>199</v>
      </c>
      <c r="D108" s="13">
        <f aca="true" t="shared" si="12" ref="D108:F109">0</f>
        <v>0</v>
      </c>
      <c r="E108" s="48">
        <f t="shared" si="12"/>
        <v>0</v>
      </c>
      <c r="F108" s="48">
        <f t="shared" si="12"/>
        <v>0</v>
      </c>
    </row>
    <row r="109" spans="1:6" s="26" customFormat="1" ht="18">
      <c r="A109" s="24" t="s">
        <v>292</v>
      </c>
      <c r="B109" s="33" t="s">
        <v>331</v>
      </c>
      <c r="C109" s="14" t="s">
        <v>199</v>
      </c>
      <c r="D109" s="13">
        <f t="shared" si="12"/>
        <v>0</v>
      </c>
      <c r="E109" s="48">
        <f t="shared" si="12"/>
        <v>0</v>
      </c>
      <c r="F109" s="48">
        <f t="shared" si="12"/>
        <v>0</v>
      </c>
    </row>
    <row r="110" spans="1:6" s="15" customFormat="1" ht="30">
      <c r="A110" s="24" t="s">
        <v>332</v>
      </c>
      <c r="B110" s="33" t="s">
        <v>333</v>
      </c>
      <c r="C110" s="14" t="s">
        <v>202</v>
      </c>
      <c r="D110" s="48">
        <f>D111+D112</f>
        <v>0</v>
      </c>
      <c r="E110" s="48">
        <f>E111+E112</f>
        <v>0</v>
      </c>
      <c r="F110" s="48">
        <f>F111+F112</f>
        <v>0</v>
      </c>
    </row>
    <row r="111" spans="1:6" s="26" customFormat="1" ht="15">
      <c r="A111" s="24" t="s">
        <v>217</v>
      </c>
      <c r="B111" s="33" t="s">
        <v>334</v>
      </c>
      <c r="C111" s="14" t="s">
        <v>202</v>
      </c>
      <c r="D111" s="13">
        <f aca="true" t="shared" si="13" ref="D111:F112">0</f>
        <v>0</v>
      </c>
      <c r="E111" s="48">
        <f t="shared" si="13"/>
        <v>0</v>
      </c>
      <c r="F111" s="48">
        <f t="shared" si="13"/>
        <v>0</v>
      </c>
    </row>
    <row r="112" spans="1:6" s="26" customFormat="1" ht="15">
      <c r="A112" s="24" t="s">
        <v>218</v>
      </c>
      <c r="B112" s="33" t="s">
        <v>335</v>
      </c>
      <c r="C112" s="14" t="s">
        <v>202</v>
      </c>
      <c r="D112" s="13">
        <f t="shared" si="13"/>
        <v>0</v>
      </c>
      <c r="E112" s="48">
        <f t="shared" si="13"/>
        <v>0</v>
      </c>
      <c r="F112" s="48">
        <f t="shared" si="13"/>
        <v>0</v>
      </c>
    </row>
    <row r="113" spans="1:6" s="15" customFormat="1" ht="30">
      <c r="A113" s="24" t="s">
        <v>336</v>
      </c>
      <c r="B113" s="33" t="s">
        <v>337</v>
      </c>
      <c r="C113" s="14" t="s">
        <v>208</v>
      </c>
      <c r="D113" s="25">
        <f>D114+D115</f>
        <v>0</v>
      </c>
      <c r="E113" s="48">
        <f>E114+E115</f>
        <v>0</v>
      </c>
      <c r="F113" s="48">
        <f>F114+F115</f>
        <v>0</v>
      </c>
    </row>
    <row r="114" spans="1:6" s="26" customFormat="1" ht="15">
      <c r="A114" s="24" t="s">
        <v>217</v>
      </c>
      <c r="B114" s="33" t="s">
        <v>338</v>
      </c>
      <c r="C114" s="14" t="s">
        <v>208</v>
      </c>
      <c r="D114" s="13">
        <f aca="true" t="shared" si="14" ref="D114:F115">0</f>
        <v>0</v>
      </c>
      <c r="E114" s="48">
        <f t="shared" si="14"/>
        <v>0</v>
      </c>
      <c r="F114" s="48">
        <f t="shared" si="14"/>
        <v>0</v>
      </c>
    </row>
    <row r="115" spans="1:6" s="26" customFormat="1" ht="15">
      <c r="A115" s="24" t="s">
        <v>218</v>
      </c>
      <c r="B115" s="33" t="s">
        <v>339</v>
      </c>
      <c r="C115" s="14" t="s">
        <v>208</v>
      </c>
      <c r="D115" s="13">
        <f t="shared" si="14"/>
        <v>0</v>
      </c>
      <c r="E115" s="48">
        <f t="shared" si="14"/>
        <v>0</v>
      </c>
      <c r="F115" s="48">
        <f t="shared" si="14"/>
        <v>0</v>
      </c>
    </row>
    <row r="116" spans="1:6" s="15" customFormat="1" ht="30">
      <c r="A116" s="24" t="s">
        <v>340</v>
      </c>
      <c r="B116" s="33" t="s">
        <v>341</v>
      </c>
      <c r="C116" s="14" t="s">
        <v>199</v>
      </c>
      <c r="D116" s="56">
        <f>D117+D118</f>
        <v>0</v>
      </c>
      <c r="E116" s="48">
        <f>E117+E118</f>
        <v>0</v>
      </c>
      <c r="F116" s="48">
        <f>F117+F118</f>
        <v>0</v>
      </c>
    </row>
    <row r="117" spans="1:6" s="26" customFormat="1" ht="18">
      <c r="A117" s="24" t="s">
        <v>217</v>
      </c>
      <c r="B117" s="33" t="s">
        <v>342</v>
      </c>
      <c r="C117" s="14" t="s">
        <v>199</v>
      </c>
      <c r="D117" s="13">
        <f aca="true" t="shared" si="15" ref="D117:D122">0</f>
        <v>0</v>
      </c>
      <c r="E117" s="48">
        <f>0</f>
        <v>0</v>
      </c>
      <c r="F117" s="48">
        <f aca="true" t="shared" si="16" ref="F117:F122">0</f>
        <v>0</v>
      </c>
    </row>
    <row r="118" spans="1:6" s="26" customFormat="1" ht="18">
      <c r="A118" s="24" t="s">
        <v>218</v>
      </c>
      <c r="B118" s="33" t="s">
        <v>343</v>
      </c>
      <c r="C118" s="14" t="s">
        <v>199</v>
      </c>
      <c r="D118" s="13">
        <f t="shared" si="15"/>
        <v>0</v>
      </c>
      <c r="E118" s="48">
        <f>0</f>
        <v>0</v>
      </c>
      <c r="F118" s="48">
        <f t="shared" si="16"/>
        <v>0</v>
      </c>
    </row>
    <row r="119" spans="1:6" s="15" customFormat="1" ht="30">
      <c r="A119" s="24" t="s">
        <v>344</v>
      </c>
      <c r="B119" s="33" t="s">
        <v>345</v>
      </c>
      <c r="C119" s="14" t="s">
        <v>202</v>
      </c>
      <c r="D119" s="13">
        <f t="shared" si="15"/>
        <v>0</v>
      </c>
      <c r="E119" s="48">
        <f>2</f>
        <v>2</v>
      </c>
      <c r="F119" s="48">
        <f t="shared" si="16"/>
        <v>0</v>
      </c>
    </row>
    <row r="120" spans="1:6" s="15" customFormat="1" ht="30">
      <c r="A120" s="24" t="s">
        <v>346</v>
      </c>
      <c r="B120" s="33" t="s">
        <v>347</v>
      </c>
      <c r="C120" s="14" t="s">
        <v>202</v>
      </c>
      <c r="D120" s="13">
        <f t="shared" si="15"/>
        <v>0</v>
      </c>
      <c r="E120" s="48">
        <f>0</f>
        <v>0</v>
      </c>
      <c r="F120" s="48">
        <f t="shared" si="16"/>
        <v>0</v>
      </c>
    </row>
    <row r="121" spans="1:6" s="15" customFormat="1" ht="15">
      <c r="A121" s="80" t="s">
        <v>348</v>
      </c>
      <c r="B121" s="33" t="s">
        <v>349</v>
      </c>
      <c r="C121" s="14" t="s">
        <v>208</v>
      </c>
      <c r="D121" s="69">
        <f t="shared" si="15"/>
        <v>0</v>
      </c>
      <c r="E121" s="48">
        <f>53.03</f>
        <v>53.03</v>
      </c>
      <c r="F121" s="48">
        <f t="shared" si="16"/>
        <v>0</v>
      </c>
    </row>
    <row r="122" spans="1:6" s="15" customFormat="1" ht="30">
      <c r="A122" s="24" t="s">
        <v>350</v>
      </c>
      <c r="B122" s="33" t="s">
        <v>351</v>
      </c>
      <c r="C122" s="14" t="s">
        <v>208</v>
      </c>
      <c r="D122" s="13">
        <f t="shared" si="15"/>
        <v>0</v>
      </c>
      <c r="E122" s="48">
        <f>0</f>
        <v>0</v>
      </c>
      <c r="F122" s="48">
        <f t="shared" si="16"/>
        <v>0</v>
      </c>
    </row>
    <row r="123" spans="1:6" s="15" customFormat="1" ht="30">
      <c r="A123" s="24" t="s">
        <v>352</v>
      </c>
      <c r="B123" s="33" t="s">
        <v>353</v>
      </c>
      <c r="C123" s="14" t="s">
        <v>208</v>
      </c>
      <c r="D123" s="48">
        <f>D124+D125+D126</f>
        <v>0</v>
      </c>
      <c r="E123" s="48">
        <f>E124+E125+E126</f>
        <v>0</v>
      </c>
      <c r="F123" s="48">
        <f>F124+F125+F126</f>
        <v>0</v>
      </c>
    </row>
    <row r="124" spans="1:6" s="15" customFormat="1" ht="15">
      <c r="A124" s="24" t="s">
        <v>227</v>
      </c>
      <c r="B124" s="33" t="s">
        <v>354</v>
      </c>
      <c r="C124" s="14" t="s">
        <v>208</v>
      </c>
      <c r="D124" s="13">
        <f aca="true" t="shared" si="17" ref="D124:D150">0</f>
        <v>0</v>
      </c>
      <c r="E124" s="48">
        <f aca="true" t="shared" si="18" ref="E124:E144">0</f>
        <v>0</v>
      </c>
      <c r="F124" s="48">
        <f>0</f>
        <v>0</v>
      </c>
    </row>
    <row r="125" spans="1:6" s="15" customFormat="1" ht="15">
      <c r="A125" s="24" t="s">
        <v>229</v>
      </c>
      <c r="B125" s="33" t="s">
        <v>355</v>
      </c>
      <c r="C125" s="14" t="s">
        <v>208</v>
      </c>
      <c r="D125" s="32">
        <f t="shared" si="17"/>
        <v>0</v>
      </c>
      <c r="E125" s="48">
        <f t="shared" si="18"/>
        <v>0</v>
      </c>
      <c r="F125" s="48">
        <f>0</f>
        <v>0</v>
      </c>
    </row>
    <row r="126" spans="1:6" s="15" customFormat="1" ht="30">
      <c r="A126" s="24" t="s">
        <v>231</v>
      </c>
      <c r="B126" s="33" t="s">
        <v>356</v>
      </c>
      <c r="C126" s="14" t="s">
        <v>208</v>
      </c>
      <c r="D126" s="13">
        <f t="shared" si="17"/>
        <v>0</v>
      </c>
      <c r="E126" s="48">
        <f t="shared" si="18"/>
        <v>0</v>
      </c>
      <c r="F126" s="48">
        <f>0</f>
        <v>0</v>
      </c>
    </row>
    <row r="127" spans="1:6" s="15" customFormat="1" ht="30">
      <c r="A127" s="24" t="s">
        <v>357</v>
      </c>
      <c r="B127" s="33" t="s">
        <v>358</v>
      </c>
      <c r="C127" s="14" t="s">
        <v>199</v>
      </c>
      <c r="D127" s="13">
        <f t="shared" si="17"/>
        <v>0</v>
      </c>
      <c r="E127" s="48">
        <f t="shared" si="18"/>
        <v>0</v>
      </c>
      <c r="F127" s="48">
        <f>0</f>
        <v>0</v>
      </c>
    </row>
    <row r="128" spans="1:6" s="15" customFormat="1" ht="30">
      <c r="A128" s="24" t="s">
        <v>359</v>
      </c>
      <c r="B128" s="33" t="s">
        <v>360</v>
      </c>
      <c r="C128" s="14" t="s">
        <v>199</v>
      </c>
      <c r="D128" s="13">
        <f t="shared" si="17"/>
        <v>0</v>
      </c>
      <c r="E128" s="48">
        <f t="shared" si="18"/>
        <v>0</v>
      </c>
      <c r="F128" s="48">
        <f>0</f>
        <v>0</v>
      </c>
    </row>
    <row r="129" spans="1:6" s="15" customFormat="1" ht="45">
      <c r="A129" s="24" t="s">
        <v>361</v>
      </c>
      <c r="B129" s="33" t="s">
        <v>362</v>
      </c>
      <c r="C129" s="14" t="s">
        <v>208</v>
      </c>
      <c r="D129" s="32">
        <f t="shared" si="17"/>
        <v>0</v>
      </c>
      <c r="E129" s="48">
        <f t="shared" si="18"/>
        <v>0</v>
      </c>
      <c r="F129" s="48">
        <f>1450</f>
        <v>1450</v>
      </c>
    </row>
    <row r="130" spans="1:6" s="15" customFormat="1" ht="30">
      <c r="A130" s="24" t="s">
        <v>363</v>
      </c>
      <c r="B130" s="33" t="s">
        <v>364</v>
      </c>
      <c r="C130" s="14" t="s">
        <v>208</v>
      </c>
      <c r="D130" s="13">
        <f t="shared" si="17"/>
        <v>0</v>
      </c>
      <c r="E130" s="48">
        <f t="shared" si="18"/>
        <v>0</v>
      </c>
      <c r="F130" s="48">
        <f aca="true" t="shared" si="19" ref="F130:F150">0</f>
        <v>0</v>
      </c>
    </row>
    <row r="131" spans="1:6" s="28" customFormat="1" ht="45">
      <c r="A131" s="35" t="s">
        <v>365</v>
      </c>
      <c r="B131" s="18" t="s">
        <v>366</v>
      </c>
      <c r="C131" s="41" t="s">
        <v>202</v>
      </c>
      <c r="D131" s="32">
        <f t="shared" si="17"/>
        <v>0</v>
      </c>
      <c r="E131" s="48">
        <f t="shared" si="18"/>
        <v>0</v>
      </c>
      <c r="F131" s="48">
        <f t="shared" si="19"/>
        <v>0</v>
      </c>
    </row>
    <row r="132" spans="1:6" s="15" customFormat="1" ht="15">
      <c r="A132" s="24" t="s">
        <v>367</v>
      </c>
      <c r="B132" s="33" t="s">
        <v>368</v>
      </c>
      <c r="C132" s="14" t="s">
        <v>202</v>
      </c>
      <c r="D132" s="13">
        <f t="shared" si="17"/>
        <v>0</v>
      </c>
      <c r="E132" s="48">
        <f t="shared" si="18"/>
        <v>0</v>
      </c>
      <c r="F132" s="48">
        <f t="shared" si="19"/>
        <v>0</v>
      </c>
    </row>
    <row r="133" spans="1:6" s="15" customFormat="1" ht="30">
      <c r="A133" s="24" t="s">
        <v>369</v>
      </c>
      <c r="B133" s="33" t="s">
        <v>370</v>
      </c>
      <c r="C133" s="14" t="s">
        <v>202</v>
      </c>
      <c r="D133" s="13">
        <f t="shared" si="17"/>
        <v>0</v>
      </c>
      <c r="E133" s="48">
        <f t="shared" si="18"/>
        <v>0</v>
      </c>
      <c r="F133" s="48">
        <f t="shared" si="19"/>
        <v>0</v>
      </c>
    </row>
    <row r="134" spans="1:6" s="15" customFormat="1" ht="15">
      <c r="A134" s="24" t="s">
        <v>371</v>
      </c>
      <c r="B134" s="33" t="s">
        <v>372</v>
      </c>
      <c r="C134" s="14" t="s">
        <v>202</v>
      </c>
      <c r="D134" s="13">
        <f t="shared" si="17"/>
        <v>0</v>
      </c>
      <c r="E134" s="48">
        <f t="shared" si="18"/>
        <v>0</v>
      </c>
      <c r="F134" s="48">
        <f t="shared" si="19"/>
        <v>0</v>
      </c>
    </row>
    <row r="135" spans="1:6" s="15" customFormat="1" ht="30">
      <c r="A135" s="24" t="s">
        <v>373</v>
      </c>
      <c r="B135" s="33" t="s">
        <v>374</v>
      </c>
      <c r="C135" s="14" t="s">
        <v>208</v>
      </c>
      <c r="D135" s="13">
        <f t="shared" si="17"/>
        <v>0</v>
      </c>
      <c r="E135" s="48">
        <f t="shared" si="18"/>
        <v>0</v>
      </c>
      <c r="F135" s="48">
        <f t="shared" si="19"/>
        <v>0</v>
      </c>
    </row>
    <row r="136" spans="1:6" s="26" customFormat="1" ht="15">
      <c r="A136" s="24" t="s">
        <v>375</v>
      </c>
      <c r="B136" s="33" t="s">
        <v>376</v>
      </c>
      <c r="C136" s="14" t="s">
        <v>208</v>
      </c>
      <c r="D136" s="13">
        <f t="shared" si="17"/>
        <v>0</v>
      </c>
      <c r="E136" s="48">
        <f t="shared" si="18"/>
        <v>0</v>
      </c>
      <c r="F136" s="48">
        <f t="shared" si="19"/>
        <v>0</v>
      </c>
    </row>
    <row r="137" spans="1:6" s="28" customFormat="1" ht="45">
      <c r="A137" s="35" t="s">
        <v>377</v>
      </c>
      <c r="B137" s="18" t="s">
        <v>378</v>
      </c>
      <c r="C137" s="41" t="s">
        <v>208</v>
      </c>
      <c r="D137" s="32">
        <f t="shared" si="17"/>
        <v>0</v>
      </c>
      <c r="E137" s="48">
        <f t="shared" si="18"/>
        <v>0</v>
      </c>
      <c r="F137" s="48">
        <f t="shared" si="19"/>
        <v>0</v>
      </c>
    </row>
    <row r="138" spans="1:6" s="28" customFormat="1" ht="45">
      <c r="A138" s="35" t="s">
        <v>379</v>
      </c>
      <c r="B138" s="18" t="s">
        <v>380</v>
      </c>
      <c r="C138" s="41" t="s">
        <v>208</v>
      </c>
      <c r="D138" s="32">
        <f t="shared" si="17"/>
        <v>0</v>
      </c>
      <c r="E138" s="48">
        <f t="shared" si="18"/>
        <v>0</v>
      </c>
      <c r="F138" s="48">
        <f t="shared" si="19"/>
        <v>0</v>
      </c>
    </row>
    <row r="139" spans="1:6" s="15" customFormat="1" ht="30">
      <c r="A139" s="24" t="s">
        <v>381</v>
      </c>
      <c r="B139" s="33" t="s">
        <v>382</v>
      </c>
      <c r="C139" s="14" t="s">
        <v>208</v>
      </c>
      <c r="D139" s="13">
        <f t="shared" si="17"/>
        <v>0</v>
      </c>
      <c r="E139" s="48">
        <f t="shared" si="18"/>
        <v>0</v>
      </c>
      <c r="F139" s="48">
        <f t="shared" si="19"/>
        <v>0</v>
      </c>
    </row>
    <row r="140" spans="1:6" s="26" customFormat="1" ht="15">
      <c r="A140" s="24" t="s">
        <v>386</v>
      </c>
      <c r="B140" s="33" t="s">
        <v>387</v>
      </c>
      <c r="C140" s="14" t="s">
        <v>208</v>
      </c>
      <c r="D140" s="13">
        <f t="shared" si="17"/>
        <v>0</v>
      </c>
      <c r="E140" s="48">
        <f t="shared" si="18"/>
        <v>0</v>
      </c>
      <c r="F140" s="48">
        <f t="shared" si="19"/>
        <v>0</v>
      </c>
    </row>
    <row r="141" spans="1:6" s="15" customFormat="1" ht="45">
      <c r="A141" s="24" t="s">
        <v>391</v>
      </c>
      <c r="B141" s="33" t="s">
        <v>392</v>
      </c>
      <c r="C141" s="14" t="s">
        <v>208</v>
      </c>
      <c r="D141" s="13">
        <f t="shared" si="17"/>
        <v>0</v>
      </c>
      <c r="E141" s="48">
        <f t="shared" si="18"/>
        <v>0</v>
      </c>
      <c r="F141" s="48">
        <f t="shared" si="19"/>
        <v>0</v>
      </c>
    </row>
    <row r="142" spans="1:6" s="28" customFormat="1" ht="30">
      <c r="A142" s="35" t="s">
        <v>396</v>
      </c>
      <c r="B142" s="18" t="s">
        <v>397</v>
      </c>
      <c r="C142" s="41" t="s">
        <v>202</v>
      </c>
      <c r="D142" s="32">
        <f t="shared" si="17"/>
        <v>0</v>
      </c>
      <c r="E142" s="48">
        <f t="shared" si="18"/>
        <v>0</v>
      </c>
      <c r="F142" s="48">
        <f t="shared" si="19"/>
        <v>0</v>
      </c>
    </row>
    <row r="143" spans="1:6" s="15" customFormat="1" ht="45">
      <c r="A143" s="24" t="s">
        <v>401</v>
      </c>
      <c r="B143" s="33" t="s">
        <v>402</v>
      </c>
      <c r="C143" s="14" t="s">
        <v>202</v>
      </c>
      <c r="D143" s="13">
        <f t="shared" si="17"/>
        <v>0</v>
      </c>
      <c r="E143" s="48">
        <f t="shared" si="18"/>
        <v>0</v>
      </c>
      <c r="F143" s="48">
        <f t="shared" si="19"/>
        <v>0</v>
      </c>
    </row>
    <row r="144" spans="1:6" s="15" customFormat="1" ht="30">
      <c r="A144" s="24" t="s">
        <v>406</v>
      </c>
      <c r="B144" s="33" t="s">
        <v>407</v>
      </c>
      <c r="C144" s="14" t="s">
        <v>202</v>
      </c>
      <c r="D144" s="13">
        <f t="shared" si="17"/>
        <v>0</v>
      </c>
      <c r="E144" s="48">
        <f t="shared" si="18"/>
        <v>0</v>
      </c>
      <c r="F144" s="48">
        <f t="shared" si="19"/>
        <v>0</v>
      </c>
    </row>
    <row r="145" spans="1:6" s="28" customFormat="1" ht="30">
      <c r="A145" s="35" t="s">
        <v>411</v>
      </c>
      <c r="B145" s="18" t="s">
        <v>412</v>
      </c>
      <c r="C145" s="41" t="s">
        <v>202</v>
      </c>
      <c r="D145" s="32">
        <f t="shared" si="17"/>
        <v>0</v>
      </c>
      <c r="E145" s="48">
        <f>1</f>
        <v>1</v>
      </c>
      <c r="F145" s="48">
        <f t="shared" si="19"/>
        <v>0</v>
      </c>
    </row>
    <row r="146" spans="1:6" s="15" customFormat="1" ht="45">
      <c r="A146" s="24" t="s">
        <v>416</v>
      </c>
      <c r="B146" s="33" t="s">
        <v>417</v>
      </c>
      <c r="C146" s="14" t="s">
        <v>182</v>
      </c>
      <c r="D146" s="13">
        <f t="shared" si="17"/>
        <v>0</v>
      </c>
      <c r="E146" s="48">
        <f>0</f>
        <v>0</v>
      </c>
      <c r="F146" s="48">
        <f t="shared" si="19"/>
        <v>0</v>
      </c>
    </row>
    <row r="147" spans="1:6" s="15" customFormat="1" ht="30">
      <c r="A147" s="24" t="s">
        <v>421</v>
      </c>
      <c r="B147" s="33" t="s">
        <v>422</v>
      </c>
      <c r="C147" s="14" t="s">
        <v>208</v>
      </c>
      <c r="D147" s="13">
        <f t="shared" si="17"/>
        <v>0</v>
      </c>
      <c r="E147" s="48">
        <f>0</f>
        <v>0</v>
      </c>
      <c r="F147" s="48">
        <f t="shared" si="19"/>
        <v>0</v>
      </c>
    </row>
    <row r="148" spans="1:6" s="15" customFormat="1" ht="30">
      <c r="A148" s="24" t="s">
        <v>426</v>
      </c>
      <c r="B148" s="33" t="s">
        <v>427</v>
      </c>
      <c r="C148" s="14" t="s">
        <v>202</v>
      </c>
      <c r="D148" s="13">
        <f t="shared" si="17"/>
        <v>0</v>
      </c>
      <c r="E148" s="48">
        <f>0</f>
        <v>0</v>
      </c>
      <c r="F148" s="48">
        <f t="shared" si="19"/>
        <v>0</v>
      </c>
    </row>
    <row r="149" spans="1:6" s="26" customFormat="1" ht="15">
      <c r="A149" s="24" t="s">
        <v>431</v>
      </c>
      <c r="B149" s="33" t="s">
        <v>432</v>
      </c>
      <c r="C149" s="14" t="s">
        <v>202</v>
      </c>
      <c r="D149" s="13">
        <f t="shared" si="17"/>
        <v>0</v>
      </c>
      <c r="E149" s="48">
        <f>0</f>
        <v>0</v>
      </c>
      <c r="F149" s="48">
        <f t="shared" si="19"/>
        <v>0</v>
      </c>
    </row>
    <row r="150" spans="1:6" s="26" customFormat="1" ht="15">
      <c r="A150" s="24" t="s">
        <v>436</v>
      </c>
      <c r="B150" s="33" t="s">
        <v>437</v>
      </c>
      <c r="C150" s="14" t="s">
        <v>202</v>
      </c>
      <c r="D150" s="13">
        <f t="shared" si="17"/>
        <v>0</v>
      </c>
      <c r="E150" s="48">
        <f>0</f>
        <v>0</v>
      </c>
      <c r="F150" s="48">
        <f t="shared" si="19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120" zoomScaleNormal="120" zoomScaleSheetLayoutView="120" zoomScalePageLayoutView="0" workbookViewId="0" topLeftCell="A1">
      <selection activeCell="B15" sqref="B15"/>
    </sheetView>
  </sheetViews>
  <sheetFormatPr defaultColWidth="0.875" defaultRowHeight="12.75"/>
  <cols>
    <col min="1" max="1" width="43.25390625" style="43" customWidth="1"/>
    <col min="2" max="2" width="5.75390625" style="43" customWidth="1"/>
    <col min="3" max="3" width="9.00390625" style="43" customWidth="1"/>
    <col min="4" max="4" width="9.875" style="118" customWidth="1"/>
    <col min="5" max="5" width="9.875" style="43" customWidth="1"/>
    <col min="6" max="6" width="12.375" style="43" customWidth="1"/>
    <col min="7" max="7" width="12.75390625" style="100" customWidth="1"/>
    <col min="8" max="8" width="11.125" style="43" customWidth="1"/>
    <col min="9" max="9" width="11.00390625" style="43" customWidth="1"/>
    <col min="10" max="10" width="12.25390625" style="43" customWidth="1"/>
    <col min="11" max="11" width="12.125" style="105" customWidth="1"/>
    <col min="12" max="12" width="11.375" style="43" customWidth="1"/>
    <col min="13" max="13" width="13.125" style="141" customWidth="1"/>
    <col min="14" max="14" width="10.375" style="43" customWidth="1"/>
    <col min="15" max="15" width="9.625" style="131" customWidth="1"/>
    <col min="16" max="16" width="23.25390625" style="43" customWidth="1"/>
    <col min="17" max="17" width="24.00390625" style="43" customWidth="1"/>
    <col min="18" max="16384" width="0.875" style="43" customWidth="1"/>
  </cols>
  <sheetData>
    <row r="1" spans="1:15" ht="7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84" customHeight="1">
      <c r="A3" s="204" t="s">
        <v>441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>
      <c r="A5" s="206" t="s">
        <v>442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8" customFormat="1" ht="43.5" customHeight="1">
      <c r="A6" s="203" t="s">
        <v>443</v>
      </c>
      <c r="B6" s="203" t="s">
        <v>40</v>
      </c>
      <c r="C6" s="203" t="s">
        <v>444</v>
      </c>
      <c r="D6" s="207" t="s">
        <v>445</v>
      </c>
      <c r="E6" s="203" t="s">
        <v>446</v>
      </c>
      <c r="F6" s="203" t="s">
        <v>447</v>
      </c>
      <c r="G6" s="203"/>
      <c r="H6" s="203"/>
      <c r="I6" s="203"/>
      <c r="J6" s="203" t="s">
        <v>448</v>
      </c>
      <c r="K6" s="203"/>
      <c r="L6" s="203" t="s">
        <v>449</v>
      </c>
      <c r="M6" s="203"/>
      <c r="N6" s="203"/>
      <c r="O6" s="203"/>
    </row>
    <row r="7" spans="1:15" s="28" customFormat="1" ht="76.5">
      <c r="A7" s="203"/>
      <c r="B7" s="203"/>
      <c r="C7" s="203"/>
      <c r="D7" s="207"/>
      <c r="E7" s="203"/>
      <c r="F7" s="20" t="s">
        <v>450</v>
      </c>
      <c r="G7" s="20" t="s">
        <v>451</v>
      </c>
      <c r="H7" s="20" t="s">
        <v>96</v>
      </c>
      <c r="I7" s="20" t="s">
        <v>452</v>
      </c>
      <c r="J7" s="20" t="s">
        <v>453</v>
      </c>
      <c r="K7" s="120" t="s">
        <v>454</v>
      </c>
      <c r="L7" s="20" t="s">
        <v>94</v>
      </c>
      <c r="M7" s="91" t="s">
        <v>451</v>
      </c>
      <c r="N7" s="20" t="s">
        <v>96</v>
      </c>
      <c r="O7" s="91" t="s">
        <v>452</v>
      </c>
    </row>
    <row r="8" spans="1:15" s="122" customFormat="1" ht="14.25">
      <c r="A8" s="23">
        <v>1</v>
      </c>
      <c r="B8" s="23">
        <v>2</v>
      </c>
      <c r="C8" s="23">
        <v>3</v>
      </c>
      <c r="D8" s="140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142">
        <v>11</v>
      </c>
      <c r="L8" s="23">
        <v>12</v>
      </c>
      <c r="M8" s="116">
        <v>13</v>
      </c>
      <c r="N8" s="23">
        <v>14</v>
      </c>
      <c r="O8" s="23">
        <v>15</v>
      </c>
    </row>
    <row r="9" spans="1:16" ht="38.25">
      <c r="A9" s="110" t="s">
        <v>440</v>
      </c>
      <c r="B9" s="129">
        <v>1</v>
      </c>
      <c r="C9" s="73" t="s">
        <v>439</v>
      </c>
      <c r="D9" s="73" t="s">
        <v>438</v>
      </c>
      <c r="E9" s="73" t="s">
        <v>435</v>
      </c>
      <c r="F9" s="37">
        <v>247254.81</v>
      </c>
      <c r="G9" s="37">
        <v>51486.75</v>
      </c>
      <c r="H9" s="37">
        <v>0</v>
      </c>
      <c r="I9" s="37">
        <v>0</v>
      </c>
      <c r="J9" s="37">
        <v>45544.13</v>
      </c>
      <c r="K9" s="37">
        <v>176852.84</v>
      </c>
      <c r="L9" s="37">
        <v>125366.09</v>
      </c>
      <c r="M9" s="37">
        <v>51486.75</v>
      </c>
      <c r="N9" s="37">
        <v>0</v>
      </c>
      <c r="O9" s="146">
        <v>0</v>
      </c>
      <c r="P9" s="89"/>
    </row>
    <row r="10" spans="1:16" ht="38.25">
      <c r="A10" s="110" t="s">
        <v>434</v>
      </c>
      <c r="B10" s="129">
        <v>2</v>
      </c>
      <c r="C10" s="73" t="s">
        <v>439</v>
      </c>
      <c r="D10" s="73" t="s">
        <v>433</v>
      </c>
      <c r="E10" s="73" t="s">
        <v>430</v>
      </c>
      <c r="F10" s="37">
        <v>190617.69</v>
      </c>
      <c r="G10" s="37">
        <v>21541.77</v>
      </c>
      <c r="H10" s="37">
        <v>0</v>
      </c>
      <c r="I10" s="37">
        <v>0</v>
      </c>
      <c r="J10" s="37">
        <v>321087.44</v>
      </c>
      <c r="K10" s="37">
        <v>212159.46</v>
      </c>
      <c r="L10" s="37">
        <v>190617.69</v>
      </c>
      <c r="M10" s="37">
        <v>21541.77</v>
      </c>
      <c r="N10" s="37">
        <v>0</v>
      </c>
      <c r="O10" s="146">
        <v>0</v>
      </c>
      <c r="P10" s="89"/>
    </row>
    <row r="11" spans="1:16" ht="38.25">
      <c r="A11" s="110" t="s">
        <v>429</v>
      </c>
      <c r="B11" s="129">
        <v>3</v>
      </c>
      <c r="C11" s="73" t="s">
        <v>439</v>
      </c>
      <c r="D11" s="73" t="s">
        <v>428</v>
      </c>
      <c r="E11" s="73" t="s">
        <v>430</v>
      </c>
      <c r="F11" s="37">
        <v>1192370.24</v>
      </c>
      <c r="G11" s="37">
        <v>75521.9</v>
      </c>
      <c r="H11" s="37">
        <v>0</v>
      </c>
      <c r="I11" s="37">
        <v>0</v>
      </c>
      <c r="J11" s="37">
        <v>39264.39</v>
      </c>
      <c r="K11" s="37">
        <v>1267892.13</v>
      </c>
      <c r="L11" s="37">
        <v>1192370.24</v>
      </c>
      <c r="M11" s="37">
        <v>75521.9</v>
      </c>
      <c r="N11" s="37">
        <v>0</v>
      </c>
      <c r="O11" s="146">
        <v>0</v>
      </c>
      <c r="P11" s="89"/>
    </row>
    <row r="12" spans="1:16" ht="38.25">
      <c r="A12" s="110" t="s">
        <v>425</v>
      </c>
      <c r="B12" s="129">
        <v>4</v>
      </c>
      <c r="C12" s="73" t="s">
        <v>439</v>
      </c>
      <c r="D12" s="73" t="s">
        <v>424</v>
      </c>
      <c r="E12" s="73" t="s">
        <v>435</v>
      </c>
      <c r="F12" s="37">
        <v>975685.24</v>
      </c>
      <c r="G12" s="37">
        <v>51700</v>
      </c>
      <c r="H12" s="37">
        <v>0</v>
      </c>
      <c r="I12" s="37">
        <v>58090.35</v>
      </c>
      <c r="J12" s="37">
        <v>38001.85</v>
      </c>
      <c r="K12" s="37">
        <v>1085475.59</v>
      </c>
      <c r="L12" s="37">
        <v>975685.24</v>
      </c>
      <c r="M12" s="37">
        <v>51700</v>
      </c>
      <c r="N12" s="37">
        <v>0</v>
      </c>
      <c r="O12" s="146">
        <v>58090.35</v>
      </c>
      <c r="P12" s="89"/>
    </row>
    <row r="13" spans="1:16" ht="38.25">
      <c r="A13" s="110" t="s">
        <v>423</v>
      </c>
      <c r="B13" s="129">
        <v>5</v>
      </c>
      <c r="C13" s="73" t="s">
        <v>439</v>
      </c>
      <c r="D13" s="73" t="s">
        <v>420</v>
      </c>
      <c r="E13" s="73" t="s">
        <v>419</v>
      </c>
      <c r="F13" s="37">
        <v>208954.54</v>
      </c>
      <c r="G13" s="37">
        <v>53207.16</v>
      </c>
      <c r="H13" s="37">
        <v>0</v>
      </c>
      <c r="I13" s="37">
        <v>16978.92</v>
      </c>
      <c r="J13" s="37">
        <v>0</v>
      </c>
      <c r="K13" s="37">
        <v>279140.61</v>
      </c>
      <c r="L13" s="37">
        <v>208954.53</v>
      </c>
      <c r="M13" s="37">
        <v>53207.16</v>
      </c>
      <c r="N13" s="37">
        <v>0</v>
      </c>
      <c r="O13" s="146">
        <v>16978.92</v>
      </c>
      <c r="P13" s="89"/>
    </row>
    <row r="14" spans="1:16" ht="38.25">
      <c r="A14" s="110" t="s">
        <v>418</v>
      </c>
      <c r="B14" s="129">
        <v>6</v>
      </c>
      <c r="C14" s="73" t="s">
        <v>439</v>
      </c>
      <c r="D14" s="73" t="s">
        <v>415</v>
      </c>
      <c r="E14" s="73" t="s">
        <v>419</v>
      </c>
      <c r="F14" s="37">
        <v>61063.11</v>
      </c>
      <c r="G14" s="37">
        <v>20463.93</v>
      </c>
      <c r="H14" s="37">
        <v>0</v>
      </c>
      <c r="I14" s="37">
        <v>0</v>
      </c>
      <c r="J14" s="37">
        <v>0</v>
      </c>
      <c r="K14" s="37">
        <v>81527.03</v>
      </c>
      <c r="L14" s="37">
        <v>61063.1</v>
      </c>
      <c r="M14" s="37">
        <v>20463.93</v>
      </c>
      <c r="N14" s="37">
        <v>0</v>
      </c>
      <c r="O14" s="146">
        <v>0</v>
      </c>
      <c r="P14" s="89"/>
    </row>
    <row r="15" spans="1:16" ht="38.25">
      <c r="A15" s="110" t="s">
        <v>414</v>
      </c>
      <c r="B15" s="129">
        <v>7</v>
      </c>
      <c r="C15" s="73" t="s">
        <v>439</v>
      </c>
      <c r="D15" s="73" t="s">
        <v>413</v>
      </c>
      <c r="E15" s="73" t="s">
        <v>419</v>
      </c>
      <c r="F15" s="37">
        <v>134126.26</v>
      </c>
      <c r="G15" s="37">
        <v>37279.8</v>
      </c>
      <c r="H15" s="37">
        <v>0</v>
      </c>
      <c r="I15" s="37">
        <v>35836.48</v>
      </c>
      <c r="J15" s="37">
        <v>0</v>
      </c>
      <c r="K15" s="37">
        <v>207242.53</v>
      </c>
      <c r="L15" s="37">
        <v>134126.26</v>
      </c>
      <c r="M15" s="37">
        <v>37279.8</v>
      </c>
      <c r="N15" s="37">
        <v>0</v>
      </c>
      <c r="O15" s="146">
        <v>35836.48</v>
      </c>
      <c r="P15" s="89"/>
    </row>
    <row r="16" spans="1:16" ht="38.25">
      <c r="A16" s="110" t="s">
        <v>410</v>
      </c>
      <c r="B16" s="129">
        <v>8</v>
      </c>
      <c r="C16" s="73" t="s">
        <v>182</v>
      </c>
      <c r="D16" s="73" t="s">
        <v>409</v>
      </c>
      <c r="E16" s="73" t="s">
        <v>435</v>
      </c>
      <c r="F16" s="37">
        <v>0</v>
      </c>
      <c r="G16" s="37">
        <v>14681</v>
      </c>
      <c r="H16" s="37">
        <v>0</v>
      </c>
      <c r="I16" s="37">
        <v>33463.99</v>
      </c>
      <c r="J16" s="37">
        <v>7588.11</v>
      </c>
      <c r="K16" s="37">
        <v>48132.53</v>
      </c>
      <c r="L16" s="37">
        <v>0</v>
      </c>
      <c r="M16" s="37">
        <v>14681</v>
      </c>
      <c r="N16" s="37">
        <v>0</v>
      </c>
      <c r="O16" s="146">
        <v>33451.53</v>
      </c>
      <c r="P16" s="89"/>
    </row>
    <row r="17" spans="1:16" ht="38.25">
      <c r="A17" s="110" t="s">
        <v>408</v>
      </c>
      <c r="B17" s="129">
        <v>9</v>
      </c>
      <c r="C17" s="73" t="s">
        <v>439</v>
      </c>
      <c r="D17" s="73" t="s">
        <v>405</v>
      </c>
      <c r="E17" s="73" t="s">
        <v>430</v>
      </c>
      <c r="F17" s="37">
        <v>427274.15</v>
      </c>
      <c r="G17" s="37">
        <v>20059.03</v>
      </c>
      <c r="H17" s="37">
        <v>0</v>
      </c>
      <c r="I17" s="37">
        <v>0</v>
      </c>
      <c r="J17" s="37">
        <v>107771.81</v>
      </c>
      <c r="K17" s="37">
        <v>447333.17</v>
      </c>
      <c r="L17" s="37">
        <v>427274.15</v>
      </c>
      <c r="M17" s="37">
        <v>20059.03</v>
      </c>
      <c r="N17" s="37">
        <v>0</v>
      </c>
      <c r="O17" s="146">
        <v>0</v>
      </c>
      <c r="P17" s="89"/>
    </row>
    <row r="18" spans="1:16" ht="25.5">
      <c r="A18" s="110" t="s">
        <v>404</v>
      </c>
      <c r="B18" s="129">
        <v>10</v>
      </c>
      <c r="C18" s="73" t="s">
        <v>439</v>
      </c>
      <c r="D18" s="73" t="s">
        <v>403</v>
      </c>
      <c r="E18" s="73" t="s">
        <v>419</v>
      </c>
      <c r="F18" s="37">
        <v>39419.59</v>
      </c>
      <c r="G18" s="37">
        <v>0</v>
      </c>
      <c r="H18" s="37">
        <v>0</v>
      </c>
      <c r="I18" s="37">
        <v>5000</v>
      </c>
      <c r="J18" s="37">
        <v>0</v>
      </c>
      <c r="K18" s="37">
        <v>44419.59</v>
      </c>
      <c r="L18" s="37">
        <v>39419.59</v>
      </c>
      <c r="M18" s="37">
        <v>0</v>
      </c>
      <c r="N18" s="37">
        <v>0</v>
      </c>
      <c r="O18" s="146">
        <v>5000</v>
      </c>
      <c r="P18" s="89"/>
    </row>
    <row r="19" spans="1:16" ht="38.25">
      <c r="A19" s="110" t="s">
        <v>400</v>
      </c>
      <c r="B19" s="129">
        <v>11</v>
      </c>
      <c r="C19" s="73" t="s">
        <v>182</v>
      </c>
      <c r="D19" s="73" t="s">
        <v>399</v>
      </c>
      <c r="E19" s="73" t="s">
        <v>430</v>
      </c>
      <c r="F19" s="37">
        <v>0</v>
      </c>
      <c r="G19" s="37">
        <v>32153.58</v>
      </c>
      <c r="H19" s="37">
        <v>9245.26</v>
      </c>
      <c r="I19" s="37">
        <v>113745.65</v>
      </c>
      <c r="J19" s="37">
        <v>371483.31</v>
      </c>
      <c r="K19" s="37">
        <v>150666.05</v>
      </c>
      <c r="L19" s="37">
        <v>0</v>
      </c>
      <c r="M19" s="37">
        <v>32153.58</v>
      </c>
      <c r="N19" s="37">
        <v>7478.83</v>
      </c>
      <c r="O19" s="146">
        <v>111033.64</v>
      </c>
      <c r="P19" s="89"/>
    </row>
    <row r="20" spans="1:16" ht="38.25">
      <c r="A20" s="110" t="s">
        <v>398</v>
      </c>
      <c r="B20" s="129">
        <v>12</v>
      </c>
      <c r="C20" s="73" t="s">
        <v>439</v>
      </c>
      <c r="D20" s="73" t="s">
        <v>395</v>
      </c>
      <c r="E20" s="73" t="s">
        <v>435</v>
      </c>
      <c r="F20" s="37">
        <v>0</v>
      </c>
      <c r="G20" s="37">
        <v>93278.32</v>
      </c>
      <c r="H20" s="37">
        <v>0</v>
      </c>
      <c r="I20" s="37">
        <v>16500</v>
      </c>
      <c r="J20" s="37">
        <v>129021.72</v>
      </c>
      <c r="K20" s="37">
        <v>109778.32</v>
      </c>
      <c r="L20" s="37">
        <v>0</v>
      </c>
      <c r="M20" s="37">
        <v>93278.32</v>
      </c>
      <c r="N20" s="37">
        <v>0</v>
      </c>
      <c r="O20" s="146">
        <v>16500</v>
      </c>
      <c r="P20" s="89"/>
    </row>
    <row r="21" spans="1:16" ht="51">
      <c r="A21" s="110" t="s">
        <v>394</v>
      </c>
      <c r="B21" s="129">
        <v>13</v>
      </c>
      <c r="C21" s="73"/>
      <c r="D21" s="73"/>
      <c r="E21" s="73"/>
      <c r="F21" s="37">
        <v>0</v>
      </c>
      <c r="G21" s="37">
        <v>4533.04</v>
      </c>
      <c r="H21" s="37">
        <v>0</v>
      </c>
      <c r="I21" s="37">
        <v>2947</v>
      </c>
      <c r="J21" s="37">
        <v>0</v>
      </c>
      <c r="K21" s="37">
        <v>7480</v>
      </c>
      <c r="L21" s="37">
        <v>0</v>
      </c>
      <c r="M21" s="37">
        <v>4533</v>
      </c>
      <c r="N21" s="37">
        <v>0</v>
      </c>
      <c r="O21" s="146">
        <v>2947</v>
      </c>
      <c r="P21" s="89"/>
    </row>
    <row r="22" spans="1:16" ht="38.25">
      <c r="A22" s="110" t="s">
        <v>393</v>
      </c>
      <c r="B22" s="129">
        <v>14</v>
      </c>
      <c r="C22" s="73"/>
      <c r="D22" s="73"/>
      <c r="E22" s="73"/>
      <c r="F22" s="37">
        <v>0</v>
      </c>
      <c r="G22" s="37">
        <v>8518.16</v>
      </c>
      <c r="H22" s="37">
        <v>0</v>
      </c>
      <c r="I22" s="37">
        <v>0</v>
      </c>
      <c r="J22" s="37">
        <v>0</v>
      </c>
      <c r="K22" s="37">
        <v>8518.16</v>
      </c>
      <c r="L22" s="37">
        <v>0</v>
      </c>
      <c r="M22" s="37">
        <v>8518.16</v>
      </c>
      <c r="N22" s="37">
        <v>0</v>
      </c>
      <c r="O22" s="146">
        <v>0</v>
      </c>
      <c r="P22" s="89"/>
    </row>
    <row r="23" spans="1:16" ht="38.25">
      <c r="A23" s="110" t="s">
        <v>390</v>
      </c>
      <c r="B23" s="129">
        <v>15</v>
      </c>
      <c r="C23" s="73"/>
      <c r="D23" s="73"/>
      <c r="E23" s="73"/>
      <c r="F23" s="37">
        <v>0</v>
      </c>
      <c r="G23" s="37">
        <v>12378.73</v>
      </c>
      <c r="H23" s="37">
        <v>0</v>
      </c>
      <c r="I23" s="37">
        <v>198.38</v>
      </c>
      <c r="J23" s="37">
        <v>0</v>
      </c>
      <c r="K23" s="37">
        <v>12577.11</v>
      </c>
      <c r="L23" s="37">
        <v>0</v>
      </c>
      <c r="M23" s="37">
        <v>12378.73</v>
      </c>
      <c r="N23" s="37">
        <v>0</v>
      </c>
      <c r="O23" s="146">
        <v>198.376</v>
      </c>
      <c r="P23" s="89"/>
    </row>
    <row r="24" spans="1:16" ht="38.25">
      <c r="A24" s="110" t="s">
        <v>389</v>
      </c>
      <c r="B24" s="129">
        <v>16</v>
      </c>
      <c r="C24" s="73"/>
      <c r="D24" s="73"/>
      <c r="E24" s="73"/>
      <c r="F24" s="37">
        <v>0</v>
      </c>
      <c r="G24" s="37">
        <v>9199.94</v>
      </c>
      <c r="H24" s="37">
        <v>0</v>
      </c>
      <c r="I24" s="37">
        <v>98.42</v>
      </c>
      <c r="J24" s="37">
        <v>0</v>
      </c>
      <c r="K24" s="37">
        <v>9298.36</v>
      </c>
      <c r="L24" s="37">
        <v>0</v>
      </c>
      <c r="M24" s="37">
        <v>9199.94</v>
      </c>
      <c r="N24" s="37">
        <v>0</v>
      </c>
      <c r="O24" s="146">
        <v>98.42</v>
      </c>
      <c r="P24" s="89"/>
    </row>
    <row r="25" spans="1:16" ht="38.25">
      <c r="A25" s="110" t="s">
        <v>388</v>
      </c>
      <c r="B25" s="129">
        <v>17</v>
      </c>
      <c r="C25" s="73"/>
      <c r="D25" s="73"/>
      <c r="E25" s="73"/>
      <c r="F25" s="37">
        <v>0</v>
      </c>
      <c r="G25" s="37">
        <v>9556.91</v>
      </c>
      <c r="H25" s="37">
        <v>0</v>
      </c>
      <c r="I25" s="37">
        <v>100.01</v>
      </c>
      <c r="J25" s="37">
        <v>16270.02</v>
      </c>
      <c r="K25" s="37">
        <v>9655.53</v>
      </c>
      <c r="L25" s="37">
        <v>0</v>
      </c>
      <c r="M25" s="37">
        <v>9556.91</v>
      </c>
      <c r="N25" s="37">
        <v>0</v>
      </c>
      <c r="O25" s="146">
        <v>98.628</v>
      </c>
      <c r="P25" s="89"/>
    </row>
    <row r="26" spans="1:16" ht="38.25">
      <c r="A26" s="110" t="s">
        <v>385</v>
      </c>
      <c r="B26" s="129">
        <v>18</v>
      </c>
      <c r="C26" s="73"/>
      <c r="D26" s="73"/>
      <c r="E26" s="73"/>
      <c r="F26" s="37">
        <v>0</v>
      </c>
      <c r="G26" s="37">
        <v>11221.37</v>
      </c>
      <c r="H26" s="37">
        <v>0</v>
      </c>
      <c r="I26" s="37">
        <v>98.819</v>
      </c>
      <c r="J26" s="37">
        <v>0</v>
      </c>
      <c r="K26" s="37">
        <v>11320.19</v>
      </c>
      <c r="L26" s="37">
        <v>0</v>
      </c>
      <c r="M26" s="37">
        <v>11221.37</v>
      </c>
      <c r="N26" s="37">
        <v>0</v>
      </c>
      <c r="O26" s="146">
        <v>98.819</v>
      </c>
      <c r="P26" s="89"/>
    </row>
    <row r="27" spans="1:16" ht="38.25">
      <c r="A27" s="110" t="s">
        <v>384</v>
      </c>
      <c r="B27" s="129">
        <v>19</v>
      </c>
      <c r="C27" s="73"/>
      <c r="D27" s="73"/>
      <c r="E27" s="73"/>
      <c r="F27" s="37">
        <v>0</v>
      </c>
      <c r="G27" s="37">
        <v>11584.45</v>
      </c>
      <c r="H27" s="37">
        <v>0</v>
      </c>
      <c r="I27" s="37">
        <v>10213.1</v>
      </c>
      <c r="J27" s="37">
        <v>0</v>
      </c>
      <c r="K27" s="37">
        <v>21777.6</v>
      </c>
      <c r="L27" s="37">
        <v>0</v>
      </c>
      <c r="M27" s="37">
        <v>11584.45</v>
      </c>
      <c r="N27" s="37">
        <v>0</v>
      </c>
      <c r="O27" s="146">
        <v>10193.1</v>
      </c>
      <c r="P27" s="89"/>
    </row>
    <row r="28" spans="1:16" ht="25.5">
      <c r="A28" s="110" t="s">
        <v>383</v>
      </c>
      <c r="B28" s="129">
        <v>20</v>
      </c>
      <c r="C28" s="73"/>
      <c r="D28" s="73"/>
      <c r="E28" s="73"/>
      <c r="F28" s="37">
        <v>0</v>
      </c>
      <c r="G28" s="37">
        <v>5951.5</v>
      </c>
      <c r="H28" s="37">
        <v>661.2</v>
      </c>
      <c r="I28" s="37">
        <v>0</v>
      </c>
      <c r="J28" s="37">
        <v>3242.4</v>
      </c>
      <c r="K28" s="37">
        <v>6612.7</v>
      </c>
      <c r="L28" s="37">
        <v>0</v>
      </c>
      <c r="M28" s="37">
        <v>5951.5</v>
      </c>
      <c r="N28" s="37">
        <v>661.2</v>
      </c>
      <c r="O28" s="146">
        <v>0</v>
      </c>
      <c r="P28" s="89"/>
    </row>
  </sheetData>
  <sheetProtection/>
  <mergeCells count="11"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</mergeCells>
  <printOptions/>
  <pageMargins left="0.7" right="0.7" top="0.75" bottom="0.9166666666666666" header="0.5118055555555555" footer="0.75"/>
  <pageSetup fitToHeight="100" fitToWidth="1" horizontalDpi="300" verticalDpi="3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120" zoomScaleNormal="120" zoomScaleSheetLayoutView="120" zoomScalePageLayoutView="0" workbookViewId="0" topLeftCell="A1">
      <selection activeCell="A10" sqref="A10"/>
    </sheetView>
  </sheetViews>
  <sheetFormatPr defaultColWidth="9.00390625" defaultRowHeight="12.75"/>
  <cols>
    <col min="1" max="1" width="65.875" style="64" customWidth="1"/>
    <col min="2" max="2" width="11.125" style="138" customWidth="1"/>
    <col min="3" max="3" width="16.625" style="64" customWidth="1"/>
    <col min="4" max="4" width="16.00390625" style="64" customWidth="1"/>
    <col min="5" max="5" width="14.375" style="64" customWidth="1"/>
    <col min="6" max="6" width="13.875" style="64" customWidth="1"/>
    <col min="7" max="7" width="15.00390625" style="64" customWidth="1"/>
    <col min="8" max="8" width="14.125" style="64" customWidth="1"/>
    <col min="9" max="9" width="17.625" style="64" customWidth="1"/>
    <col min="10" max="10" width="16.625" style="64" customWidth="1"/>
    <col min="11" max="11" width="15.75390625" style="64" customWidth="1"/>
    <col min="12" max="16384" width="9.125" style="64" customWidth="1"/>
  </cols>
  <sheetData>
    <row r="1" s="136" customFormat="1" ht="8.25" customHeight="1">
      <c r="B1" s="115"/>
    </row>
    <row r="2" s="136" customFormat="1" ht="8.25" customHeight="1">
      <c r="B2" s="115"/>
    </row>
    <row r="3" spans="1:11" s="136" customFormat="1" ht="36" customHeight="1">
      <c r="A3" s="209" t="s">
        <v>461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36" customFormat="1" ht="40.5" customHeight="1">
      <c r="A4" s="210" t="s">
        <v>462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3" s="136" customFormat="1" ht="12.7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2"/>
      <c r="M5" s="22"/>
    </row>
    <row r="6" spans="1:13" s="136" customFormat="1" ht="15" customHeight="1">
      <c r="A6" s="212" t="s">
        <v>442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  <c r="M6" s="22"/>
    </row>
    <row r="7" spans="1:13" s="117" customFormat="1" ht="30.75" customHeight="1">
      <c r="A7" s="208" t="s">
        <v>463</v>
      </c>
      <c r="B7" s="208" t="s">
        <v>40</v>
      </c>
      <c r="C7" s="208" t="s">
        <v>464</v>
      </c>
      <c r="D7" s="208" t="s">
        <v>445</v>
      </c>
      <c r="E7" s="208" t="s">
        <v>465</v>
      </c>
      <c r="F7" s="208" t="s">
        <v>466</v>
      </c>
      <c r="G7" s="208"/>
      <c r="H7" s="208"/>
      <c r="I7" s="208"/>
      <c r="J7" s="208"/>
      <c r="K7" s="208" t="s">
        <v>467</v>
      </c>
      <c r="L7" s="88"/>
      <c r="M7" s="88"/>
    </row>
    <row r="8" spans="1:13" s="117" customFormat="1" ht="94.5">
      <c r="A8" s="208"/>
      <c r="B8" s="208"/>
      <c r="C8" s="208"/>
      <c r="D8" s="208"/>
      <c r="E8" s="208"/>
      <c r="F8" s="27" t="s">
        <v>468</v>
      </c>
      <c r="G8" s="27" t="s">
        <v>469</v>
      </c>
      <c r="H8" s="27" t="s">
        <v>470</v>
      </c>
      <c r="I8" s="27" t="s">
        <v>471</v>
      </c>
      <c r="J8" s="27" t="s">
        <v>472</v>
      </c>
      <c r="K8" s="208"/>
      <c r="L8" s="88"/>
      <c r="M8" s="88"/>
    </row>
    <row r="9" spans="1:13" s="108" customFormat="1" ht="18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83"/>
      <c r="M9" s="83"/>
    </row>
    <row r="10" spans="1:11" ht="25.5">
      <c r="A10" s="127" t="s">
        <v>434</v>
      </c>
      <c r="B10" s="77">
        <v>1</v>
      </c>
      <c r="C10" s="82" t="s">
        <v>182</v>
      </c>
      <c r="D10" s="82" t="s">
        <v>460</v>
      </c>
      <c r="E10" s="77">
        <v>2016</v>
      </c>
      <c r="F10" s="60" t="s">
        <v>460</v>
      </c>
      <c r="G10" s="60" t="s">
        <v>459</v>
      </c>
      <c r="H10" s="60" t="s">
        <v>460</v>
      </c>
      <c r="I10" s="60" t="s">
        <v>460</v>
      </c>
      <c r="J10" s="77" t="s">
        <v>458</v>
      </c>
      <c r="K10" s="143">
        <v>533261.6</v>
      </c>
    </row>
    <row r="11" spans="1:11" ht="25.5">
      <c r="A11" s="127" t="s">
        <v>408</v>
      </c>
      <c r="B11" s="77">
        <v>2</v>
      </c>
      <c r="C11" s="82" t="s">
        <v>182</v>
      </c>
      <c r="D11" s="82" t="s">
        <v>457</v>
      </c>
      <c r="E11" s="77">
        <v>2016</v>
      </c>
      <c r="F11" s="60" t="s">
        <v>457</v>
      </c>
      <c r="G11" s="60" t="s">
        <v>459</v>
      </c>
      <c r="H11" s="60" t="s">
        <v>457</v>
      </c>
      <c r="I11" s="60" t="s">
        <v>457</v>
      </c>
      <c r="J11" s="77" t="s">
        <v>458</v>
      </c>
      <c r="K11" s="143">
        <v>555104.98</v>
      </c>
    </row>
    <row r="12" spans="1:11" ht="25.5">
      <c r="A12" s="127" t="s">
        <v>429</v>
      </c>
      <c r="B12" s="77">
        <v>3</v>
      </c>
      <c r="C12" s="82" t="s">
        <v>182</v>
      </c>
      <c r="D12" s="82" t="s">
        <v>456</v>
      </c>
      <c r="E12" s="77">
        <v>2016</v>
      </c>
      <c r="F12" s="60" t="s">
        <v>456</v>
      </c>
      <c r="G12" s="60" t="s">
        <v>459</v>
      </c>
      <c r="H12" s="60" t="s">
        <v>456</v>
      </c>
      <c r="I12" s="60" t="s">
        <v>456</v>
      </c>
      <c r="J12" s="77" t="s">
        <v>458</v>
      </c>
      <c r="K12" s="143">
        <v>1365998.39</v>
      </c>
    </row>
    <row r="13" spans="1:11" ht="25.5">
      <c r="A13" s="127" t="s">
        <v>400</v>
      </c>
      <c r="B13" s="77">
        <v>4</v>
      </c>
      <c r="C13" s="82" t="s">
        <v>182</v>
      </c>
      <c r="D13" s="82" t="s">
        <v>455</v>
      </c>
      <c r="E13" s="77">
        <v>2016</v>
      </c>
      <c r="F13" s="60" t="s">
        <v>455</v>
      </c>
      <c r="G13" s="60" t="s">
        <v>459</v>
      </c>
      <c r="H13" s="60" t="s">
        <v>455</v>
      </c>
      <c r="I13" s="60" t="s">
        <v>455</v>
      </c>
      <c r="J13" s="77" t="s">
        <v>458</v>
      </c>
      <c r="K13" s="143">
        <v>522143</v>
      </c>
    </row>
    <row r="65535" ht="12.75" hidden="1"/>
  </sheetData>
  <sheetProtection/>
  <mergeCells count="11"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  <mergeCell ref="D7:D8"/>
  </mergeCells>
  <printOptions/>
  <pageMargins left="0.7" right="0.7" top="0.7520833333333333" bottom="0.9166666666666666" header="0.5118055555555555" footer="0.75"/>
  <pageSetup fitToHeight="100" fitToWidth="1" horizontalDpi="300" verticalDpi="3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Normal="120" zoomScaleSheetLayoutView="120" zoomScalePageLayoutView="0" workbookViewId="0" topLeftCell="A1">
      <selection activeCell="E6" sqref="E6"/>
    </sheetView>
  </sheetViews>
  <sheetFormatPr defaultColWidth="9.375" defaultRowHeight="12.75"/>
  <cols>
    <col min="1" max="1" width="55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Чепелюк Денис Александрович</cp:lastModifiedBy>
  <dcterms:modified xsi:type="dcterms:W3CDTF">2017-03-02T23:06:47Z</dcterms:modified>
  <cp:category/>
  <cp:version/>
  <cp:contentType/>
  <cp:contentStatus/>
</cp:coreProperties>
</file>