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0" windowWidth="19416" windowHeight="11016" tabRatio="856" activeTab="7"/>
  </bookViews>
  <sheets>
    <sheet name="Реестр" sheetId="1" r:id="rId1"/>
    <sheet name="Произ программа" sheetId="2" r:id="rId2"/>
    <sheet name="3.1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 Смета" sheetId="9" r:id="rId9"/>
    <sheet name="Амортизация по лизингу" sheetId="10" state="hidden" r:id="rId10"/>
    <sheet name="4.11" sheetId="11" state="hidden" r:id="rId11"/>
    <sheet name="4.12" sheetId="12" state="hidden" r:id="rId12"/>
    <sheet name="4.13" sheetId="13" state="hidden" r:id="rId13"/>
    <sheet name="4.14" sheetId="14" state="hidden" r:id="rId14"/>
    <sheet name="4.15" sheetId="15" state="hidden" r:id="rId15"/>
    <sheet name="6.1" sheetId="16" state="hidden" r:id="rId16"/>
    <sheet name="6.2" sheetId="17" state="hidden" r:id="rId17"/>
    <sheet name="6.3" sheetId="18" state="hidden" r:id="rId18"/>
    <sheet name="4.7 " sheetId="19" r:id="rId19"/>
    <sheet name="4.7 расшиф.-ээ" sheetId="20" r:id="rId20"/>
    <sheet name="4.8" sheetId="21" r:id="rId21"/>
    <sheet name="4.9 " sheetId="22" r:id="rId22"/>
    <sheet name="Расшиф. 4.9 ЗП" sheetId="23" r:id="rId23"/>
    <sheet name="4.10" sheetId="24" r:id="rId24"/>
    <sheet name="Амортизация" sheetId="25" r:id="rId25"/>
    <sheet name="4.12-1" sheetId="26" r:id="rId26"/>
    <sheet name="5.1" sheetId="27" r:id="rId27"/>
    <sheet name="5.2" sheetId="28" r:id="rId28"/>
    <sheet name="5.3" sheetId="29" r:id="rId29"/>
    <sheet name="5.4" sheetId="30" r:id="rId30"/>
    <sheet name="5.5" sheetId="31" r:id="rId31"/>
    <sheet name="5.6" sheetId="32" r:id="rId32"/>
    <sheet name="5.7" sheetId="33" r:id="rId33"/>
    <sheet name="5.9" sheetId="34" r:id="rId34"/>
    <sheet name="6.5" sheetId="35" state="hidden" r:id="rId35"/>
    <sheet name="6.4" sheetId="36" r:id="rId36"/>
    <sheet name="6.6" sheetId="37" r:id="rId37"/>
    <sheet name="6.7" sheetId="38" r:id="rId38"/>
    <sheet name="6.8" sheetId="39" r:id="rId39"/>
    <sheet name="Расчет гвс (откр.)" sheetId="40" r:id="rId40"/>
    <sheet name="Перечень строений" sheetId="41" r:id="rId41"/>
    <sheet name="Т-график" sheetId="42" r:id="rId42"/>
    <sheet name="i-d" sheetId="43" r:id="rId43"/>
    <sheet name="i-d (2)" sheetId="44" r:id="rId44"/>
  </sheets>
  <externalReferences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Hlk275146613" localSheetId="41">'Т-график'!$M$4</definedName>
    <definedName name="_xlfn.SUMIFS" hidden="1">#NAME?</definedName>
    <definedName name="_xlnm._FilterDatabase" localSheetId="6" hidden="1">'4.4'!$A$8:$J$159</definedName>
    <definedName name="_xlnm._FilterDatabase" localSheetId="8" hidden="1">'4.6 Смета'!$A$10:$K$120</definedName>
    <definedName name="_xlnm.Print_Titles" localSheetId="23">'4.10'!$6:$9</definedName>
    <definedName name="_xlnm.Print_Titles" localSheetId="6">'4.4'!$6:$9</definedName>
    <definedName name="_xlnm.Print_Titles" localSheetId="18">'4.7 '!$6:$10</definedName>
    <definedName name="_xlnm.Print_Area" localSheetId="2">'3.1'!$A$1:$G$63</definedName>
    <definedName name="_xlnm.Print_Area" localSheetId="3">'4.1'!$B$2:$DH$40</definedName>
    <definedName name="_xlnm.Print_Area" localSheetId="23">'4.10'!$B$1:$Q$118</definedName>
    <definedName name="_xlnm.Print_Area" localSheetId="10">'4.11'!$A$1:$K$43</definedName>
    <definedName name="_xlnm.Print_Area" localSheetId="11">'4.12'!$A$1:$G$21</definedName>
    <definedName name="_xlnm.Print_Area" localSheetId="12">'4.13'!$A$1:$G$21</definedName>
    <definedName name="_xlnm.Print_Area" localSheetId="13">'4.14'!$A$1:$G$23</definedName>
    <definedName name="_xlnm.Print_Area" localSheetId="14">'4.15'!$A$1:$H$26</definedName>
    <definedName name="_xlnm.Print_Area" localSheetId="4">'4.2'!$B$2:$AS$34</definedName>
    <definedName name="_xlnm.Print_Area" localSheetId="5">'4.3'!$A$1:$AZ$33</definedName>
    <definedName name="_xlnm.Print_Area" localSheetId="6">'4.4'!$A$1:$P$163</definedName>
    <definedName name="_xlnm.Print_Area" localSheetId="7">'4.5'!$B$2:$S$50</definedName>
    <definedName name="_xlnm.Print_Area" localSheetId="8">'4.6 Смета'!$A$1:$Q$145</definedName>
    <definedName name="_xlnm.Print_Area" localSheetId="18">'4.7 '!$A$1:$J$98</definedName>
    <definedName name="_xlnm.Print_Area" localSheetId="20">'4.8'!$A$1:$K$69</definedName>
    <definedName name="_xlnm.Print_Area" localSheetId="21">'4.9 '!$B$1:$Q$81</definedName>
    <definedName name="_xlnm.Print_Area" localSheetId="27">'5.2'!$A$1:$H$19</definedName>
    <definedName name="_xlnm.Print_Area" localSheetId="29">'5.4'!$A$1:$H$17</definedName>
    <definedName name="_xlnm.Print_Area" localSheetId="30">'5.5'!$A$1:$I$38</definedName>
    <definedName name="_xlnm.Print_Area" localSheetId="31">'5.6'!$A$1:$H$41</definedName>
    <definedName name="_xlnm.Print_Area" localSheetId="33">'5.9'!$A$1:$I$36</definedName>
    <definedName name="_xlnm.Print_Area" localSheetId="15">'6.1'!$A$1:$K$42</definedName>
    <definedName name="_xlnm.Print_Area" localSheetId="16">'6.2'!$A$1:$U$44</definedName>
    <definedName name="_xlnm.Print_Area" localSheetId="17">'6.3'!$A$1:$AU$48</definedName>
    <definedName name="_xlnm.Print_Area" localSheetId="35">'6.4'!$B$2:$AN$69</definedName>
    <definedName name="_xlnm.Print_Area" localSheetId="34">'6.5'!$A$1:$AL$49</definedName>
    <definedName name="_xlnm.Print_Area" localSheetId="36">'6.6'!$A$1:$P$37</definedName>
    <definedName name="_xlnm.Print_Area" localSheetId="37">'6.7'!$A$2:$P$28</definedName>
    <definedName name="_xlnm.Print_Area" localSheetId="38">'6.8'!$A$1:$P$27</definedName>
    <definedName name="_xlnm.Print_Area" localSheetId="42">'i-d'!$A$1:$H$34</definedName>
    <definedName name="_xlnm.Print_Area" localSheetId="43">'i-d (2)'!$A$2:$H$34</definedName>
    <definedName name="_xlnm.Print_Area" localSheetId="24">'Амортизация'!$A$1:$Y$30</definedName>
    <definedName name="_xlnm.Print_Area" localSheetId="9">'Амортизация по лизингу'!$A$1:$W$36</definedName>
    <definedName name="_xlnm.Print_Area" localSheetId="40">'Перечень строений'!$A$1:$I$80</definedName>
    <definedName name="_xlnm.Print_Area" localSheetId="22">'Расшиф. 4.9 ЗП'!$A$1:$AQ$45</definedName>
    <definedName name="_xlnm.Print_Area" localSheetId="0">'Реестр'!$A$1:$C$48</definedName>
    <definedName name="_xlnm.Print_Area" localSheetId="41">'Т-график'!$A$1:$N$86</definedName>
  </definedNames>
  <calcPr fullCalcOnLoad="1"/>
</workbook>
</file>

<file path=xl/comments10.xml><?xml version="1.0" encoding="utf-8"?>
<comments xmlns="http://schemas.openxmlformats.org/spreadsheetml/2006/main">
  <authors>
    <author>Шалковская М.Л.</author>
  </authors>
  <commentList>
    <comment ref="H9" authorId="0">
      <text>
        <r>
          <rPr>
            <b/>
            <sz val="10"/>
            <rFont val="Times New Roman"/>
            <family val="1"/>
          </rPr>
          <t xml:space="preserve">Шалковская М.Л.:
</t>
        </r>
        <r>
          <rPr>
            <sz val="10"/>
            <rFont val="Times New Roman"/>
            <family val="1"/>
          </rPr>
          <t>Ввод 01.07.2011г. 
Амортизация 2011г. - ст-ть 2 045*2шт./60мес.*6 мес.=409тыс.руб.; 
Амортизация 2012г. - ст-ть 2 045*2шт./60 мес.*12 мес.=818 тыс.руб.;
Амортизация за 2011г. и за 2012г. = 818+409=1227</t>
        </r>
      </text>
    </comment>
    <comment ref="H10" authorId="0">
      <text>
        <r>
          <rPr>
            <b/>
            <sz val="10"/>
            <rFont val="Times New Roman"/>
            <family val="1"/>
          </rPr>
          <t xml:space="preserve">Шалковская М.Л.:
</t>
        </r>
        <r>
          <rPr>
            <sz val="10"/>
            <rFont val="Times New Roman"/>
            <family val="1"/>
          </rPr>
          <t>Ввод 01.07.2011г. 
Амортизация 2011г. - ст-ть 2 270./60мес.*6 мес.=227 тыс.руб.; 
Амортизация 2012г. - ст-ть 2 270/60 мес.*12 мес.=454 тыс.руб.;
Амортизация за 2011г. и за 2012г. = 454+227=681</t>
        </r>
      </text>
    </comment>
    <comment ref="H11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</t>
        </r>
      </text>
    </comment>
    <comment ref="H12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 </t>
        </r>
      </text>
    </comment>
    <comment ref="H13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15" authorId="0">
      <text>
        <r>
          <rPr>
            <b/>
            <sz val="10"/>
            <rFont val="Times New Roman"/>
            <family val="1"/>
          </rPr>
          <t xml:space="preserve">Шалковская М.Л.:
</t>
        </r>
        <r>
          <rPr>
            <sz val="10"/>
            <rFont val="Times New Roman"/>
            <family val="1"/>
          </rPr>
          <t>Ввод 01.07.2011г. 
Амортизация 2011г. - ст-ть 2 045*2шт./60мес.*6 мес.=409тыс.руб.; 
Амортизация 2012г. - ст-ть 2 045*2шт./60 мес.*12 мес.=818 тыс.руб.;
Амортизация за 2011г. и за 2012г. = 818+409=1227</t>
        </r>
      </text>
    </comment>
    <comment ref="H16" authorId="0">
      <text>
        <r>
          <rPr>
            <b/>
            <sz val="10"/>
            <rFont val="Times New Roman"/>
            <family val="1"/>
          </rPr>
          <t xml:space="preserve">Шалковская М.Л.:
</t>
        </r>
        <r>
          <rPr>
            <sz val="10"/>
            <rFont val="Times New Roman"/>
            <family val="1"/>
          </rPr>
          <t>Ввод 01.07.2011г. 
Амортизация 2011г. - ст-ть 2 270./60мес.*6 мес.=227 тыс.руб.; 
Амортизация 2012г. - ст-ть 2 270/60 мес.*12 мес.=454 тыс.руб.;
Амортизация за 2011г. и за 2012г. = 454+227=681</t>
        </r>
      </text>
    </comment>
    <comment ref="H17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18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20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22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24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25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27" authorId="0">
      <text>
        <r>
          <rPr>
            <b/>
            <sz val="10"/>
            <rFont val="Tahoma"/>
            <family val="2"/>
          </rPr>
          <t>Шалковская М.Л.:</t>
        </r>
        <r>
          <rPr>
            <sz val="10"/>
            <rFont val="Tahoma"/>
            <family val="2"/>
          </rPr>
          <t xml:space="preserve">
Ввод 10.2012
Амортизация 2012г. - ст-ть 9285/60мес.*3 мес.=464.25 тыс.руб.;
</t>
        </r>
      </text>
    </comment>
    <comment ref="H28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29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G23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табл 1.12.-1.ээ свод должен пойти</t>
        </r>
      </text>
    </comment>
    <comment ref="G24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табл 1.12.1 в.с.</t>
        </r>
      </text>
    </comment>
  </commentList>
</comments>
</file>

<file path=xl/comments22.xml><?xml version="1.0" encoding="utf-8"?>
<comments xmlns="http://schemas.openxmlformats.org/spreadsheetml/2006/main">
  <authors>
    <author>fin2</author>
  </authors>
  <commentList>
    <comment ref="C46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1.Ежемесячные компенсационные выплаты
по уходу за ребенком - 50 руб
2. Ежемесячные компенсационные выплаты студентам -50 руб
</t>
        </r>
      </text>
    </comment>
  </commentList>
</comments>
</file>

<file path=xl/comments4.xml><?xml version="1.0" encoding="utf-8"?>
<comments xmlns="http://schemas.openxmlformats.org/spreadsheetml/2006/main">
  <authors>
    <author>fin2</author>
  </authors>
  <commentList>
    <comment ref="C23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В стр. 3 заполняется расход тепловой энергии на хозяйственные нужды только на источнике тепловой энергии.</t>
        </r>
      </text>
    </comment>
    <comment ref="C25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В строке 5 указываются фактические потери тепловой энергии в сети в случае, предусмотренном пунктом 90 Основ ценообразования в сфере теплоснабжения, утвержденных постановлением Правительства Российской Федерации от 22.10.2012 № 1075.</t>
        </r>
      </text>
    </comment>
  </commentList>
</comments>
</file>

<file path=xl/comments5.xml><?xml version="1.0" encoding="utf-8"?>
<comments xmlns="http://schemas.openxmlformats.org/spreadsheetml/2006/main">
  <authors>
    <author>fin2</author>
  </authors>
  <commentList>
    <comment ref="N24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экспертиза потерь</t>
        </r>
      </text>
    </comment>
    <comment ref="Q24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экспертиза потерь</t>
        </r>
      </text>
    </comment>
    <comment ref="T24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экспертиза потерь</t>
        </r>
      </text>
    </comment>
    <comment ref="W24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экспертиза потерь</t>
        </r>
      </text>
    </comment>
    <comment ref="AC24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экспертиза потерь</t>
        </r>
      </text>
    </comment>
  </commentList>
</comments>
</file>

<file path=xl/comments7.xml><?xml version="1.0" encoding="utf-8"?>
<comments xmlns="http://schemas.openxmlformats.org/spreadsheetml/2006/main">
  <authors>
    <author>fin2</author>
  </authors>
  <commentList>
    <comment ref="E76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цена топлива с учетом транспортировки.
</t>
        </r>
      </text>
    </comment>
    <comment ref="D76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цена топлива с учетом транспортировки.
</t>
        </r>
      </text>
    </comment>
  </commentList>
</comments>
</file>

<file path=xl/comments9.xml><?xml version="1.0" encoding="utf-8"?>
<comments xmlns="http://schemas.openxmlformats.org/spreadsheetml/2006/main">
  <authors>
    <author>fin2</author>
  </authors>
  <commentList>
    <comment ref="C23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только покупная горячая вода</t>
        </r>
      </text>
    </comment>
  </commentList>
</comments>
</file>

<file path=xl/sharedStrings.xml><?xml version="1.0" encoding="utf-8"?>
<sst xmlns="http://schemas.openxmlformats.org/spreadsheetml/2006/main" count="5034" uniqueCount="1791">
  <si>
    <t>Насос циркуляционный  Grundfos TР 80-180/2 96108698</t>
  </si>
  <si>
    <t>Насос циркуляционный  Wilo Cronoline-IL 65/170-1,5/4</t>
  </si>
  <si>
    <t>Насос топливный</t>
  </si>
  <si>
    <t>Насос повышенного давления РВ-201 ЕА</t>
  </si>
  <si>
    <t>Генеральный дтректор ____________________________С.С. Бобряшов</t>
  </si>
  <si>
    <r>
      <t xml:space="preserve">Теплоснабжающая организация: </t>
    </r>
    <r>
      <rPr>
        <b/>
        <sz val="12"/>
        <rFont val="Times New Roman"/>
        <family val="1"/>
      </rPr>
      <t>ООО "Строй-Альянс"</t>
    </r>
  </si>
  <si>
    <r>
      <t>на производство теплоносителя на нужды горячего водоснабжения                             (закрытая</t>
    </r>
    <r>
      <rPr>
        <b/>
        <sz val="9"/>
        <rFont val="Times New Roman"/>
        <family val="1"/>
      </rPr>
      <t xml:space="preserve"> система</t>
    </r>
    <r>
      <rPr>
        <sz val="9"/>
        <rFont val="Times New Roman"/>
        <family val="1"/>
      </rPr>
      <t>)</t>
    </r>
  </si>
  <si>
    <r>
      <t xml:space="preserve">Теплоснабжающая организация: </t>
    </r>
    <r>
      <rPr>
        <b/>
        <u val="single"/>
        <sz val="11"/>
        <rFont val="Times New Roman"/>
        <family val="1"/>
      </rPr>
      <t>ООО "Строй-Альянс"</t>
    </r>
  </si>
  <si>
    <t>Амортизация на 2016г.</t>
  </si>
  <si>
    <t>Договор № 13/01/2012 от 13.01.2012 г.</t>
  </si>
  <si>
    <t>Водогр / котел Kiturami KSO - 200 (2 шт. х 180 000 руб.)</t>
  </si>
  <si>
    <t>2012</t>
  </si>
  <si>
    <t>Договор № 72/12 от 10.01.2012 г.</t>
  </si>
  <si>
    <t>Приборы учета тепловой энергии ( м-кот.№19)</t>
  </si>
  <si>
    <t>Приборы учета тепловой энергии ( м-кот.№9)</t>
  </si>
  <si>
    <t>Договор № 50-11-039399 от 10.12.2011 г.</t>
  </si>
  <si>
    <t>Моноблок Lenovo В 520 13-2100</t>
  </si>
  <si>
    <t>Договор № 09/02/2012 от 09.02.2012 г.</t>
  </si>
  <si>
    <t>Насос Grundfoc ТР 80-180/2 96108698  ( 2 шт. х 54 200 руб)</t>
  </si>
  <si>
    <t>2013</t>
  </si>
  <si>
    <t>Договор № б/н от 03.09.2012 г.</t>
  </si>
  <si>
    <t>Контейнер 20тн</t>
  </si>
  <si>
    <t>Топливный бак (2 шт.*50 000 руб.)</t>
  </si>
  <si>
    <t>Эначение индекса потребительских цен</t>
  </si>
  <si>
    <t>Кумулятивное значение индекса потребительских цен</t>
  </si>
  <si>
    <t>Расчет экономии от снижения потребления энергоресурсов, учитываемой при формировании необходимой валовой выручки методом экономически обоснованных расходов</t>
  </si>
  <si>
    <t>Приложение 6.1</t>
  </si>
  <si>
    <t>Расчет тарифов на тепловую энергию (мощность), отпускаемую от источника (источников) тепловой энергии</t>
  </si>
  <si>
    <t>Источник тепловой энергии</t>
  </si>
  <si>
    <t>Необходимая валовая выручка, тыс. руб.</t>
  </si>
  <si>
    <t>Объем отпуска тепловой энергии от источника тепловой энергии, тыс. Гкал</t>
  </si>
  <si>
    <t>Расчет средневзвешенной стоимости оказываемых и (или) приобретаемых услуг по передаче единицы тепловой энергии производится в соответствии с приложением 6.5 к настоящим Методическим указаниям.</t>
  </si>
  <si>
    <t>7,0 - 13,0 кгс/см2</t>
  </si>
  <si>
    <t>&gt; 13,0 кгс/см2</t>
  </si>
  <si>
    <t>острый и редуциро-ванный пар</t>
  </si>
  <si>
    <t>Примечания:</t>
  </si>
  <si>
    <t>Графы 4 и 9 заполняются с учетом мощности, поддерживаемой для отдельных категорий (групп) социально значимых потребителей, приобретающих услуги по поддержанию резервной тепловой мощности.</t>
  </si>
  <si>
    <t>При подключении к тепловой сети после тепловых пунктов (на тепловых пунктах), эксплуатируемых регулируемой орагнизацией</t>
  </si>
  <si>
    <t>5.2.1</t>
  </si>
  <si>
    <t>в т.ч. по нерегулируемым долгосрочным договорам, тыс.Гкал</t>
  </si>
  <si>
    <t>Суммарная договорная (заявленная) тепловая нагрузка потребителей тепловой энергии, Гкал/ч</t>
  </si>
  <si>
    <t>Приложение 4.8</t>
  </si>
  <si>
    <t>п. Усть - Камчатск</t>
  </si>
  <si>
    <t>Вид сырья и материалов</t>
  </si>
  <si>
    <t>Фактические показатели 2013 г.</t>
  </si>
  <si>
    <t>Расчетный объем</t>
  </si>
  <si>
    <t>Приложение заполняется начиная со второго расчетного периода регулирования (i = 2), тарифы на который рассчитываются с применением настоящих Методических указаний. В первый расчетный период регулирования экономия от снижения потребления топлива равна нулю.</t>
  </si>
  <si>
    <t>фактически понесенные расходы в году 2015 по данным регулируемой организации</t>
  </si>
  <si>
    <t>Индекс цен на топливо</t>
  </si>
  <si>
    <t>Газ</t>
  </si>
  <si>
    <t>Уголь</t>
  </si>
  <si>
    <t>Индекс цен на транспорт</t>
  </si>
  <si>
    <t>Индекс цен на ремонт</t>
  </si>
  <si>
    <t>Расчет тарифной ставки</t>
  </si>
  <si>
    <t>1 пол. 2015г.</t>
  </si>
  <si>
    <t>2 пол. 2015г.</t>
  </si>
  <si>
    <t>2015г.</t>
  </si>
  <si>
    <t>1 пол. 2016г.</t>
  </si>
  <si>
    <t>2 пол. 2016г.</t>
  </si>
  <si>
    <t>2016г.</t>
  </si>
  <si>
    <r>
      <t xml:space="preserve">Индекс цен производителей </t>
    </r>
    <r>
      <rPr>
        <sz val="10"/>
        <color indexed="8"/>
        <rFont val="Times New Roman"/>
        <family val="1"/>
      </rPr>
      <t>(условно-постоянные расходы)</t>
    </r>
  </si>
  <si>
    <t>1 пол. 2017г.</t>
  </si>
  <si>
    <t>2 пол. 2017г.</t>
  </si>
  <si>
    <t>2017г.</t>
  </si>
  <si>
    <t>2018г.</t>
  </si>
  <si>
    <t>2 пол. 2018г.</t>
  </si>
  <si>
    <t>Тарифы на тепловую энергию (мощность), поставляемую потребителям, рассчитываются как сумма соответствующих составляющих: средневзвешенной стоимости производимой и (или) приобретаемой единицы тепловой энергии (мощности) и средневзвешенной стоимости услуг п</t>
  </si>
  <si>
    <t>Приложение 6.6</t>
  </si>
  <si>
    <t>Расходы на производство воды, вырабатываемой на водоподготовительных установках источника тепловой энергии, в том числе:</t>
  </si>
  <si>
    <t>Стоимость исходной воды</t>
  </si>
  <si>
    <t>Стоимость реагентов, а также фильтрующих и ионообменных материалов, используемых при водоподготовке</t>
  </si>
  <si>
    <t>Расчет на прочие покупаемые энергетические ресурсы</t>
  </si>
  <si>
    <t>Реестр расчетов</t>
  </si>
  <si>
    <t>Наименование расчетов</t>
  </si>
  <si>
    <t>Приложение №</t>
  </si>
  <si>
    <t>Ссылка</t>
  </si>
  <si>
    <t>1,2 - 2,5 кгс/см2</t>
  </si>
  <si>
    <t>2,5 - 7,0 кгс/см2</t>
  </si>
  <si>
    <t>Размер годовой</t>
  </si>
  <si>
    <t>Размер месячный</t>
  </si>
  <si>
    <t>=0,011917*гр.8</t>
  </si>
  <si>
    <t>=2,2%- гр.15</t>
  </si>
  <si>
    <t>=гр.12*гр.16/100</t>
  </si>
  <si>
    <t>с.Пахачи</t>
  </si>
  <si>
    <t>Договор финансового лизинга № 19-ВЛ-СМ-ТС от 06.06.2011 г.</t>
  </si>
  <si>
    <t>Первый год очередного долгосрочного периода регулирования (2017)</t>
  </si>
  <si>
    <t>Второй год очередного долгосрочного периода регулирования (2019)</t>
  </si>
  <si>
    <t>прогноз расходов на год 2017 по данным регулируе-мой орга-низации</t>
  </si>
  <si>
    <t>прогноз рас-ходов на год 2018 по данным ре-гулируемой организации</t>
  </si>
  <si>
    <t>прогноз расходов на год 2019 по данным регулируе-мой орга-низации</t>
  </si>
  <si>
    <t>прогноз расходов на год 2017 по данным регулируемой организации</t>
  </si>
  <si>
    <t>прогноз рас-ходов на год
2018 по данным регулируемой организации</t>
  </si>
  <si>
    <t>прогноз расходов на год 2019 по данным регулируемой организации</t>
  </si>
  <si>
    <t>1.9.1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</si>
  <si>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</si>
  <si>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</si>
  <si>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</si>
  <si>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</si>
  <si>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</si>
  <si>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</si>
  <si>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</si>
  <si>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</si>
  <si>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</si>
  <si>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1 квартал</t>
  </si>
  <si>
    <t>2 квартал</t>
  </si>
  <si>
    <t>3 квартал</t>
  </si>
  <si>
    <t>4 квартал</t>
  </si>
  <si>
    <t>План</t>
  </si>
  <si>
    <t>Факт</t>
  </si>
  <si>
    <t>Откл</t>
  </si>
  <si>
    <t>п. Усть-</t>
  </si>
  <si>
    <t>ДТ</t>
  </si>
  <si>
    <t>Гкал</t>
  </si>
  <si>
    <t>выработка</t>
  </si>
  <si>
    <t>Камчатск</t>
  </si>
  <si>
    <t>1 полугодие 2019 г.</t>
  </si>
  <si>
    <t>2 полугодие 2019 г.</t>
  </si>
  <si>
    <t>Утверждено службой  2016 г.</t>
  </si>
  <si>
    <t>Ожидаемые показатели               2016 г.</t>
  </si>
  <si>
    <t xml:space="preserve">1 полугодие </t>
  </si>
  <si>
    <t xml:space="preserve">2 полугодие </t>
  </si>
  <si>
    <t xml:space="preserve">Всего </t>
  </si>
  <si>
    <t>Предложение ТСО  2019 г.</t>
  </si>
  <si>
    <t>Ожидаемые показатели  2016 г.</t>
  </si>
  <si>
    <t>ООО "Морской трст" диз топливо с траспортными расходами,  цена 1 тн =  44 250 руб.</t>
  </si>
  <si>
    <t>Предложение ТСО 2017, 2018, 2019</t>
  </si>
  <si>
    <r>
      <t xml:space="preserve">Базовый период/Период регулирования: </t>
    </r>
    <r>
      <rPr>
        <b/>
        <sz val="10"/>
        <rFont val="Times New Roman"/>
        <family val="1"/>
      </rPr>
      <t>2016/2017-2019 г.г.</t>
    </r>
  </si>
  <si>
    <t>Утверждено Службой 2016 г.</t>
  </si>
  <si>
    <t>поставщик -НН</t>
  </si>
  <si>
    <r>
      <t xml:space="preserve">Базовый период/Период регулирования: </t>
    </r>
    <r>
      <rPr>
        <b/>
        <sz val="10"/>
        <rFont val="Times New Roman"/>
        <family val="1"/>
      </rPr>
      <t>2016/2017-21019 г.г.</t>
    </r>
  </si>
  <si>
    <t>на производство теплоносителя на нужды горячего водоснабжения (открытая система)</t>
  </si>
  <si>
    <t>прочася продукция (на нужды горячего водоснабжения (закрытая система система)</t>
  </si>
  <si>
    <t>на поизводство тепловой энергии</t>
  </si>
  <si>
    <t>Суммарный полезный отпуск тепловой энергии энергия,
тыс. Гкал</t>
  </si>
  <si>
    <t>Стоимость натурального топлива с учетом перевозки</t>
  </si>
  <si>
    <t>Средства, полученные от реализации ценных бумаг</t>
  </si>
  <si>
    <t>2.8</t>
  </si>
  <si>
    <t>Кредитные средства</t>
  </si>
  <si>
    <t>2.9</t>
  </si>
  <si>
    <t>Итого по пп. 2.1 - 2.8</t>
  </si>
  <si>
    <t>2.10</t>
  </si>
  <si>
    <t>Прибыль (п. 1 - п. 2.9):</t>
  </si>
  <si>
    <t>Всего</t>
  </si>
  <si>
    <t>на производство тепловой энергии</t>
  </si>
  <si>
    <t>8.1</t>
  </si>
  <si>
    <t>1.2</t>
  </si>
  <si>
    <t>1.3</t>
  </si>
  <si>
    <t xml:space="preserve">56909*1.062 = 60437; ТСМ офис 763610  Всего 824 047 </t>
  </si>
  <si>
    <t>Годовой фонд оплаты труда, тыс.руб.</t>
  </si>
  <si>
    <t>март</t>
  </si>
  <si>
    <t>апрель</t>
  </si>
  <si>
    <t>Информационные услуги</t>
  </si>
  <si>
    <t>Расходы по охране труда</t>
  </si>
  <si>
    <t>Канцелярские товары</t>
  </si>
  <si>
    <t>Почтовые услуги</t>
  </si>
  <si>
    <t>Арендная плата ( УРАЛ-557)</t>
  </si>
  <si>
    <t>Аттестация рабочих мест</t>
  </si>
  <si>
    <t>5.8</t>
  </si>
  <si>
    <t xml:space="preserve">Период регулирования </t>
  </si>
  <si>
    <t>План 2014 г.</t>
  </si>
  <si>
    <t>План 2014г.</t>
  </si>
  <si>
    <t>Единица измерения</t>
  </si>
  <si>
    <t xml:space="preserve"> Показатели</t>
  </si>
  <si>
    <t>Протяженность тепловых сетей в 2-трубном исчеслении, в том числе:</t>
  </si>
  <si>
    <t>км</t>
  </si>
  <si>
    <t>Надземная (наземная) прокладка</t>
  </si>
  <si>
    <t>50-250 мм</t>
  </si>
  <si>
    <t>251-400 мм</t>
  </si>
  <si>
    <t>401-550 мм</t>
  </si>
  <si>
    <t>1.1.4</t>
  </si>
  <si>
    <t>Подземная прокладка, в том числе:</t>
  </si>
  <si>
    <t>канальная прокладка</t>
  </si>
  <si>
    <t>1.2.1.1</t>
  </si>
  <si>
    <t>1.2.1.2</t>
  </si>
  <si>
    <t>1.2.1.3</t>
  </si>
  <si>
    <t>1.2.1.4</t>
  </si>
  <si>
    <t>1.2.1.5</t>
  </si>
  <si>
    <t>бесканальная прокладка</t>
  </si>
  <si>
    <t>1.2.2.1</t>
  </si>
  <si>
    <t>1.2.2.2</t>
  </si>
  <si>
    <t>1.2.2.3</t>
  </si>
  <si>
    <t>1.2.2.4</t>
  </si>
  <si>
    <t>1.2.2.5</t>
  </si>
  <si>
    <t>Источники тепловой энергии с установленной генерирующей мощностью 25 МВт и более</t>
  </si>
  <si>
    <t xml:space="preserve">Источник тепловой энергии 1 </t>
  </si>
  <si>
    <t>2.1.1</t>
  </si>
  <si>
    <t>Установленная тепловая мощность 1 источника тепловой энергии</t>
  </si>
  <si>
    <t>и т.д.</t>
  </si>
  <si>
    <t>Источники тепловой энергии с установленной генерирующей мощностью менее 25 МВт</t>
  </si>
  <si>
    <t>3.1.1</t>
  </si>
  <si>
    <t>Суммарная установленная мощность источников тепловой энергии</t>
  </si>
  <si>
    <t>в т.ч. ТЭЦ 25 МВт и более</t>
  </si>
  <si>
    <t xml:space="preserve">ТЭЦ менее 25 МВт </t>
  </si>
  <si>
    <t>котельные</t>
  </si>
  <si>
    <t>электробойлерные</t>
  </si>
  <si>
    <t>Расчет полезного отпуска тепловой энергии</t>
  </si>
  <si>
    <t>Приложение 4.1</t>
  </si>
  <si>
    <t>Утверждено службой 2014 г.</t>
  </si>
  <si>
    <t>Отпуск тепловой энергии, поставляемой с коллекторов источника тепловой энергии, всего</t>
  </si>
  <si>
    <t>ТЭЦ 25 МВт и более</t>
  </si>
  <si>
    <t>ТЭЦ менее 25 МВт</t>
  </si>
  <si>
    <t>В том числе население</t>
  </si>
  <si>
    <t>топливо на нетехнологические цели</t>
  </si>
  <si>
    <t>хим.реагенты</t>
  </si>
  <si>
    <t>……</t>
  </si>
  <si>
    <t>расходы на топливо</t>
  </si>
  <si>
    <t>расходы на прочие покупаемые энергетические ресурсы</t>
  </si>
  <si>
    <t>расходы на холодную воду</t>
  </si>
  <si>
    <t>расходы на теплоноситель</t>
  </si>
  <si>
    <t>амортизация основных средств и нематериальных активов</t>
  </si>
  <si>
    <t>оплата труда</t>
  </si>
  <si>
    <t>отчисления на социальные нужды</t>
  </si>
  <si>
    <t>1.9</t>
  </si>
  <si>
    <t>ремонт основных средств выполняемый подрядным способом</t>
  </si>
  <si>
    <t>1.10</t>
  </si>
  <si>
    <t>расходы на оплату услуг, оказываемых организациями, осуществляющими регулируемую деятельность</t>
  </si>
  <si>
    <t>1.11</t>
  </si>
  <si>
    <t>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</si>
  <si>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1.11.1</t>
  </si>
  <si>
    <t>1.11.2</t>
  </si>
  <si>
    <t>1.11.3</t>
  </si>
  <si>
    <t>услуги очистительной техники</t>
  </si>
  <si>
    <t>1.11.4</t>
  </si>
  <si>
    <t>1.11.5</t>
  </si>
  <si>
    <t>1.11.6</t>
  </si>
  <si>
    <t>1.11.7</t>
  </si>
  <si>
    <t>1.11.8</t>
  </si>
  <si>
    <t>1.11.9</t>
  </si>
  <si>
    <t>1.11.10</t>
  </si>
  <si>
    <t>анализ твердого топлива (уголь)</t>
  </si>
  <si>
    <t>1.11.11</t>
  </si>
  <si>
    <t>энергетическое обследование котельных</t>
  </si>
  <si>
    <t>1.11.12</t>
  </si>
  <si>
    <t>установка приборов учета тепловой энергии</t>
  </si>
  <si>
    <t>режимно-наладочные испытания котлов</t>
  </si>
  <si>
    <t>экспертиза НУР и потери в сетях</t>
  </si>
  <si>
    <t>1.12</t>
  </si>
  <si>
    <t>расходы на оплату иных работ и услуг, выполняемых по договорам с организациями, включая расходы на оплату услуг связи, вневедомственной охран, коммунальных услуг, юридических, информациолнных, аудиторских и консультационнвх услуг</t>
  </si>
  <si>
    <t>1.12.1</t>
  </si>
  <si>
    <t>фактически понесенные расходы
в году i1 по данным регулируемой организации</t>
  </si>
  <si>
    <t>Расходы на топливо</t>
  </si>
  <si>
    <t>Расходы на электрическую энергию</t>
  </si>
  <si>
    <t>Расходы на тепловую энергию</t>
  </si>
  <si>
    <t>Расходы на холодную воду</t>
  </si>
  <si>
    <t>Расходы на теплоноситель</t>
  </si>
  <si>
    <t>Гр. 3, 5, n-1 заполняется регулируемой организацией по данным о фактически приобретенных энергетических ресурсах, холодной воды и теплоносителя.</t>
  </si>
  <si>
    <t>другие обоснованные расходы, в том числе</t>
  </si>
  <si>
    <t>2.4.1</t>
  </si>
  <si>
    <t>расходы на услуги банков</t>
  </si>
  <si>
    <t>2.4.2</t>
  </si>
  <si>
    <t>% за пользование кредитом</t>
  </si>
  <si>
    <t>2.4.3</t>
  </si>
  <si>
    <t>расходы на обслуживание заемных средств</t>
  </si>
  <si>
    <t>2.4.4</t>
  </si>
  <si>
    <t>убытки от списания безнадежной дебиторской задолженности</t>
  </si>
  <si>
    <t>2.4.5</t>
  </si>
  <si>
    <t>судебные издержки</t>
  </si>
  <si>
    <t>2.4.6</t>
  </si>
  <si>
    <t>другие (штрафы,пени)</t>
  </si>
  <si>
    <t>III.</t>
  </si>
  <si>
    <t>Цена натурального топлива</t>
  </si>
  <si>
    <t>Стоимость натурального топлива</t>
  </si>
  <si>
    <t>Стоимость натурального топлива на производство тепловой энергии по видам топлива</t>
  </si>
  <si>
    <t>Индекс роста тарифа ж/д перевозки / тарифа ГРО, ПССУ</t>
  </si>
  <si>
    <t>Тариф ж/д перевозки / тарифа ГРО, ПССУ</t>
  </si>
  <si>
    <t>Стоимость ж/д перевозки</t>
  </si>
  <si>
    <t>Стоимость ж/д перевозки на производство тепловой энергии по видам топлива</t>
  </si>
  <si>
    <t>Генеральный директор ____________________ Бобряшов С.Г.</t>
  </si>
  <si>
    <t>Генеральный директор ______________________ С.Г. Бобряшов</t>
  </si>
  <si>
    <t>20.3.1</t>
  </si>
  <si>
    <t>20.3.2</t>
  </si>
  <si>
    <t>20.3.3</t>
  </si>
  <si>
    <t>20.4</t>
  </si>
  <si>
    <t>21.3</t>
  </si>
  <si>
    <t>21.3.1</t>
  </si>
  <si>
    <t>21.3.2</t>
  </si>
  <si>
    <t>21.3.3</t>
  </si>
  <si>
    <t>21.4</t>
  </si>
  <si>
    <t>22.1</t>
  </si>
  <si>
    <t>22.2</t>
  </si>
  <si>
    <t>22.3</t>
  </si>
  <si>
    <t>22.3.1</t>
  </si>
  <si>
    <t>22.3.2</t>
  </si>
  <si>
    <t>22.3.3</t>
  </si>
  <si>
    <t>22.4</t>
  </si>
  <si>
    <t>23.1</t>
  </si>
  <si>
    <t>23.2</t>
  </si>
  <si>
    <t>23.3</t>
  </si>
  <si>
    <t>23.3.1</t>
  </si>
  <si>
    <t>23.3.2</t>
  </si>
  <si>
    <t>23.3.3</t>
  </si>
  <si>
    <t>23.4</t>
  </si>
  <si>
    <t>24</t>
  </si>
  <si>
    <t>24.1</t>
  </si>
  <si>
    <t>24.2</t>
  </si>
  <si>
    <t>24.3</t>
  </si>
  <si>
    <t>24.3.1</t>
  </si>
  <si>
    <t>24.3.2</t>
  </si>
  <si>
    <t>24.3.3</t>
  </si>
  <si>
    <t>24.4</t>
  </si>
  <si>
    <t>24.5</t>
  </si>
  <si>
    <t>25</t>
  </si>
  <si>
    <t>25.1</t>
  </si>
  <si>
    <t>25.2</t>
  </si>
  <si>
    <t>25.3</t>
  </si>
  <si>
    <t>25.3.1</t>
  </si>
  <si>
    <t>25.3.2</t>
  </si>
  <si>
    <t>25.3.3</t>
  </si>
  <si>
    <t>26</t>
  </si>
  <si>
    <t>26.1</t>
  </si>
  <si>
    <t>26.2</t>
  </si>
  <si>
    <t>26.3</t>
  </si>
  <si>
    <t>26.3.1</t>
  </si>
  <si>
    <t>26.3.2</t>
  </si>
  <si>
    <t>26.3.3</t>
  </si>
  <si>
    <t>26.4</t>
  </si>
  <si>
    <t>27</t>
  </si>
  <si>
    <t>27.1</t>
  </si>
  <si>
    <t>27.2</t>
  </si>
  <si>
    <t>27.3</t>
  </si>
  <si>
    <t>27.3.1</t>
  </si>
  <si>
    <t>27.3.2</t>
  </si>
  <si>
    <t>27.3.3</t>
  </si>
  <si>
    <t>27.4</t>
  </si>
  <si>
    <t>28</t>
  </si>
  <si>
    <t>28.1</t>
  </si>
  <si>
    <t>28.2</t>
  </si>
  <si>
    <t>28.3</t>
  </si>
  <si>
    <t>28.3.1</t>
  </si>
  <si>
    <t>28.3.2</t>
  </si>
  <si>
    <t>28.3.3</t>
  </si>
  <si>
    <t>28.4</t>
  </si>
  <si>
    <t>28.5</t>
  </si>
  <si>
    <t>29</t>
  </si>
  <si>
    <t>29.1</t>
  </si>
  <si>
    <t>арендная плата, концессионная плата, лизинговые платежи</t>
  </si>
  <si>
    <t>1.15</t>
  </si>
  <si>
    <t>расходы на служебные командировки</t>
  </si>
  <si>
    <t>1.16</t>
  </si>
  <si>
    <t>расходы на обучение персонала</t>
  </si>
  <si>
    <t>1.17</t>
  </si>
  <si>
    <t>расходы на страхование производственных объектов, учитываемые при определении налоговой базы по налогу на прибыль</t>
  </si>
  <si>
    <t>1.18</t>
  </si>
  <si>
    <t>дргие расходы, связанные с производством и (или) реализацие продукции, в том числе</t>
  </si>
  <si>
    <t>1.18.1</t>
  </si>
  <si>
    <t>налог на имущество организации</t>
  </si>
  <si>
    <t>1.18.2</t>
  </si>
  <si>
    <t>земельный налог</t>
  </si>
  <si>
    <t>1.18.3</t>
  </si>
  <si>
    <t>транспортный налог</t>
  </si>
  <si>
    <t>1.18.4</t>
  </si>
  <si>
    <t>водный налог</t>
  </si>
  <si>
    <t>1.18.5</t>
  </si>
  <si>
    <t xml:space="preserve">прочие налоги </t>
  </si>
  <si>
    <t>1.18.6</t>
  </si>
  <si>
    <t>1.18.7</t>
  </si>
  <si>
    <t>1.18.8</t>
  </si>
  <si>
    <t>1.18.9</t>
  </si>
  <si>
    <t>1.18.10</t>
  </si>
  <si>
    <t>1.18.11</t>
  </si>
  <si>
    <t>1.18.12</t>
  </si>
  <si>
    <t>1.18.13</t>
  </si>
  <si>
    <t>II.</t>
  </si>
  <si>
    <t>Внереализационные расходы, всего</t>
  </si>
  <si>
    <t>расходы на вывод из эксплуатации ( в том числе на консервацию) и вывод из консервации</t>
  </si>
  <si>
    <t>расходы по сомнительным долгам</t>
  </si>
  <si>
    <t>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</si>
  <si>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Графы строки 6 заполняются расчетным способом: гр. стр. 6 = (гр. стр. 5 - гр. стр. 5|предыдущий год) * гр. стр. 4 / 103. Для первого года регулирования: гр. стр. 6 = гр. стр. 5 * гр. стр. 4 / 103.</t>
  </si>
  <si>
    <t>Расчет объема электрической энергии, затраченной на производство и передачу тепловой энергии</t>
  </si>
  <si>
    <t xml:space="preserve">Заместитель генерального директора  </t>
  </si>
  <si>
    <t>по экономике, финансам и сбыту                                                                                         Лукьяненко Е.Ю.</t>
  </si>
  <si>
    <t>Установленная тепловая мощность 2 источника тепловой энергии (кот. Береговая)</t>
  </si>
  <si>
    <t>3.1.3</t>
  </si>
  <si>
    <t>Установленная тепловая мощность 3 источника тепловой энергии (кот. Гаражная)</t>
  </si>
  <si>
    <t>3.1.4</t>
  </si>
  <si>
    <t>Установленная тепловая мощность 4 источника тепловой энергии (кот. Совхозная)</t>
  </si>
  <si>
    <t>3.1.5</t>
  </si>
  <si>
    <t>Установленная тепловая мощность 5 источника тепловой энергии (кот. Центральная)</t>
  </si>
  <si>
    <t>c. Тиличики, с.Корф</t>
  </si>
  <si>
    <t>Расчет баланса топлива</t>
  </si>
  <si>
    <t>Остаток на начало периода</t>
  </si>
  <si>
    <t>Расход натурального топлива</t>
  </si>
  <si>
    <t>Остаток на конец периода</t>
  </si>
  <si>
    <t>всего, тыс. т.н.т.</t>
  </si>
  <si>
    <t>цена, руб./т.н.т.</t>
  </si>
  <si>
    <t>в т.ч. по нерегулируемым договорам,
тыс. Гкал</t>
  </si>
  <si>
    <t>Расчет расхода топлива по электростанциям (котельным)</t>
  </si>
  <si>
    <t>Приложение 4.4</t>
  </si>
  <si>
    <t>2.2.1</t>
  </si>
  <si>
    <t>18.1</t>
  </si>
  <si>
    <t>18.2</t>
  </si>
  <si>
    <t>18.3</t>
  </si>
  <si>
    <t>18.3.1</t>
  </si>
  <si>
    <t>18.3.2</t>
  </si>
  <si>
    <t>18.3.3</t>
  </si>
  <si>
    <t>18.4</t>
  </si>
  <si>
    <t>18.5</t>
  </si>
  <si>
    <t>19.1</t>
  </si>
  <si>
    <t>19.2</t>
  </si>
  <si>
    <t>19.3</t>
  </si>
  <si>
    <t>19.3.1</t>
  </si>
  <si>
    <t>29.3.1</t>
  </si>
  <si>
    <t>29.3.2</t>
  </si>
  <si>
    <t>29.3.3</t>
  </si>
  <si>
    <t>29.4</t>
  </si>
  <si>
    <t>30</t>
  </si>
  <si>
    <t>30.1</t>
  </si>
  <si>
    <t>30.2</t>
  </si>
  <si>
    <t>30.3</t>
  </si>
  <si>
    <t>30.3.1</t>
  </si>
  <si>
    <t>30.3.2</t>
  </si>
  <si>
    <t>30.3.3</t>
  </si>
  <si>
    <t>30.4</t>
  </si>
  <si>
    <t>30.5</t>
  </si>
  <si>
    <t>31</t>
  </si>
  <si>
    <t>31.1</t>
  </si>
  <si>
    <t>31.2</t>
  </si>
  <si>
    <t>31.3</t>
  </si>
  <si>
    <t>31.3.1</t>
  </si>
  <si>
    <t>31.3.2</t>
  </si>
  <si>
    <t>31.3.3</t>
  </si>
  <si>
    <t>31.4</t>
  </si>
  <si>
    <t>31.5</t>
  </si>
  <si>
    <t>32</t>
  </si>
  <si>
    <t>32.1</t>
  </si>
  <si>
    <t>32.2</t>
  </si>
  <si>
    <t>32.3</t>
  </si>
  <si>
    <t>32.3.1</t>
  </si>
  <si>
    <t>32.3.2</t>
  </si>
  <si>
    <t>32.3.3</t>
  </si>
  <si>
    <t>32.4</t>
  </si>
  <si>
    <t>33</t>
  </si>
  <si>
    <t>Выработка электроэнергии, всего</t>
  </si>
  <si>
    <t>Расходы электроэнергиии на собственные нужды:</t>
  </si>
  <si>
    <t>на производство электроэнергии</t>
  </si>
  <si>
    <t xml:space="preserve">то же в % к выработке электроэнергии </t>
  </si>
  <si>
    <t>то же в кВтч/Гкал</t>
  </si>
  <si>
    <t>Отпуск электроэнергии с шин</t>
  </si>
  <si>
    <t>Расход электроэнергии на потери в трансформаторах</t>
  </si>
  <si>
    <t>3.1'!A1</t>
  </si>
  <si>
    <t>4.1'!A1</t>
  </si>
  <si>
    <t>4.2'!A1</t>
  </si>
  <si>
    <t>4.3'!A1</t>
  </si>
  <si>
    <t>4.4'!A1</t>
  </si>
  <si>
    <t>4.5'!A1</t>
  </si>
  <si>
    <t>4.6 Смета'!A1</t>
  </si>
  <si>
    <t>4.7 '!A1</t>
  </si>
  <si>
    <t>4.7 расшиф.-ээ'!A1</t>
  </si>
  <si>
    <t>4.8'!A1</t>
  </si>
  <si>
    <t>4.9 '!A1</t>
  </si>
  <si>
    <t>4.10'!A1</t>
  </si>
  <si>
    <t>4.12-1'!A1</t>
  </si>
  <si>
    <t>5.1'!A1</t>
  </si>
  <si>
    <t>5.2'!A1</t>
  </si>
  <si>
    <t>5.3'!A1</t>
  </si>
  <si>
    <t>5.4'!A1</t>
  </si>
  <si>
    <t>5.5'!A1</t>
  </si>
  <si>
    <t>5.6'!A1</t>
  </si>
  <si>
    <t>5.7'!A1</t>
  </si>
  <si>
    <t>5.9'!A1</t>
  </si>
  <si>
    <t>6.4'!A1</t>
  </si>
  <si>
    <t>6.6'!A1</t>
  </si>
  <si>
    <t>6.7'!A1</t>
  </si>
  <si>
    <t>6.8'!A1</t>
  </si>
  <si>
    <t>нет инвестиционной программы</t>
  </si>
  <si>
    <t>Предложение ТСО 2017 г.</t>
  </si>
  <si>
    <t>Наименование    Усть - Камчатское муниципальное образование</t>
  </si>
  <si>
    <t>Фактические показатели  2014 г.</t>
  </si>
  <si>
    <t>Приложение 4.10</t>
  </si>
  <si>
    <t>Первоначальная стоимость осн. фондов на начало периода</t>
  </si>
  <si>
    <t>Здания</t>
  </si>
  <si>
    <t>Сооружения</t>
  </si>
  <si>
    <t>Передаточные устройства</t>
  </si>
  <si>
    <t>Машины и оборудование в т.ч.</t>
  </si>
  <si>
    <t>силовые машины</t>
  </si>
  <si>
    <t>рабочие машины</t>
  </si>
  <si>
    <t>приборы и лаборат. оборудование</t>
  </si>
  <si>
    <t>1.4.4</t>
  </si>
  <si>
    <t>вычислительная техника</t>
  </si>
  <si>
    <t>1.4.5</t>
  </si>
  <si>
    <t>прочие машины</t>
  </si>
  <si>
    <t>Транспортные средства</t>
  </si>
  <si>
    <t>Инструмент</t>
  </si>
  <si>
    <t>Производственный инвентарь</t>
  </si>
  <si>
    <t>Прочие основные производственные фонды</t>
  </si>
  <si>
    <t>Переоценка стоимости осн. фондов (только положительная или отрицательная разница относительно первоначальной стоимости осн. фондов)</t>
  </si>
  <si>
    <t>Ввод основных производственных фондов</t>
  </si>
  <si>
    <t>3.4.1</t>
  </si>
  <si>
    <t>3.4.2</t>
  </si>
  <si>
    <t>3.4.3</t>
  </si>
  <si>
    <t>3.4.4</t>
  </si>
  <si>
    <t>3.4.5</t>
  </si>
  <si>
    <t>Выбытие основных производственных фондов</t>
  </si>
  <si>
    <t>4.4.5</t>
  </si>
  <si>
    <t>Среднегодовая стоимость основных производственных фондов</t>
  </si>
  <si>
    <t>5.4.1</t>
  </si>
  <si>
    <t>5.4.2</t>
  </si>
  <si>
    <t>5.4.3</t>
  </si>
  <si>
    <t>5.4.4</t>
  </si>
  <si>
    <t>5.4.5</t>
  </si>
  <si>
    <t>Норма амортизационных отчислений</t>
  </si>
  <si>
    <t>6.4.1</t>
  </si>
  <si>
    <t>6.4.2</t>
  </si>
  <si>
    <t>6.4.3</t>
  </si>
  <si>
    <t>6.4.4</t>
  </si>
  <si>
    <t>6.4.5</t>
  </si>
  <si>
    <t>Сумма амортизационных отчислений</t>
  </si>
  <si>
    <t>7.4.1</t>
  </si>
  <si>
    <t>7.4.2</t>
  </si>
  <si>
    <t>7.4.3</t>
  </si>
  <si>
    <t>7.4.4</t>
  </si>
  <si>
    <t>7.4.5</t>
  </si>
  <si>
    <t>7.1</t>
  </si>
  <si>
    <t>7.2</t>
  </si>
  <si>
    <t>7.3</t>
  </si>
  <si>
    <t>7.4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</si>
  <si>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каждому виду регулируемой деятельности, по каждой теплоснабжающей, теплосетевой организации, в целом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</si>
  <si>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7.1 - 7.4 заполняются по результатам распределения расходов между тепло</t>
  </si>
  <si>
    <r>
      <t xml:space="preserve">Теплоснабжающая организация: </t>
    </r>
    <r>
      <rPr>
        <u val="single"/>
        <sz val="10"/>
        <rFont val="Times New Roman"/>
        <family val="1"/>
      </rPr>
      <t>ООО "Строй - Альянс"</t>
    </r>
  </si>
  <si>
    <r>
      <t>гр. 8 = (4/5 * гр. 8 + 3/5 * гр. 7 + 2/5 * гр. 6)|</t>
    </r>
    <r>
      <rPr>
        <vertAlign val="subscript"/>
        <sz val="9"/>
        <rFont val="Times New Roman"/>
        <family val="1"/>
      </rPr>
      <t>стр. 10</t>
    </r>
  </si>
  <si>
    <r>
      <t>гр. 8 = (4/5 * гр. 8 + 3/5 * гр. 7 + 2/5 * гр. 6 + 1/5 * гр. 5)|</t>
    </r>
    <r>
      <rPr>
        <vertAlign val="subscript"/>
        <sz val="9"/>
        <rFont val="Times New Roman"/>
        <family val="1"/>
      </rPr>
      <t>стр. 10</t>
    </r>
  </si>
  <si>
    <t>факт в году i0 по дан-ным регули-руемой организации</t>
  </si>
  <si>
    <t>факт в году i0 + 1 по данным регули-руемой организации</t>
  </si>
  <si>
    <t>n - 1</t>
  </si>
  <si>
    <t>Операционные (подконтрольные) расходы</t>
  </si>
  <si>
    <t>Неподконтрольные расходы</t>
  </si>
  <si>
    <t>Результаты деятельности до перехода к регулированию цен (тарифов) на основе долгосрочных параметров регулирования</t>
  </si>
  <si>
    <t>Корректировка с целью учета отклонения фактических значений параметров расчета тарифов от значений, учтенных при установлении тарифов</t>
  </si>
  <si>
    <t>ИТОГО необходимая валовая выручка</t>
  </si>
  <si>
    <t>Товарная выручка</t>
  </si>
  <si>
    <t>Расходы на приобретение (производство) энергетических ресурсов, холодной воды и теплоносителя</t>
  </si>
  <si>
    <t>Корректировка с учетом надежности и качества реализуемых товаров (оказываемых услуг), подлежащая учету в НВВ</t>
  </si>
  <si>
    <t>Корректировка НВВ в связи с изменением (неисполнением) инвестиционной программы</t>
  </si>
  <si>
    <t>гр. 9 = гр. 5 стр. 10 - гр. 5 стр. 11 + гр. 5 стр. 6 и т.д.;</t>
  </si>
  <si>
    <t>гр. 3 и 5 заполняются аналогично по данным таблицы предыдущего досрочного периода регулирования.</t>
  </si>
  <si>
    <t>Строка 11 заполняется только в графах 3, 5, ..., n-1.</t>
  </si>
  <si>
    <t>Стр. 4 = (стр. 1.1 * стр. 1.2 + … + стр. n.1 * стр. n.2) / стр. 3.</t>
  </si>
  <si>
    <t>Приложение 6.8</t>
  </si>
  <si>
    <t>I</t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</si>
  <si>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Гр. 5 - n  заполняются  расчетно, как  значение  операционных  (неподконтрольных)  расходов в  предыдущей  графе, умноженное на соответствующие  индексы текущего  года, указанные в строках
1 - 4.</t>
    </r>
  </si>
  <si>
    <r>
      <rPr>
        <sz val="11"/>
        <rFont val="Times New Roman"/>
        <family val="1"/>
      </rP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Год i0 - первый год долгосрочного периода регулирования, год i1 - последний год долгосрочного периода регулирования.</t>
    </r>
  </si>
  <si>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Строка 3 заполняется в соответствии с пунктом 38 настоящих Методических указаний; строка 3.1 - для организаций, осуществляющих деятельность по передаче тепловой энергии и теплоносителя, в соответствии с приложением 2 к настоящим Методическим указаниям; строка 3.2 - для организаций, осуществляющих деятельность по производству тепловой энергии (мощности), с учетом инвестиционной программы регулируемой организации на соответствующий год.</t>
    </r>
  </si>
  <si>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Ст. 5 гр. 4 заполняется по данным таблицы приложения 5.1 к настоящим Методическим указаниям.</t>
    </r>
  </si>
  <si>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Гр. 5 - n  заполняются  расчетно, как  значение  операционных  (неподконтрольных)  расходов в  предыдущей  графе, умноженное на соответствующие  индексы текущего  года, указанные в строках
1 - 4.</t>
    </r>
  </si>
  <si>
    <t>фактически понесенные расходы в году i0 по данным регули-руемой организации</t>
  </si>
  <si>
    <t>фактически понесенные расходы в году i0 + 1 по данным регули-руемой организации</t>
  </si>
  <si>
    <t>фактически понесенные расходы в году i1 по данным ре-гулируемой организации</t>
  </si>
  <si>
    <t>Концессионная плата</t>
  </si>
  <si>
    <t>Расчет экономии от снижения потребления прочих энергоресурсов</t>
  </si>
  <si>
    <t>Приложение 4.14</t>
  </si>
  <si>
    <t>Фактический объем полезного отпуска тепловой энергии</t>
  </si>
  <si>
    <t>Объем полезного отпуска тепловой энергии, учтенный при расчете цен (тарифов) в году</t>
  </si>
  <si>
    <t>Графы 3, 5, ..., n-1 строк 1 и 3 заполняются на основе фактических значений параметров расчета тарифов взамен прогнозных.</t>
  </si>
  <si>
    <t>Строка 5 заполняется только для первого долгосрочного периода регулирования.</t>
  </si>
  <si>
    <t>Графы 4, 6, ..., n строки 10 заполняются как сумма соответствующих граф строк с 1 по 9.</t>
  </si>
  <si>
    <t>Графы 3, 5, ..., n-1 строки 10 заполняются как сумма соответствующих граф строк с 1 по 5.</t>
  </si>
  <si>
    <t>В строке 6:</t>
  </si>
  <si>
    <t>гр. 7 = гр. 3 стр. 10 - гр. 3 стр. 11 + гр. 3 стр. 6;</t>
  </si>
  <si>
    <t>Расчет экономии от снижения потребления прочих энергетических ресурсов, холодной воды, теплоносителя (далее в настоящем приложении - ресурсы), учитываемой в очередном долгосрочном периоде регулирования</t>
  </si>
  <si>
    <t>Фактический объем полезного отпуска соответствующего вида продукции (услуг)</t>
  </si>
  <si>
    <t>Объем полезного отпуска соответствующего вида продукции (услуг), учтенный при установлении тарифов</t>
  </si>
  <si>
    <t>Объем потребления ресурса, учтенный при установлении тарифов</t>
  </si>
  <si>
    <t>Фактический объем потребления ресурса</t>
  </si>
  <si>
    <t>Фактическая стоимость приобретения (производства) единицы ресурса</t>
  </si>
  <si>
    <t>Экономия от снижения потребления ресурсов</t>
  </si>
  <si>
    <t>Прирост экономии от снижения потребления ресурсов</t>
  </si>
  <si>
    <t>Прирост экономии от снижения потребления ресурсов в ценах года i1</t>
  </si>
  <si>
    <t>Экономия от снижения потребления ресурсов, учитываемая в очередном долгосрочном периоде регулирования</t>
  </si>
  <si>
    <t>Приложение 5.7</t>
  </si>
  <si>
    <t>Лизинг техники ООО "ТаймЛизинг"</t>
  </si>
  <si>
    <t>Самосвал Урал 55571 40</t>
  </si>
  <si>
    <t>2011, июль</t>
  </si>
  <si>
    <t>Бульдозер Shantui SD 13</t>
  </si>
  <si>
    <t>Договор финансового лизинга № 192 - ВЛ-СМот 31.05.2013 г.</t>
  </si>
  <si>
    <t>Бульдозер Shantui SD 16</t>
  </si>
  <si>
    <t>2013, июнь</t>
  </si>
  <si>
    <t>Договор финансового лизинга № 165 - ВЛ-ТС от 31.05.2013 г.</t>
  </si>
  <si>
    <t>Самосвал Урал 58312 А</t>
  </si>
  <si>
    <t>Договор финансового лизинга № 193-ВЛ-СМ от 05.06.2013 г.</t>
  </si>
  <si>
    <t>Фронтальный погрузчик XCMG LW-300F</t>
  </si>
  <si>
    <t>с.Усть-Хайрюзово</t>
  </si>
  <si>
    <t>с. Крутогоровский</t>
  </si>
  <si>
    <t>Договор финансового лизинга № 195 - ВЛ-СМот 05.06.2013 г.</t>
  </si>
  <si>
    <t>Грузовой автомобиль KIA BONGO III</t>
  </si>
  <si>
    <t>с. Хаилино</t>
  </si>
  <si>
    <t>с.Тымлат</t>
  </si>
  <si>
    <t>Коэффициент для расчета по непром. группе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</si>
  <si>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4.4.1 - 4.4.4, 5.6.1 - 5.6.4 заполняются по результатам распределения р</t>
  </si>
  <si>
    <t>Итого заполняется в гр. 5 как сумма граф 4 - 7 строки 4.</t>
  </si>
  <si>
    <t>2.15</t>
  </si>
  <si>
    <t>Расчет регулируемых цен (тарифов) на товары и услуги в сфере теплоснабжения</t>
  </si>
  <si>
    <t>для источника тепловой энергии 1: гр. 9 = гр. 3 стр. 1 / гр. 4 стр. 1;</t>
  </si>
  <si>
    <t>для источника тепловой энергии n: гр. 9 = гр. 3 стр. n / гр. 4 стр. n.</t>
  </si>
  <si>
    <t>При дифференциации по видам теплоносителя:</t>
  </si>
  <si>
    <t>для источника тепловой энергии 1: гр. 9 = гр. 8 / гр. 4 + (гр. 3 стр. 1 - гр. 8 стр. 1) / гр. 4 стр. 1;</t>
  </si>
  <si>
    <t>для источника тепловой энергии n: гр. 9 = гр. 8 / гр. 4 + (гр. 3 стр. n - гр. 8 стр. n) / гр. 4 стр. n.</t>
  </si>
  <si>
    <t>Гр. 10 = гр. 8 / гр. 4.</t>
  </si>
  <si>
    <t>Гр. 11 заполняется только в строках 1, ..., n. Гр. 11 = (гр. 3 - гр. 8) / (гр. 6 * М), где М = 12.</t>
  </si>
  <si>
    <t>Строка n+1 заполняется в случае расчета одноставочных или двуставочных тарифов для источников тепловой энергии, расположенных в пределах одной системы теплоснабжения и принадлежащих одной регулируемой организации на праве собственности или на ином законном основании. При этом тарифы рассчитываются как средневзвешенные значения по источникам тепловой энергии 1, ..., n в соответствии с главой IX.I настоящих Методических указаний.</t>
  </si>
  <si>
    <t>В случае наличия нерегулируемых долгосрочных договоров, заключенных в отношении источника тепловой энергии в соответствии с главой IX.VIII настоящих Методических указаний:</t>
  </si>
  <si>
    <t>острый и редуцированный пар</t>
  </si>
  <si>
    <t>Покупная теплоэнергия</t>
  </si>
  <si>
    <t>4.1</t>
  </si>
  <si>
    <t>- через изоляцию</t>
  </si>
  <si>
    <t>4.2</t>
  </si>
  <si>
    <t>- с потерями теплоносителя</t>
  </si>
  <si>
    <t>4.3</t>
  </si>
  <si>
    <t>Всего отпущено потребителям</t>
  </si>
  <si>
    <t>Отборный пар</t>
  </si>
  <si>
    <t>Острый и редуцированный пар</t>
  </si>
  <si>
    <t>Итого</t>
  </si>
  <si>
    <t>2.11</t>
  </si>
  <si>
    <t>2.12</t>
  </si>
  <si>
    <t>4.4</t>
  </si>
  <si>
    <t>4.5</t>
  </si>
  <si>
    <t>кг/Гкал</t>
  </si>
  <si>
    <t>руб./Гкал</t>
  </si>
  <si>
    <r>
      <t>1,2 - 2,5 кгс/см</t>
    </r>
    <r>
      <rPr>
        <vertAlign val="superscript"/>
        <sz val="10"/>
        <rFont val="Times New Roman"/>
        <family val="1"/>
      </rPr>
      <t>2</t>
    </r>
  </si>
  <si>
    <r>
      <t>2,5 - 7,0 кгс/см</t>
    </r>
    <r>
      <rPr>
        <vertAlign val="superscript"/>
        <sz val="10"/>
        <rFont val="Times New Roman"/>
        <family val="1"/>
      </rPr>
      <t>2</t>
    </r>
  </si>
  <si>
    <r>
      <t>7,0 - 13,0 кгс/см</t>
    </r>
    <r>
      <rPr>
        <vertAlign val="superscript"/>
        <sz val="10"/>
        <rFont val="Times New Roman"/>
        <family val="1"/>
      </rPr>
      <t>2</t>
    </r>
  </si>
  <si>
    <r>
      <t>&gt; 13 кгс/см</t>
    </r>
    <r>
      <rPr>
        <vertAlign val="superscript"/>
        <sz val="10"/>
        <rFont val="Times New Roman"/>
        <family val="1"/>
      </rPr>
      <t>2</t>
    </r>
  </si>
  <si>
    <t>тыс.Гкал</t>
  </si>
  <si>
    <t>17</t>
  </si>
  <si>
    <t>18</t>
  </si>
  <si>
    <t>19</t>
  </si>
  <si>
    <t>20</t>
  </si>
  <si>
    <t>1.1.2</t>
  </si>
  <si>
    <t>1.1.1</t>
  </si>
  <si>
    <t>1.1.3</t>
  </si>
  <si>
    <t>1.2.1</t>
  </si>
  <si>
    <t>1.2.2</t>
  </si>
  <si>
    <t>1.4</t>
  </si>
  <si>
    <t>1.5</t>
  </si>
  <si>
    <t>1.6</t>
  </si>
  <si>
    <t>1.7</t>
  </si>
  <si>
    <t>1.8</t>
  </si>
  <si>
    <t>3.4</t>
  </si>
  <si>
    <t>1.</t>
  </si>
  <si>
    <t>тыс.руб.</t>
  </si>
  <si>
    <t>2.</t>
  </si>
  <si>
    <t>3.</t>
  </si>
  <si>
    <t>4.</t>
  </si>
  <si>
    <t>5.</t>
  </si>
  <si>
    <t>6.</t>
  </si>
  <si>
    <t>7.</t>
  </si>
  <si>
    <t>8.</t>
  </si>
  <si>
    <t>Водяные тепловые сети</t>
  </si>
  <si>
    <t>Паровые тепловые сети</t>
  </si>
  <si>
    <t>21</t>
  </si>
  <si>
    <t>20.1</t>
  </si>
  <si>
    <t>22</t>
  </si>
  <si>
    <t>Переводной коэффициент</t>
  </si>
  <si>
    <t>№ п/п</t>
  </si>
  <si>
    <t>21.1</t>
  </si>
  <si>
    <t>21.2</t>
  </si>
  <si>
    <t>мазут</t>
  </si>
  <si>
    <t>*</t>
  </si>
  <si>
    <r>
      <t>Базовый период/Период регулирования:</t>
    </r>
    <r>
      <rPr>
        <b/>
        <sz val="10"/>
        <rFont val="Times New Roman"/>
        <family val="1"/>
      </rPr>
      <t>2013/2014г.г.</t>
    </r>
  </si>
  <si>
    <t>Приложение 3.1</t>
  </si>
  <si>
    <t>Основные производственные показатели регулируемой организации</t>
  </si>
  <si>
    <t xml:space="preserve">иные расходы </t>
  </si>
  <si>
    <t>Базовый период/Период регулирования: 2016/2017-2019 г.г.</t>
  </si>
  <si>
    <t>2018/2017</t>
  </si>
  <si>
    <t>1 пол. 2018г.</t>
  </si>
  <si>
    <t>вода</t>
  </si>
  <si>
    <t>пар</t>
  </si>
  <si>
    <t xml:space="preserve"> пар</t>
  </si>
  <si>
    <t>Производство теплоносителя, всего</t>
  </si>
  <si>
    <t>Покупной теплоноситель,</t>
  </si>
  <si>
    <t>Нормативные потери при передаче теплоносителя</t>
  </si>
  <si>
    <t>Приложение 4.2</t>
  </si>
  <si>
    <t>Структура полезного отпуска тепловой энергии (мощности)</t>
  </si>
  <si>
    <t>Приложение 4.3</t>
  </si>
  <si>
    <t>Вода</t>
  </si>
  <si>
    <t>от 1,2 до 2,5 кгс/кв.см</t>
  </si>
  <si>
    <t>от 2,5 до 7,0 кгс/кв.см</t>
  </si>
  <si>
    <t>от 7,0 до 13,0 кгс/кв.см</t>
  </si>
  <si>
    <t>энергоресурс(ресурс)</t>
  </si>
  <si>
    <t>операционные (подконтрольные)</t>
  </si>
  <si>
    <t>неподконтрольные</t>
  </si>
  <si>
    <t>Расчет источников финансирования капитальных вложений</t>
  </si>
  <si>
    <t>Наименование</t>
  </si>
  <si>
    <t>Объем капитальных вложений - всего</t>
  </si>
  <si>
    <t>Финансирование капитальных вложений</t>
  </si>
  <si>
    <t>из средств - всего</t>
  </si>
  <si>
    <t>Амортизационных отчислений на полное восстановление основных фондов (100%)</t>
  </si>
  <si>
    <t>2.2</t>
  </si>
  <si>
    <t>29.2</t>
  </si>
  <si>
    <t>29.3</t>
  </si>
  <si>
    <t>для источника тепловой энергии 1: гр. 10 = гр. 8 / гр. 4; гр. 11 = (гр. 3 стр. 1 - гр. 8 стр. 1) / ((гр. 6 стр. 1 - гр. 7 стр. 1) * М), где М = 12; гр. 9 = гр. 10 + (гр. 3 стр. 1 - гр. 8 стр. 1) / (гр. 4 стр. 1 - гр. 5 стр. 1);</t>
  </si>
  <si>
    <t>для источника тепловой энергии n: гр. 10 = гр. 8 / гр. 4; гр. 11 = (гр. 3 стр. n - гр. 8 стр. n) / (гр. 6 стр. n - гр. 7 стр. n) * М, где М = 12; гр. 9 = гр. 10 + (гр. 3 стр. n - гр. 8 стр. n) / (гр. 4 стр. n - гр. 5 стр. n).</t>
  </si>
  <si>
    <t>Таблица заполняется по системам теплоснабжения, по схемам подключения теплопотребляющих установок потребителей тепловой энергии к системе теплоснабжения, если при установлении цен (тарифов) применяется такая дифференциация.</t>
  </si>
  <si>
    <t>Расчет средневзвешенной стоимости оказываемых и (или) приобретаемых услуг по передаче единицы тепловой энергии для потребителей производится по данным регулируемых организаций, тепловые сети которых используются для теплоснабжения данных потребителей.</t>
  </si>
  <si>
    <t>Графы 3, 4, 7, 8 заполняются без учета договорного объема тепловой энергии, тепловой нагрузки по долгосрочным договорам теплоснабжения, нерегулируемым долгосрочным договорам теплоснабжения, заключаемым в отношении источников тепловой энергии.</t>
  </si>
  <si>
    <t>Строки 1, ..., n заполняются в случае расчета тарифов без дифференциации по виду теплоносителя.</t>
  </si>
  <si>
    <t>Расчет ставки за тепловую энергию двухставочного тарифа на тепловую энергию (мощность), руб./Гкал</t>
  </si>
  <si>
    <t>Расчет ставки за содержание тепловой мощности двухставочного тарифа на тепловую энергию (мощность), тыс.руб./Гкал/ч в мес.</t>
  </si>
  <si>
    <t>Без дифференциации по виду теплоносителя</t>
  </si>
  <si>
    <t>2.1.1.</t>
  </si>
  <si>
    <t>Тарифы на тепловую энергию (мощность), поставляемую потребителям:</t>
  </si>
  <si>
    <t>3.2.1</t>
  </si>
  <si>
    <t>3.2.2</t>
  </si>
  <si>
    <t>то же в % к отпуску тепловой энергии от источника тепловой энергии</t>
  </si>
  <si>
    <t xml:space="preserve"> вода</t>
  </si>
  <si>
    <t>Фактические показатели 2012 г.</t>
  </si>
  <si>
    <t>Утверждено службой 2013 г.</t>
  </si>
  <si>
    <t>Ожидаемые показатели 2013 г.</t>
  </si>
  <si>
    <t>1 полугодие</t>
  </si>
  <si>
    <t>2 полугодие</t>
  </si>
  <si>
    <t>Расчет полезного отпуска теплоносителя</t>
  </si>
  <si>
    <t>Водоразбор</t>
  </si>
  <si>
    <r>
      <t xml:space="preserve">предприятие:   </t>
    </r>
    <r>
      <rPr>
        <u val="single"/>
        <sz val="12"/>
        <rFont val="Arial"/>
        <family val="2"/>
      </rPr>
      <t xml:space="preserve"> </t>
    </r>
    <r>
      <rPr>
        <b/>
        <i/>
        <u val="single"/>
        <sz val="12"/>
        <color indexed="21"/>
        <rFont val="Arial"/>
        <family val="2"/>
      </rPr>
      <t>ООО "Строй-Альянс</t>
    </r>
    <r>
      <rPr>
        <b/>
        <u val="single"/>
        <sz val="12"/>
        <rFont val="Arial"/>
        <family val="2"/>
      </rPr>
      <t>"</t>
    </r>
  </si>
  <si>
    <r>
      <t>Гкал/м</t>
    </r>
    <r>
      <rPr>
        <b/>
        <sz val="10"/>
        <rFont val="Arial"/>
        <family val="2"/>
      </rPr>
      <t>³</t>
    </r>
  </si>
  <si>
    <r>
      <t xml:space="preserve">плановый период:  </t>
    </r>
    <r>
      <rPr>
        <b/>
        <sz val="12"/>
        <rFont val="Arial"/>
        <family val="2"/>
      </rPr>
      <t xml:space="preserve">  </t>
    </r>
    <r>
      <rPr>
        <b/>
        <u val="single"/>
        <sz val="12"/>
        <color indexed="21"/>
        <rFont val="Arial"/>
        <family val="2"/>
      </rPr>
      <t>2017-2019г.г.</t>
    </r>
  </si>
  <si>
    <t>РЦКиД</t>
  </si>
  <si>
    <t>м-к №9</t>
  </si>
  <si>
    <t>ПРИЮТ</t>
  </si>
  <si>
    <t>м-к № 19</t>
  </si>
  <si>
    <t>Графы строки 6 заполняются расчетным способом: гр. стр. 6 = гр. стр. 1 / гр. стр. 2 * гр. стр. 3 - гр. стр. 4.</t>
  </si>
  <si>
    <t>Необходимо согласовать единицы измерения всех показателей для того, чтобы выразить прирост экономии от снижения потребления энергетического ресурса в тыс. руб.</t>
  </si>
  <si>
    <t>Приложение заполняется, начиная со второго расчетного периода регулирования (i = 2), тарифы на который рассчитываются с применением настоящих Методических указаний. В первый расчетный период регулирования экономия от снижения потребления энергоресурсов равна нулю.</t>
  </si>
  <si>
    <t>Для второго расчетного периода регулирования, тарифы на который рассчитываются с применением настоящих Методических указаний, заполняются столбцы 7 - 8; для третьего расчетного периода регулирования заполняются столбцы 6 - 8; для четвертого расчетного периода регулирования заполняются столбцы 5 - 8; начиная с пятого расчетного периода регулирования заполняются все столбцы.</t>
  </si>
  <si>
    <t xml:space="preserve">Установленная тепловая мощность 4 источника тепловой энергии </t>
  </si>
  <si>
    <t xml:space="preserve">Установленная тепловая мощность 5 источника тепловой энергии </t>
  </si>
  <si>
    <t>Расчет тарифа на тепловую энергию (мощность), отпускаемую от источников тепловой энергии, расположенных в пределах одной системы теплоснабжения</t>
  </si>
  <si>
    <t>n+1</t>
  </si>
  <si>
    <t>Приложение 6.2</t>
  </si>
  <si>
    <t>Утверждено службой 2013г.</t>
  </si>
  <si>
    <t>Ожидаемые показатели 2013г.</t>
  </si>
  <si>
    <t>Объем потребления энергетического ресурса, учтенный при установлении цен (тарифов)</t>
  </si>
  <si>
    <t>Фактический объем потребления энергетического ресурса</t>
  </si>
  <si>
    <t>Фактическая стоимость приобретения (производства) единицы энергетического ресурса</t>
  </si>
  <si>
    <t>Экономия от снижения потребления энергетичекого ресурса</t>
  </si>
  <si>
    <t>Приложение 4.15</t>
  </si>
  <si>
    <t>Период регулирования, i</t>
  </si>
  <si>
    <t>Экономия от снижения потребления энергетических ремурсов</t>
  </si>
  <si>
    <r>
      <t>Ср. за отоп. Период(-3,7</t>
    </r>
    <r>
      <rPr>
        <b/>
        <sz val="10"/>
        <rFont val="Arial"/>
        <family val="2"/>
      </rPr>
      <t>º</t>
    </r>
    <r>
      <rPr>
        <b/>
        <i/>
        <sz val="10"/>
        <rFont val="Arial"/>
        <family val="2"/>
      </rPr>
      <t>)</t>
    </r>
  </si>
  <si>
    <t>Утверждено
на базовый период</t>
  </si>
  <si>
    <t>Выполнено
в течение базового периода</t>
  </si>
  <si>
    <t>Источник финансирова-ния на базовый период</t>
  </si>
  <si>
    <t>План
на период регулирования</t>
  </si>
  <si>
    <t>Определение операционных (подконтрольных) расходов на первый год долгосрочного периода регулирования (базовый уровень операционных расходов)</t>
  </si>
  <si>
    <t>Наименование расхода</t>
  </si>
  <si>
    <t>Расходы на приобретение сырья и материалов</t>
  </si>
  <si>
    <t>Расходы на ремонт основных средств</t>
  </si>
  <si>
    <t>Расходы на оплату труда</t>
  </si>
  <si>
    <t>Расходы на оплату работ и услуг производственного характера, выполняемых по договорам со сторонними  организациями</t>
  </si>
  <si>
    <t>Расходы на оплату иных работ и услуг, выполняемых по договорам с организациями, включая:</t>
  </si>
  <si>
    <t>5.4</t>
  </si>
  <si>
    <t>5.5</t>
  </si>
  <si>
    <t>Стоимость инструментов, приспособлений, инвентаря, приборов, лабораторного оборудования и другого имущества, не являющихся амотризирумым имуществом, используемых при водоподготовке</t>
  </si>
  <si>
    <t>Расходы на электрическую энергию (мощность) и тепловую энергию (мощность), используемую при водоподготовке</t>
  </si>
  <si>
    <t>Стоимость транспортировки и очистки сточных вод, возникающих в процессе водоподготовки</t>
  </si>
  <si>
    <t>Расходы на оплату труда персонала, участвующего в процессе водоподготовки</t>
  </si>
  <si>
    <t>Амортизация основных фондов, участвующих в процессе водоподготовки</t>
  </si>
  <si>
    <t>Прочие расходы, относимые на процесс водоподготовки, в том числе:</t>
  </si>
  <si>
    <t>1.8.1</t>
  </si>
  <si>
    <t>Расходы на ремонт основных фондов</t>
  </si>
  <si>
    <t>1.8.2</t>
  </si>
  <si>
    <t>Водный налог (плата за пользование водными объектами)</t>
  </si>
  <si>
    <t>1.8.3</t>
  </si>
  <si>
    <t>Общехозяйственные расходы</t>
  </si>
  <si>
    <t>Объем воды, вырабатываемой на водоподготовительных установках источника тепловой энергии</t>
  </si>
  <si>
    <t>Расходы на приобретение химически очищенной воды у других организаций</t>
  </si>
  <si>
    <t>Объем приобретения химически очищенной воды у других оргинизаций</t>
  </si>
  <si>
    <t>информационные услуги</t>
  </si>
  <si>
    <t>1.12.2</t>
  </si>
  <si>
    <t>расходы по охране труда</t>
  </si>
  <si>
    <t>1.12.3</t>
  </si>
  <si>
    <t>канцелярские товары</t>
  </si>
  <si>
    <t>1.12.4</t>
  </si>
  <si>
    <t>почтовые расходы</t>
  </si>
  <si>
    <t>1.12.5</t>
  </si>
  <si>
    <t>аренда офиса</t>
  </si>
  <si>
    <t>1.12.6</t>
  </si>
  <si>
    <t>аренда топливозаправщика</t>
  </si>
  <si>
    <t>1.12.7</t>
  </si>
  <si>
    <t>аренда а/машины УРАЛ-5557</t>
  </si>
  <si>
    <t>1.12.8</t>
  </si>
  <si>
    <t>1.12.9</t>
  </si>
  <si>
    <t>Обучение по пожарной безопасности</t>
  </si>
  <si>
    <t>1.12.10</t>
  </si>
  <si>
    <t>1.12.11</t>
  </si>
  <si>
    <t>1.12.12</t>
  </si>
  <si>
    <t>расходы на обеспечение пожарной безопасности</t>
  </si>
  <si>
    <t>1.12.13</t>
  </si>
  <si>
    <t>аттестация рабочих мест</t>
  </si>
  <si>
    <t>1.12.14</t>
  </si>
  <si>
    <t>1.12.15</t>
  </si>
  <si>
    <t>1.12.16</t>
  </si>
  <si>
    <t>Расходы на мероприятия, необходимые для доведения воды до установленных законодательством Российской Федерации параметров качества теплоносителя</t>
  </si>
  <si>
    <t>Необходимая валовая выручка, относимая на производство теплоносителя</t>
  </si>
  <si>
    <t>Стоимость 1 куб.м воды, вырабатываемой на водоподготовительных установках источника тепловой энергии и (или) приобретаемой у других организаций</t>
  </si>
  <si>
    <t>руб./куб.м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</si>
  <si>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</si>
  <si>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Таблица заполняется в отношении каждого источника тепловой энергии, которым владеет теплоснабжающая организация, по видам теплоносителя, если при установлении цен (тарифов) применяется такая дифференциация.</t>
  </si>
  <si>
    <t>Стр. 6 = (стр. 1 + стр. 3 + стр. 5)</t>
  </si>
  <si>
    <t>Стр. 7 = стр. 6 / (стр. 2 + стр. 4)</t>
  </si>
  <si>
    <t>Стр. 8 = стр. 7</t>
  </si>
  <si>
    <t>Приложение 6.7</t>
  </si>
  <si>
    <t>Источник тепловой энергии 1, на котором производится теплоноситель</t>
  </si>
  <si>
    <t>Тариф на теплоноситель</t>
  </si>
  <si>
    <t>4.6</t>
  </si>
  <si>
    <t>4.7</t>
  </si>
  <si>
    <t>4.8</t>
  </si>
  <si>
    <t>Объем капитальных вложений, в том числе</t>
  </si>
  <si>
    <t>в т.ч за счет переоценки основных средств и нематериальных активов</t>
  </si>
  <si>
    <t>Финансирование капитальных вложений, в том числе:</t>
  </si>
  <si>
    <t>Одноставочный компонент на тепловую энергию</t>
  </si>
  <si>
    <t>Двухставочный компонент на тепловую энергию:</t>
  </si>
  <si>
    <t>руб./Гкал/ч в мес.</t>
  </si>
  <si>
    <r>
      <t xml:space="preserve">Базовый период/Период регулирования: </t>
    </r>
    <r>
      <rPr>
        <b/>
        <sz val="10"/>
        <rFont val="Times New Roman"/>
        <family val="1"/>
      </rPr>
      <t>2016/2017-2018 г.г.</t>
    </r>
  </si>
  <si>
    <t>Утверждено службой 2016 г.</t>
  </si>
  <si>
    <t>Ожидаемые показатели 2016 г.</t>
  </si>
  <si>
    <t>Предложение ТСО 2019 г.</t>
  </si>
  <si>
    <t>План 2019 г.</t>
  </si>
  <si>
    <t xml:space="preserve">собственные нужды </t>
  </si>
  <si>
    <t>отпуск в сеть</t>
  </si>
  <si>
    <t xml:space="preserve">Эл/станция + сварочный аппарат </t>
  </si>
  <si>
    <t>Расходы, связанные с производством и реализацией продукции (услуг), всего</t>
  </si>
  <si>
    <t>расходы на сырье и материалы</t>
  </si>
  <si>
    <t>запчасти</t>
  </si>
  <si>
    <t>материалы, ремонт х/сп</t>
  </si>
  <si>
    <t>материалы на ТО</t>
  </si>
  <si>
    <t>К таблице прилагаются дополнительные материалы, содержащие обоснованный расчет по каждой статье затрат (с указанием плановых (расчетных) цен, экономически обоснованных объемов и применяемых индексов, норм и нормативов расчета) с учетом приложений 4.4, 4.7</t>
  </si>
  <si>
    <t>Полезный отпуск</t>
  </si>
  <si>
    <t>Тариф, руб./Гкал</t>
  </si>
  <si>
    <t>Приложение 4.7</t>
  </si>
  <si>
    <t>Наименование поставщика</t>
  </si>
  <si>
    <t>Объем покупной энергии,
млн. кВт*ч (тыс. Гкал)</t>
  </si>
  <si>
    <t>Расчетная мощность, тыс. кВт (Гкал/ч)</t>
  </si>
  <si>
    <t>Тариф</t>
  </si>
  <si>
    <t>Затраты на покупку, тыс. руб.</t>
  </si>
  <si>
    <t>двухставочный</t>
  </si>
  <si>
    <t>энергии</t>
  </si>
  <si>
    <t>мощности</t>
  </si>
  <si>
    <t>ставка
за мощность</t>
  </si>
  <si>
    <t>ставка
за энергию</t>
  </si>
  <si>
    <t>руб./тыс. кВт*ч (руб./Гкал)</t>
  </si>
  <si>
    <t>руб./МВт в мес. (тыс. руб./
Гкал/ч в мес.)</t>
  </si>
  <si>
    <t>Электрическая энергия, в том числе:</t>
  </si>
  <si>
    <t>оптовый рынок</t>
  </si>
  <si>
    <t>розничный рынок</t>
  </si>
  <si>
    <t>Электростанция (котельная)</t>
  </si>
  <si>
    <t>Вид топлива/ Калорийность топлива, ккал/кг н.т.</t>
  </si>
  <si>
    <t>цена франко станция</t>
  </si>
  <si>
    <t>дальность перевозки</t>
  </si>
  <si>
    <t>тариф на перевозку</t>
  </si>
  <si>
    <t>норматив потерь при перевозке</t>
  </si>
  <si>
    <t>цена франко станция назначения, руб./т.н.т.</t>
  </si>
  <si>
    <t>Утверждено Службой 2013 г.</t>
  </si>
  <si>
    <t>Утверждено Службой 2014 г.</t>
  </si>
  <si>
    <t>на производство электрической энергии</t>
  </si>
  <si>
    <t>прочая продукция</t>
  </si>
  <si>
    <t>n</t>
  </si>
  <si>
    <t>Расходы на приобретение холодной воды и теплоносителя</t>
  </si>
  <si>
    <r>
      <t>Базовый период/Период регулирования:</t>
    </r>
    <r>
      <rPr>
        <b/>
        <sz val="10"/>
        <rFont val="Times New Roman"/>
        <family val="1"/>
      </rPr>
      <t>2016/2017-2018г.г.</t>
    </r>
  </si>
  <si>
    <t>Генеральный директор _________________________ С.Г. Бобряшов</t>
  </si>
  <si>
    <t>Второй год очередного долгосрочного периода регулирования (2018)</t>
  </si>
  <si>
    <t>факт в году i1 по данным регулируемой организации</t>
  </si>
  <si>
    <t>Федерального бюджета</t>
  </si>
  <si>
    <t>2.4</t>
  </si>
  <si>
    <t>Местного бюджета</t>
  </si>
  <si>
    <t>2.5</t>
  </si>
  <si>
    <t>Регионального (республиканского, краевого, областного) бюджета</t>
  </si>
  <si>
    <t>2.6</t>
  </si>
  <si>
    <t>Прочих</t>
  </si>
  <si>
    <t>2.7</t>
  </si>
  <si>
    <t>Расход электроэнергии (в сутки), кВтч</t>
  </si>
  <si>
    <t>Время работы (за год), дни</t>
  </si>
  <si>
    <t>Расход электроэнергии (за год), т.кВтч</t>
  </si>
  <si>
    <r>
      <t>_____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Строка 3 заполняется в соответствии с пунктом 38 настоящих Методических указаний; строка 3.1 - для организаций, осуществляющих деятельность по передаче тепловой энергии и теплоносителя, в соответствии с приложением 2 к настоящим Методическим указаниям; строка 3.2 - для организаций, осуществляющих деятельность по производству тепловой энергии (мощности), с учетом инвестиционной программы регулируемой организации на соответствующий год.</t>
    </r>
  </si>
  <si>
    <r>
      <t>_____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Ст. 5 гр. 4 заполняется по данным таблицы приложения 5.1 к настоящим Методическим указаниям.</t>
    </r>
  </si>
  <si>
    <t>Таблица заполняется по источникам тепловой энергии, на которых производится теплоноситель, участвующий в поставках горячей воды в открытой системе теплоснабжения, включая источники тепловой энергии, принадлежащие теплоснабжающей организации, и источники т</t>
  </si>
  <si>
    <t>Стр. I = (стр. 1.1 * стр. 1.2 + ... + стр. n.1 * стр. n.2) / (стр. 1.2 + ... + стр. n.2).</t>
  </si>
  <si>
    <t>Генеральный директор _______________С.Г. Бобряшов</t>
  </si>
  <si>
    <t>Графы 3, 4, 8 и 9 заполняются без учета договорного объема по долгосрочным договорам теплоснабжения, нерегулируемым долгосрочным договорам теплоснабжения, заключаемым в отношении источников тепловой энергии.</t>
  </si>
  <si>
    <t>Строки 1, ..., n заполняются в случае расчета тарифов без дифференциации по видам теплоносителя.</t>
  </si>
  <si>
    <t xml:space="preserve">Средневзвешенная стоимость производимой и (или) приобретаемой единицы тепловой энергии (мощности) (стр. n+1): </t>
  </si>
  <si>
    <t>гр. 5 = (гр. 3 * гр. 5 + ...) / (гр. 3 + ...) по всем источникам, по соответствующим видам теплоносителя;</t>
  </si>
  <si>
    <t>гр. 6 = (гр. 3 * гр. 6 + ...) / (гр. 3 + ...) по всем источникам, по соответствующим видам теплоносителя;</t>
  </si>
  <si>
    <t>гр. 7 = (гр. 4 * гр. 7 + ...) / (гр. 4 + ...) по всем источникам;</t>
  </si>
  <si>
    <t>гр. 10 = (гр. 8 * гр. 10 + ...) / (гр. 8 + ...) по всем источникам, по соответствующим видам теплоносителя;</t>
  </si>
  <si>
    <t>гр. 11 = (гр. 8 * гр. 11 + ...) / (гр. 8 + ...) по всем источникам, по соответствующим видам теплоносителя;</t>
  </si>
  <si>
    <t>гр. 12 = (гр. 9 * гр. 12 + ...) / (гр. 9 + ...) по всем источникам.</t>
  </si>
  <si>
    <t>Расходы на уплату налогов, сборов и других обязательных платежей, в том числе:</t>
  </si>
  <si>
    <t>плата за выбросы и сбросы загрязняющих веществ в окружающую среду, размеще-ние отходов и другие виды негативного воздействия на окружающую среду в пределах установленных нормативов и (или) лимитов</t>
  </si>
  <si>
    <t>расходы на обязательное страхование</t>
  </si>
  <si>
    <t>1.4.3</t>
  </si>
  <si>
    <t>Отчисления на социальные нужды</t>
  </si>
  <si>
    <t>Расходы по сомнительным долгам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</si>
  <si>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</si>
  <si>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</t>
  </si>
  <si>
    <t>ИТОГО</t>
  </si>
  <si>
    <t>Итого неподконтрольных расходов</t>
  </si>
  <si>
    <t>(тыс. руб.)</t>
  </si>
  <si>
    <t>Расходы на оплату услуг, оказываемых организациями, осуществляющими регулируемые виды деятельности</t>
  </si>
  <si>
    <t>Экономия, определенная в прошедшем долгосрочном периоде регулирования и подлежащая учету в текущем долгосрочном периоде регулирования</t>
  </si>
  <si>
    <t>Год i0 - первый год долгосрочного периода регулирования, год i1 - последний год долгосрочного периода регулирования.</t>
  </si>
  <si>
    <t>Строки 1.7, 1.8 при использовании метода обеспечения доходности инвестированного капитала не заполняются.</t>
  </si>
  <si>
    <t>Гр. 3, 5, … n-1 заполняется регулируемой организацией по итогам фактически понесенных расходов в соответствующем расчетном периоде регулирования.</t>
  </si>
  <si>
    <t>Гр. 4, 6, … n в течение долгосрочного периода регулирования заполняется регулируемой организацией с учетом уточнения планируемых значений расходов.</t>
  </si>
  <si>
    <t>Приложение 5.3</t>
  </si>
  <si>
    <t>Реестр расходов на приобретение энергетических ресурсов, холодной воды и теплоносителя (далее в настоящем приложении - ресурсы)</t>
  </si>
  <si>
    <t>Строки 1 - 5 заполняются по данным Приложений 4.4, 4.7 и 4.8 к настоящим Методическим указаниям.</t>
  </si>
  <si>
    <t>Приложение 5.4</t>
  </si>
  <si>
    <t>Год i1</t>
  </si>
  <si>
    <t>Скорректированные операционные расходы</t>
  </si>
  <si>
    <t>Фактические операционные расходы</t>
  </si>
  <si>
    <t>Экономия операционных расходов</t>
  </si>
  <si>
    <t>Прирост экономии операционных расходов</t>
  </si>
  <si>
    <t>Индекс потребительских цен</t>
  </si>
  <si>
    <t>Прирост экономии операционных расходов в ценах года i1</t>
  </si>
  <si>
    <t>Экономия операционных расходов, учитываемая в очередном долгосрочном периоде регулирования</t>
  </si>
  <si>
    <t>Приложение заполняется, начиная со второго расчетного периода регулирования (i = 2), тарифы на который рассчитываются с применением настоящих Методических указаний. В первый расчетный период регулирования экономия от снижения потребления топлива равна нулю.</t>
  </si>
  <si>
    <t>с.Тиличики</t>
  </si>
  <si>
    <t>с.Корф</t>
  </si>
  <si>
    <t>1.4.1</t>
  </si>
  <si>
    <t>1.4.2</t>
  </si>
  <si>
    <t>2.16</t>
  </si>
  <si>
    <t>2.17</t>
  </si>
  <si>
    <t>Эксперт РСТ Камчатского края</t>
  </si>
  <si>
    <t>Расчет амортизационных отчислений и налога на имущество по договорам финансового лизинга</t>
  </si>
  <si>
    <t xml:space="preserve">Справочно: </t>
  </si>
  <si>
    <t>Наименование договора</t>
  </si>
  <si>
    <t>Примечание</t>
  </si>
  <si>
    <t>Период действия договора, мес.</t>
  </si>
  <si>
    <t>Наименование техники</t>
  </si>
  <si>
    <t>Амортизационная группа</t>
  </si>
  <si>
    <t>Срок полезного использования, мес.</t>
  </si>
  <si>
    <t>Год ввода</t>
  </si>
  <si>
    <t>Балансовая стоимость (тыс. руб.)</t>
  </si>
  <si>
    <t>% амортизации</t>
  </si>
  <si>
    <t>Амортизация (мес.)</t>
  </si>
  <si>
    <t>Амортизация на 2013г.</t>
  </si>
  <si>
    <t>Остаточная стоимость на 01.01.2014г.</t>
  </si>
  <si>
    <t>Амортизация на 2014г.</t>
  </si>
  <si>
    <t>Остаточная стоимость на 31.12.2014г.</t>
  </si>
  <si>
    <t>Процент снижения годовой стоимости налога на имущество с учетом изменения остаточной стоимости основного средства</t>
  </si>
  <si>
    <t>Налог на имущество</t>
  </si>
  <si>
    <t>Сумма амортизационных отчислений с налогом на имущество</t>
  </si>
  <si>
    <t>Предложение ОАО"Корякэнерго" на 2014г.</t>
  </si>
  <si>
    <t>Стр. 6 = стр. 4 - стр. 5.</t>
  </si>
  <si>
    <t>Ожтдаемое 2016 год</t>
  </si>
  <si>
    <t>СВОД по участку теплоснабжения            2017 год</t>
  </si>
  <si>
    <t>В строке 8: гр. 5 = (1 + гр. 6) * (1 + гр. 7) * (1 + гр. 8) строки 7;</t>
  </si>
  <si>
    <t>гр. 6 = (1 + гр. 7) * (1 + гр. 8) строки 7;</t>
  </si>
  <si>
    <t>гр. 7 = (1 + гр. 8) строки 7.</t>
  </si>
  <si>
    <t>Гр. стр. 9 = гр. стр. 6 * гр. стр. 8, кроме гр. 8;</t>
  </si>
  <si>
    <t>гр. 8 стр. 9 = гр. стр. 6.</t>
  </si>
  <si>
    <t>Строка 10 заполняется только в графе 8.</t>
  </si>
  <si>
    <r>
      <t>гр. 8 = (4/5 * гр. 8 + 3/5 * гр. 7 + 2/5 * гр. 6)|</t>
    </r>
    <r>
      <rPr>
        <vertAlign val="subscript"/>
        <sz val="9"/>
        <rFont val="Times New Roman"/>
        <family val="1"/>
      </rPr>
      <t>стр. 9</t>
    </r>
  </si>
  <si>
    <r>
      <t>гр. 8 = (4/5 * гр. 8 + 3/5 * гр. 7 + 2/5 * гр. 6 + 1/5 * гр. 5)|</t>
    </r>
    <r>
      <rPr>
        <vertAlign val="subscript"/>
        <sz val="9"/>
        <rFont val="Times New Roman"/>
        <family val="1"/>
      </rPr>
      <t>стр. 9</t>
    </r>
  </si>
  <si>
    <t>Приложение 5.6</t>
  </si>
  <si>
    <t>В строке 9: гр. 5 = (1 + гр. 6) * (1 + гр. 7) * (1 + гр. 8) строки 8;</t>
  </si>
  <si>
    <t>гр. 6 = (1 + гр. 7) * (1 + гр. 8) строки 8;</t>
  </si>
  <si>
    <t>гр. 7 = (1 + гр. 8) строки 8.</t>
  </si>
  <si>
    <t>Гр. стр. 10 = гр. стр. 7 * гр. стр. 9, кроме гр. 8;</t>
  </si>
  <si>
    <t>гр. 8 стр. 10 = гр. стр. 7.</t>
  </si>
  <si>
    <t>Строка 11 заполняется только в графе 8.</t>
  </si>
  <si>
    <t>Коэффициент особенностей работ</t>
  </si>
  <si>
    <t>Среднемесячная тарифная ставка ППП</t>
  </si>
  <si>
    <t>Выплаты, связанные с режимом работы, с условиями труда 1 работника:</t>
  </si>
  <si>
    <t>процент выплаты</t>
  </si>
  <si>
    <t>сумма выплат</t>
  </si>
  <si>
    <t>Текущее премирование:</t>
  </si>
  <si>
    <t>Вознаграждение за выслугу лет:</t>
  </si>
  <si>
    <t>Выплаты по итогам года:</t>
  </si>
  <si>
    <t>Выплаты по районному коэффициенту и северные надбавки</t>
  </si>
  <si>
    <t>ИТОГО среднемесячная оплата труда на 1 работника</t>
  </si>
  <si>
    <t>Расчет ФОТ (вкл. в расходы на производство продукции (услуг))</t>
  </si>
  <si>
    <t>Льготный проезд к месту отдыха</t>
  </si>
  <si>
    <t>Выплаты в соответствии с порядком назначения и выплаты ежемесячных компенсационных выплат отдельным категориям граждан *</t>
  </si>
  <si>
    <t>Количество месяцев в периоде регулирования</t>
  </si>
  <si>
    <t>ИТОГО средства на оплату труда     ППП</t>
  </si>
  <si>
    <t>4.4.1</t>
  </si>
  <si>
    <t>4.4.2</t>
  </si>
  <si>
    <t>4.4.3</t>
  </si>
  <si>
    <t>4.4.4</t>
  </si>
  <si>
    <t>Расчет по непромышленной группе (вкл. в балансовую стоимость)</t>
  </si>
  <si>
    <t xml:space="preserve">Планируемая численность </t>
  </si>
  <si>
    <t>Расчетная средняя зарплата</t>
  </si>
  <si>
    <t>По постановлению N1206 от 3.11.94</t>
  </si>
  <si>
    <t>ИТОГО ФОТ непром. группы</t>
  </si>
  <si>
    <t>5.6.1</t>
  </si>
  <si>
    <t>5.6.2</t>
  </si>
  <si>
    <t>5.6.3</t>
  </si>
  <si>
    <t>5.6.4</t>
  </si>
  <si>
    <t>5.7</t>
  </si>
  <si>
    <t>Показатели  2014 г.</t>
  </si>
  <si>
    <t>Генеральтый директор ______________________________ С.Г. Бобряшов</t>
  </si>
  <si>
    <t>Индексы</t>
  </si>
  <si>
    <t>2015/2014</t>
  </si>
  <si>
    <t>2016/2015</t>
  </si>
  <si>
    <t>2017/2016</t>
  </si>
  <si>
    <t>Индекс роста номинальной заработной платы</t>
  </si>
  <si>
    <t>в т.ч. по кварталам (2015г.)</t>
  </si>
  <si>
    <t>1 кв. 2015г.</t>
  </si>
  <si>
    <t>Индекс цен на электрическую энергию</t>
  </si>
  <si>
    <t>Индекс цен на покупную воду</t>
  </si>
  <si>
    <t>Индекс цен на тепловую энергию</t>
  </si>
  <si>
    <t>Налог на прибыль  (Налог на УСН)</t>
  </si>
  <si>
    <t>Неиспользованных средств на начало года</t>
  </si>
  <si>
    <t>2.3</t>
  </si>
  <si>
    <t>стоимость, тыс. руб.</t>
  </si>
  <si>
    <t>Базовый период</t>
  </si>
  <si>
    <t>…</t>
  </si>
  <si>
    <t>Период регулирования</t>
  </si>
  <si>
    <t>№
п/п</t>
  </si>
  <si>
    <t>1.1</t>
  </si>
  <si>
    <t>2</t>
  </si>
  <si>
    <t>2.1</t>
  </si>
  <si>
    <t>3</t>
  </si>
  <si>
    <t>в т.ч.</t>
  </si>
  <si>
    <t>3.1</t>
  </si>
  <si>
    <t>3.2</t>
  </si>
  <si>
    <t>Показатели</t>
  </si>
  <si>
    <t>1</t>
  </si>
  <si>
    <t>4</t>
  </si>
  <si>
    <t>5</t>
  </si>
  <si>
    <t>6</t>
  </si>
  <si>
    <t>тыс. руб.</t>
  </si>
  <si>
    <t>всего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</si>
  <si>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</si>
  <si>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</si>
  <si>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</si>
  <si>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</si>
  <si>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</si>
  <si>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</si>
  <si>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</si>
  <si>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</si>
  <si>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</si>
  <si>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 том числе</t>
  </si>
  <si>
    <t>16</t>
  </si>
  <si>
    <t>в том числе:</t>
  </si>
  <si>
    <t>Арендная плата ( топливозапрвщик)</t>
  </si>
  <si>
    <t>Услугм связи и эл энергии производств базы</t>
  </si>
  <si>
    <r>
      <t xml:space="preserve">Теплоснабжающая организация:  </t>
    </r>
    <r>
      <rPr>
        <b/>
        <u val="single"/>
        <sz val="10"/>
        <rFont val="Times New Roman"/>
        <family val="1"/>
      </rPr>
      <t>ООО "Строй-Альянс""</t>
    </r>
  </si>
  <si>
    <t>ной услуги по горячему водоснабжению, Гкал на 1 куб. м</t>
  </si>
  <si>
    <t xml:space="preserve">Норматив расхода тепловой энергии на подогрев холодной воды в целях предоставления коммуналь- </t>
  </si>
  <si>
    <t>Генеральный директор ________________________С.Г. Бобряшов</t>
  </si>
  <si>
    <r>
      <t>Теплоснабжающая организация:</t>
    </r>
    <r>
      <rPr>
        <b/>
        <sz val="10"/>
        <rFont val="Times New Roman"/>
        <family val="1"/>
      </rPr>
      <t>ООО "Строй-Альянс"</t>
    </r>
  </si>
  <si>
    <t>Генеральный дирктор _______________ С.Г. Бобряшов</t>
  </si>
  <si>
    <t>Генеральный директор______________________С.Г. Бобряшов</t>
  </si>
  <si>
    <t xml:space="preserve">Расчет амортизационных отчислений </t>
  </si>
  <si>
    <t>Генеральный директор ____________________ С.Г. Бобряшов</t>
  </si>
  <si>
    <r>
      <t xml:space="preserve">Базовый период/Период регулирования: </t>
    </r>
    <r>
      <rPr>
        <b/>
        <sz val="10"/>
        <rFont val="Times New Roman"/>
        <family val="1"/>
      </rPr>
      <t>2017-2019</t>
    </r>
  </si>
  <si>
    <t>Предложение ТСО на 2019 г.</t>
  </si>
  <si>
    <r>
      <t xml:space="preserve">Период регулирования: </t>
    </r>
    <r>
      <rPr>
        <b/>
        <sz val="10"/>
        <rFont val="Times New Roman"/>
        <family val="1"/>
      </rPr>
      <t>2017-2019г.г.</t>
    </r>
  </si>
  <si>
    <r>
      <t xml:space="preserve">Теплоснабщающая организация  </t>
    </r>
    <r>
      <rPr>
        <u val="single"/>
        <sz val="11"/>
        <color indexed="8"/>
        <rFont val="Calibri"/>
        <family val="2"/>
      </rPr>
      <t xml:space="preserve"> ООО "Строй-Альянс"</t>
    </r>
  </si>
  <si>
    <t>м куб.</t>
  </si>
  <si>
    <t>Генеральный директор __________________________ С.Г. Бобряшов</t>
  </si>
  <si>
    <t>6.8</t>
  </si>
  <si>
    <t>4.9</t>
  </si>
  <si>
    <t>4.10</t>
  </si>
  <si>
    <t>в т.ч. объем олтпуска тепловой энергии в виде пара или воды из тепловых сетей регулируемой организации потребителям, теплопотребляющие установки которых подключены после тепловых пунктов (на тепловых пунктах), эксплуатируемых регулируемой организацией</t>
  </si>
  <si>
    <t>Суммарная договорная (заявленная) тепловая нагрузка потребителей</t>
  </si>
  <si>
    <t>2015 г.</t>
  </si>
  <si>
    <t>Договор № 170215/3 от 17.02.2015 г поставщик ООО "Морской Траст"  цена 1 тн =  38 000 руб.</t>
  </si>
  <si>
    <t xml:space="preserve">цена  1 тн д/т  на 2015 год = 38 000 + 3 600 = 41 600 руб. </t>
  </si>
  <si>
    <t>цена  1 тн д/т  на 2016 год = 38 000 х ИЦП 1.034 = 39 292 руб.</t>
  </si>
  <si>
    <t>цена перевозки  1 тн д/т  на 2016 год = 3 600 х ИЦП 1.057 = 3 805 руб.</t>
  </si>
  <si>
    <t>в т.ч. суммарная договорная (заявленная) тепловая нагрузка потребителей, теплопотребляющие установки которых подключены после тепловых пунктов (на тепловых пунктах), эксплуатируемых регулируемой организацией</t>
  </si>
  <si>
    <t>При отсутствии дифференциации тарифов по схеме подключения теплопотребляющих установок потребителей тепловой энергии к системе теплоснабжения:</t>
  </si>
  <si>
    <t>Одноставочный тариф на услуги по передаче тепловолй энергии</t>
  </si>
  <si>
    <t>Двухставочный тариф на услуги по передаче тепловой энергии:</t>
  </si>
  <si>
    <t>ставка за тепловую энергию</t>
  </si>
  <si>
    <t>ставка за содержание тепловой мощности</t>
  </si>
  <si>
    <t>доставка д/т автотранспортом</t>
  </si>
  <si>
    <t>хранение д/т на складах ГСМ</t>
  </si>
  <si>
    <t>прочая продукция(закрытая)</t>
  </si>
  <si>
    <t>Предложение ТСО  2018 г.</t>
  </si>
  <si>
    <t>Предложение ТСО на 2017 г.</t>
  </si>
  <si>
    <t>Предложение ТСО на 2018 г.</t>
  </si>
  <si>
    <t>Дизельное топливо</t>
  </si>
  <si>
    <t>Дизельное топливо всего</t>
  </si>
  <si>
    <t>ООО "Строй-Альянс"</t>
  </si>
  <si>
    <t xml:space="preserve">Перечень объектов, поключенных к системе ГВС </t>
  </si>
  <si>
    <t>(открытая система)</t>
  </si>
  <si>
    <t>М - к</t>
  </si>
  <si>
    <t>Потребитель</t>
  </si>
  <si>
    <t>S</t>
  </si>
  <si>
    <t>V</t>
  </si>
  <si>
    <t>g</t>
  </si>
  <si>
    <t>Степень</t>
  </si>
  <si>
    <t>Стояки</t>
  </si>
  <si>
    <r>
      <t>(м</t>
    </r>
    <r>
      <rPr>
        <i/>
        <sz val="9"/>
        <rFont val="Arial"/>
        <family val="2"/>
      </rPr>
      <t>²</t>
    </r>
    <r>
      <rPr>
        <i/>
        <sz val="9"/>
        <rFont val="Arial Cyr"/>
        <family val="0"/>
      </rPr>
      <t>)</t>
    </r>
  </si>
  <si>
    <r>
      <t>(м</t>
    </r>
    <r>
      <rPr>
        <b/>
        <i/>
        <sz val="9"/>
        <rFont val="Times New Roman"/>
        <family val="1"/>
      </rPr>
      <t>³</t>
    </r>
    <r>
      <rPr>
        <b/>
        <i/>
        <sz val="9"/>
        <rFont val="Arial Cyr"/>
        <family val="2"/>
      </rPr>
      <t>)</t>
    </r>
  </si>
  <si>
    <r>
      <t>(кКал/ч*гр*м</t>
    </r>
    <r>
      <rPr>
        <i/>
        <sz val="9"/>
        <rFont val="Times New Roman"/>
        <family val="1"/>
      </rPr>
      <t>³</t>
    </r>
    <r>
      <rPr>
        <i/>
        <sz val="9"/>
        <rFont val="Arial Cyr"/>
        <family val="2"/>
      </rPr>
      <t>)</t>
    </r>
  </si>
  <si>
    <t>благо-              устр.</t>
  </si>
  <si>
    <t>полотенце-        сушители.</t>
  </si>
  <si>
    <t>(кол. жит.)</t>
  </si>
  <si>
    <t>Лазо 10</t>
  </si>
  <si>
    <t>Неизол.б/п</t>
  </si>
  <si>
    <t>ж/ф</t>
  </si>
  <si>
    <t>Лазо 14</t>
  </si>
  <si>
    <t>Лазо 16</t>
  </si>
  <si>
    <t>Лазо 16б</t>
  </si>
  <si>
    <t>Горького 17а</t>
  </si>
  <si>
    <t>Итого ж/ф:</t>
  </si>
  <si>
    <t>Приют</t>
  </si>
  <si>
    <t>Д/д "Росинка"(21,4%)</t>
  </si>
  <si>
    <t>В- ванна</t>
  </si>
  <si>
    <t>У-унитаз</t>
  </si>
  <si>
    <t>Р- раковина</t>
  </si>
  <si>
    <t>М-мойка кухонная</t>
  </si>
  <si>
    <t>Коли-</t>
  </si>
  <si>
    <t>Норматив</t>
  </si>
  <si>
    <t>Отпуск ГВС   (м3)</t>
  </si>
  <si>
    <t>благоуст-</t>
  </si>
  <si>
    <t>чество</t>
  </si>
  <si>
    <t>м3/чел/м-ц</t>
  </si>
  <si>
    <t>ройства</t>
  </si>
  <si>
    <t>жильцов</t>
  </si>
  <si>
    <t>на 2017г.</t>
  </si>
  <si>
    <t>население</t>
  </si>
  <si>
    <t>Лазо 16 б</t>
  </si>
  <si>
    <t>Горького 17 а</t>
  </si>
  <si>
    <t>КГБУ "ЦСРСФУ "Росинка" Гос контр № 1 от 31.12.2015 г.</t>
  </si>
  <si>
    <t>№  19    Всего ГВС в м3</t>
  </si>
  <si>
    <t>Норматив (м2/чел/мес) на 2016г.</t>
  </si>
  <si>
    <t>Отопление (Гкал)</t>
  </si>
  <si>
    <t>Всего за 2016г. (c ОДН)</t>
  </si>
  <si>
    <t>( м2 )</t>
  </si>
  <si>
    <t>2 эт.</t>
  </si>
  <si>
    <t>Соц. сфера</t>
  </si>
  <si>
    <t>КГБУ "ЦСРСФУ "Росинка" Госуд. контртракт № 1 от 31.12.2015 г.</t>
  </si>
  <si>
    <t>Администрация (ЗАГС) Мун. контракт  № 1/2016-ТЭ от 28.12.2015 г.</t>
  </si>
  <si>
    <t>МБОУДОД ДЮСШ   Договор № 5 от 05.01.2016 г.</t>
  </si>
  <si>
    <t>МБОУДОД ЦДОД   Договор № 3 от 29.12.2015 г.</t>
  </si>
  <si>
    <t>МКУ Библиотечная система  № 2 от 29.12.2015 г.</t>
  </si>
  <si>
    <t>МКУ Центр культуры и досуга  № 4 от 31.12.2015 г.</t>
  </si>
  <si>
    <t>№9, № 19 Всего полезный отпуск в Гкал</t>
  </si>
  <si>
    <t xml:space="preserve">Приказ Министерства ЖКХ и Энергетики Камчатчкого края № 556 от 16.11.2015 г. </t>
  </si>
  <si>
    <t xml:space="preserve">   ООО "Строй - Альянс"</t>
  </si>
  <si>
    <t>Свод</t>
  </si>
  <si>
    <t>1 пол-дие</t>
  </si>
  <si>
    <t>2 пол-дие</t>
  </si>
  <si>
    <t>ГВС</t>
  </si>
  <si>
    <t>к-ф</t>
  </si>
  <si>
    <t>Отопление</t>
  </si>
  <si>
    <t>Полезная ТЭ</t>
  </si>
  <si>
    <t>в том числе население</t>
  </si>
  <si>
    <r>
      <t xml:space="preserve">Теплоснабжающая  организация: </t>
    </r>
    <r>
      <rPr>
        <b/>
        <u val="single"/>
        <sz val="10"/>
        <rFont val="Times New Roman"/>
        <family val="1"/>
      </rPr>
      <t>ООО "Строй-Альянс"</t>
    </r>
  </si>
  <si>
    <t>Источник тепловой энергии (м-к № 9 ЦК и Д)</t>
  </si>
  <si>
    <t>KSO-200</t>
  </si>
  <si>
    <t>Источник тепловой энергии  (№ 19 Приют, ж/фонд)</t>
  </si>
  <si>
    <t>Источник тепловой энергии                                      (м-к № 30 Пожарная часть)</t>
  </si>
  <si>
    <t xml:space="preserve">Установленная тепловая мощность 6 источника тепловой энергии </t>
  </si>
  <si>
    <t xml:space="preserve">Установленная тепловая мощность 7 источника тепловой энергии </t>
  </si>
  <si>
    <r>
      <t>Базовый период/Период регулирования:</t>
    </r>
    <r>
      <rPr>
        <b/>
        <sz val="10"/>
        <rFont val="Times New Roman"/>
        <family val="1"/>
      </rPr>
      <t>2016/2017-2019г.г.</t>
    </r>
  </si>
  <si>
    <t>Ожидаемый 2016 г.</t>
  </si>
  <si>
    <r>
      <t xml:space="preserve">Теплоснабжающая организация: </t>
    </r>
    <r>
      <rPr>
        <b/>
        <u val="single"/>
        <sz val="10"/>
        <rFont val="Times New Roman"/>
        <family val="1"/>
      </rPr>
      <t>ООО "Строй-Альянс"</t>
    </r>
  </si>
  <si>
    <t>Утверждено службой           2016 г.</t>
  </si>
  <si>
    <t xml:space="preserve">Договор № 231115/5 от 23.11.2015 г.  ООО "Морской Траст" диз.  топлива цена 1 тн - 40 650 руб. </t>
  </si>
  <si>
    <t>Договор № 1702/2-МТот 23.11.2015 г экспедитор ООО "Морской Траст" доставка топлива цена 1 тн =  3 500 руб., плюс экспедиторские расходы  цена 1 т - 100 руб., свего доставка д/т 1 тн - 3 600</t>
  </si>
  <si>
    <r>
      <t xml:space="preserve">Теплоснабжающая организация: </t>
    </r>
    <r>
      <rPr>
        <b/>
        <u val="single"/>
        <sz val="10"/>
        <rFont val="Times New Roman"/>
        <family val="1"/>
      </rPr>
      <t>ООО "Строй-Альянс""</t>
    </r>
  </si>
  <si>
    <r>
      <t xml:space="preserve">Теплоснабжающая организация: </t>
    </r>
    <r>
      <rPr>
        <b/>
        <sz val="12"/>
        <rFont val="Times New Roman"/>
        <family val="1"/>
      </rPr>
      <t>ООО "Стой-Альянс"</t>
    </r>
  </si>
  <si>
    <t>№ 9</t>
  </si>
  <si>
    <t>№ 19</t>
  </si>
  <si>
    <r>
      <t xml:space="preserve">Теплоснабжающая (теплосетевая) организация:   </t>
    </r>
    <r>
      <rPr>
        <b/>
        <u val="single"/>
        <sz val="10"/>
        <rFont val="Times New Roman"/>
        <family val="1"/>
      </rPr>
      <t xml:space="preserve"> ООО "Строй-Альянс"</t>
    </r>
  </si>
  <si>
    <t>Насос топливный РА 1007</t>
  </si>
  <si>
    <t>водогрейный бойлер KS-200</t>
  </si>
  <si>
    <t>Без дифференциации по схеме подключения теплопотребляющих установок потребителей:</t>
  </si>
  <si>
    <t>2.1.2</t>
  </si>
  <si>
    <t>С дифференциацией по схеме подключения теплопотребляющих установок потребителей:</t>
  </si>
  <si>
    <t>При подключении к тепловой сети без дополнительного преобразования на тепловых пунктах, эксплуатируемых регулируемыми организациями:</t>
  </si>
  <si>
    <t>2.2.2</t>
  </si>
  <si>
    <t>При подключении к тепловой сети после тепловых пунктов (на тепловых пунктах), эксплуатируемых регулируемыми организациями:</t>
  </si>
  <si>
    <t>3.1.2</t>
  </si>
  <si>
    <t>Приложение 6.5</t>
  </si>
  <si>
    <t>Расчет средневзвешенной стоимости оказываемых и (или) приобретаемых услуг при передаче единицы тепловой энергии</t>
  </si>
  <si>
    <t>Объем отпуска тепловой энергии из тепловой сети, тыс. Гкал</t>
  </si>
  <si>
    <t>Одноставочный тариф, руб./Гкал</t>
  </si>
  <si>
    <t>Регулируемая организация 1</t>
  </si>
  <si>
    <t>Регулируемая организация n</t>
  </si>
  <si>
    <t>n+1.1</t>
  </si>
  <si>
    <t>n+1.1.1</t>
  </si>
  <si>
    <t>n+1.1.2</t>
  </si>
  <si>
    <t>n+1.2</t>
  </si>
  <si>
    <t>n+1.2.1</t>
  </si>
  <si>
    <t>n+1.2.2</t>
  </si>
  <si>
    <t>тыс.куб.м</t>
  </si>
  <si>
    <t xml:space="preserve">Смета расходов </t>
  </si>
  <si>
    <t xml:space="preserve">Расчет расходов на оплату труда </t>
  </si>
  <si>
    <t>Расчет тарифа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</si>
  <si>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Расчет тарифа на теплоноситель, поставляемый потребителям</t>
  </si>
  <si>
    <t>Генеральный директор</t>
  </si>
  <si>
    <t>Наименование источника тепловой энергии, хоз. участка</t>
  </si>
  <si>
    <t>Указать основное или резервное</t>
  </si>
  <si>
    <t xml:space="preserve">Мини-котельные    </t>
  </si>
  <si>
    <t>основные</t>
  </si>
  <si>
    <t>освещение</t>
  </si>
  <si>
    <t>лампы накаливан.</t>
  </si>
  <si>
    <t>хб нужды ТИ</t>
  </si>
  <si>
    <t>рем.работы</t>
  </si>
  <si>
    <t>Всего по ТСО в том числе:</t>
  </si>
  <si>
    <t>____________________ С.Г. Бобряшов</t>
  </si>
  <si>
    <t>Объем выработки и потребления (невозврата) теплоносителя, производимого на источнике тепловой энергии n</t>
  </si>
  <si>
    <t>Суммарный объем выработки и потребления (невозврата) теплоносителя, поставляемого потребителям</t>
  </si>
  <si>
    <t>Тариф на теплоноситель, посталяемый потребителям</t>
  </si>
  <si>
    <t xml:space="preserve">Таблица заполняется по источникам тепловой энергии, участвующим в обеспечении потребления (невозврата) теплоносителя потребителями, включая источники тепловой энергии, принадлежащие теплоснабжающей организации, и источники тепловой энергии, принадлежащие </t>
  </si>
  <si>
    <t>Стр. 3 = стр. 1.2 + … + стр. n.2.</t>
  </si>
  <si>
    <t>Согласовано</t>
  </si>
  <si>
    <t xml:space="preserve">Генеральный директор ООО "НОРД ФИШ" </t>
  </si>
  <si>
    <t>С.Г. Бобряшов______________</t>
  </si>
  <si>
    <t xml:space="preserve">Т-график сетевой воды для  объектов Усть-Камчатского сп, </t>
  </si>
  <si>
    <t>интерполяция</t>
  </si>
  <si>
    <t>отапливаемых ооо "НОРД ФИШ" на 2015-2018 годы</t>
  </si>
  <si>
    <t>Ставка за содержание тепловой мощности в стр. 5.1.2 = (стр. 1 - стр. 1.1) / стр. 3 / М, где М = 12.</t>
  </si>
  <si>
    <t>Стр. 5.2.1 = (стр. 1 - стр. 1.1) / стр. 2 + стр. 1.1 / стр. 2.1.</t>
  </si>
  <si>
    <t>Объем выработки и потребления (невозврата) теплоносителя, производимого на источнике тепловой энергии 1</t>
  </si>
  <si>
    <t>Источник тепловой энергии n, на котором производится теплоноситель n</t>
  </si>
  <si>
    <t>n.1</t>
  </si>
  <si>
    <t>n.2</t>
  </si>
  <si>
    <t>ПРОИЗВОДСТВЕННАЯ ПРОГРАММА</t>
  </si>
  <si>
    <t>Источник теплоснабжения</t>
  </si>
  <si>
    <t>фильтр, поселение</t>
  </si>
  <si>
    <t>фильтр, объект</t>
  </si>
  <si>
    <t>фильтр, топливо</t>
  </si>
  <si>
    <t>Ед. изм.</t>
  </si>
  <si>
    <t>январь</t>
  </si>
  <si>
    <t>февраль</t>
  </si>
  <si>
    <t>потери в сети</t>
  </si>
  <si>
    <t>% потерь к отпуску в сеть</t>
  </si>
  <si>
    <t>полезный отпуск, всего</t>
  </si>
  <si>
    <t>отопление</t>
  </si>
  <si>
    <t xml:space="preserve">ГВС,всего </t>
  </si>
  <si>
    <t>6.2.1</t>
  </si>
  <si>
    <t>водоразбор</t>
  </si>
  <si>
    <t>6.2.2</t>
  </si>
  <si>
    <t>ЦГВС</t>
  </si>
  <si>
    <t>м3</t>
  </si>
  <si>
    <t>ГВС,всего</t>
  </si>
  <si>
    <t>6.3.1</t>
  </si>
  <si>
    <t>6.3.2</t>
  </si>
  <si>
    <t>кВтч</t>
  </si>
  <si>
    <t>Расход электроэнергии</t>
  </si>
  <si>
    <t>6.5</t>
  </si>
  <si>
    <t>Расход холодной воды</t>
  </si>
  <si>
    <t>6.6</t>
  </si>
  <si>
    <t>Сброс стоков в канализацию</t>
  </si>
  <si>
    <t>итоги</t>
  </si>
  <si>
    <t xml:space="preserve">ИТОГО ПО КОТЕЛЬНЫМ </t>
  </si>
  <si>
    <t>общий итог</t>
  </si>
  <si>
    <t>св</t>
  </si>
  <si>
    <t>Тариф на теплоноситель, приготовленный источником тепловой энергии n</t>
  </si>
  <si>
    <t>1.n+1</t>
  </si>
  <si>
    <t>II</t>
  </si>
  <si>
    <t>Компонент на тепловую энергию</t>
  </si>
  <si>
    <t>ВРУМ</t>
  </si>
  <si>
    <t>Степень благоуст-ройства</t>
  </si>
  <si>
    <t>Наименование показателей</t>
  </si>
  <si>
    <t>1. Производственная программа</t>
  </si>
  <si>
    <t xml:space="preserve">Полезный отпуск тепловой энергии </t>
  </si>
  <si>
    <t>на отопление</t>
  </si>
  <si>
    <t>на ГВС</t>
  </si>
  <si>
    <t>1.3.1</t>
  </si>
  <si>
    <t>при закрытой системе теплоснабжения</t>
  </si>
  <si>
    <t>1.3.2</t>
  </si>
  <si>
    <t>при открытой системе теплоснабжения</t>
  </si>
  <si>
    <t>тыс.м3</t>
  </si>
  <si>
    <t xml:space="preserve">2. Расчет потерь тепла трубопроводами систем централизованного горячего водоснабжения </t>
  </si>
  <si>
    <t xml:space="preserve">Количество строений </t>
  </si>
  <si>
    <t>с изолированными стояками и полотенцесушителями</t>
  </si>
  <si>
    <t>с неизолированными стояками и полотенцесушителями</t>
  </si>
  <si>
    <t>2.1.3</t>
  </si>
  <si>
    <t>с изолированными стояками и без полотенцесушителей</t>
  </si>
  <si>
    <t>2.1.4</t>
  </si>
  <si>
    <t>с неизолированными стояками и  без полотенцесушителей</t>
  </si>
  <si>
    <t>Коэффициент для систем ГВС</t>
  </si>
  <si>
    <t>3. Расчет количества тепла, необходимого для приготовления  1 м3 горячей воды</t>
  </si>
  <si>
    <t>С°</t>
  </si>
  <si>
    <t>Средняя за год температура холодной воды²</t>
  </si>
  <si>
    <t>Коэффициент учитывающий плотность воды при температуре, равной t гвс, и среднем по году давлении воды в трубопроводе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</si>
  <si>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 (стр. n+2) в виде воды, принимается равным средневзвешенной стоимости производимой и (или) приобретаемой единицы тепловой энергии (мощности) (стр. n+1); тариф на тепловую энергию (мощность), поставляемую теплоснабжающим организациям с целью компенсации потерь тепловой энергии (стр. n+2) в виде пара, рассчитывается как средневзвешенная стоимость производимой и (или) приобретаемой единицы тепловой энергии (мощности) по параметрам пара (стр. n+1).</t>
  </si>
  <si>
    <t>Отпуск тепловой энергии из тепловой сети (полезный отпуск), всего, (стр.4-стр.5)</t>
  </si>
  <si>
    <t>Отпуск теплоносителя в сеть (стр.1+стр.2-стр.3)</t>
  </si>
  <si>
    <t>Полезный отпуск теплоносителя потребителям (стр.4-стр.5-стр.6)</t>
  </si>
  <si>
    <t>Отпуск тепловой энергии от источника тепловой энергии (полезный отпуск), (стр.1+ стр.2-стр.3)</t>
  </si>
  <si>
    <r>
      <t xml:space="preserve">Теплоснабжающая организация: </t>
    </r>
    <r>
      <rPr>
        <b/>
        <sz val="12"/>
        <rFont val="Times New Roman"/>
        <family val="1"/>
      </rPr>
      <t>ОАО "Корякэнерго"</t>
    </r>
  </si>
  <si>
    <t>Стр. 7 = стр. 4 - стр. 5 - стр. 6.</t>
  </si>
  <si>
    <t>Строки 2, 2.1, 3, 3.1 заполняются с учетом мощности, поддерживаемой для отдельных категорий (групп) социально значимых потребителей, приобретающих услуги по поддержанию резервной тепловой мощности.</t>
  </si>
  <si>
    <t>Стр. 4.1 = стр. 1 / стр. 2.</t>
  </si>
  <si>
    <t>Ставка за содержание тепловой мощности в стр. 4.2 = стр. 1 / стр. 3 / М, где М = 12.</t>
  </si>
  <si>
    <t>Стр. 5.1.1 = (стр. 1 - стр. 1.1) / стр. 2.</t>
  </si>
  <si>
    <t>В строке 6: гр. 4 = (1 + гр. 5 стр. 5) * (1 + гр. 6 стр. 5) * (1 + гр. 7 стр. 5)</t>
  </si>
  <si>
    <t>гр. 5 = (1 + гр. 6 стр. 5) * (1 + гр. 7 стр. 5)</t>
  </si>
  <si>
    <t>гр. 6 = (1 + гр. 7 стр. 5)</t>
  </si>
  <si>
    <t>В строке 7: гр. стр. 7 = гр. стр. 4 * гр. стр. 6, кроме гр. 7</t>
  </si>
  <si>
    <t>гр. 7 стр. 7 = гр. стр. 4</t>
  </si>
  <si>
    <t>Строка 8 заполняется только в графе 8.</t>
  </si>
  <si>
    <t>Если предшествующий долгосрочный период регулирования составляет 3 года:</t>
  </si>
  <si>
    <t>Тепловая энергия, в том числе:</t>
  </si>
  <si>
    <t>Наименование оборудования</t>
  </si>
  <si>
    <t>Количество ед. оборудо-вания</t>
  </si>
  <si>
    <t>Мощность, кВтч</t>
  </si>
  <si>
    <t>Коэффициент загрузки оборудования</t>
  </si>
  <si>
    <t>Генеральный директо ________________________С.Г. Бобряшов</t>
  </si>
  <si>
    <t xml:space="preserve"> ООО "Строй - Альянс" 2017-2019 год</t>
  </si>
  <si>
    <t>Приобретение вод/котлов 2 шт износ 100%</t>
  </si>
  <si>
    <t>услуги связи и эл энергия производственной базы</t>
  </si>
  <si>
    <t>2018 г. всего + 348200*1.059 = 368744</t>
  </si>
  <si>
    <t>2018 г. + 151200*1,059-насос Grindfos  ОС 2 шт х 75600= 151200 износ 100%</t>
  </si>
  <si>
    <t>2018 г. + 197000*1,059-насос Wilo Gronoline-IL  ОС 2 шт х 98500= 197000 износ 100%</t>
  </si>
  <si>
    <t>ожид 2016 г. а/маш -</t>
  </si>
  <si>
    <t>3.3</t>
  </si>
  <si>
    <t>%</t>
  </si>
  <si>
    <t>5.1</t>
  </si>
  <si>
    <t>5.2</t>
  </si>
  <si>
    <t>5.3</t>
  </si>
  <si>
    <t>Единицы измерения</t>
  </si>
  <si>
    <t>Гкал/ч</t>
  </si>
  <si>
    <t>отборный пар</t>
  </si>
  <si>
    <t>Количество тепла, необходимого для приготовления одного кубического метра горячей воды³</t>
  </si>
  <si>
    <t>Гкал/м3</t>
  </si>
  <si>
    <t>4. Тарифы на тепловую энергию и холодную воду, без НДС</t>
  </si>
  <si>
    <t>Тариф на тепловую энергию</t>
  </si>
  <si>
    <t>Тариф на тепловую энергию для населения и исполнителей коммунальных услуг для населения</t>
  </si>
  <si>
    <t>Тариф на холодное водоснабжение</t>
  </si>
  <si>
    <t xml:space="preserve"> руб./м3</t>
  </si>
  <si>
    <t>Тариф на холодное водоснабжение для населения и исполнителей коммунальных услуг для населения</t>
  </si>
  <si>
    <t>Тариф на горячую воду для населения и исполнителей коммунальных услуг для населения</t>
  </si>
  <si>
    <t>Примечание:</t>
  </si>
  <si>
    <t xml:space="preserve">           - количество тепла, необходимое для приготовления одного кубического метра горячей воды, определяется по формуле (Гкал/куб. м):</t>
  </si>
  <si>
    <t>где,</t>
  </si>
  <si>
    <t xml:space="preserve">  c - удельная теплоемкость воды,                       Гкал/кг x 1 град. C;</t>
  </si>
  <si>
    <t xml:space="preserve"> - в открытой системе горчего водоснабжения рассчитывается по формуле: </t>
  </si>
  <si>
    <t xml:space="preserve">             - коэффициент, учитывающий потери тепла трубопроводами систем централизованного горячего водоснабжения (СП 41-101-95 "Проектирование тепловых пунктов", приложение 2, табл. 1</t>
  </si>
  <si>
    <t>Электрическая энергия</t>
  </si>
  <si>
    <t>ОАО "Корякэнерго"</t>
  </si>
  <si>
    <t>Показатели 2014 г.</t>
  </si>
  <si>
    <r>
      <t xml:space="preserve">одноставочный </t>
    </r>
    <r>
      <rPr>
        <sz val="10"/>
        <color indexed="12"/>
        <rFont val="Times New Roman"/>
        <family val="1"/>
      </rPr>
      <t xml:space="preserve">НН   </t>
    </r>
    <r>
      <rPr>
        <sz val="10"/>
        <rFont val="Times New Roman"/>
        <family val="1"/>
      </rPr>
      <t xml:space="preserve">                                             </t>
    </r>
  </si>
  <si>
    <t>свыше 13,0 кгс/кв.см</t>
  </si>
  <si>
    <r>
      <t>гр. 8 = (4/5 * гр. 7 + 3/5 * гр. 6 + 2/5 * гр. 5)|</t>
    </r>
    <r>
      <rPr>
        <vertAlign val="subscript"/>
        <sz val="11"/>
        <rFont val="Times New Roman"/>
        <family val="1"/>
      </rPr>
      <t>стр. 7</t>
    </r>
  </si>
  <si>
    <t>Если предшествующий долгосрочный период регулирования составляет более 3 лет:</t>
  </si>
  <si>
    <r>
      <t>гр. 8 = (4/5 * гр. 7 + 3/5 * гр. 6 + 2/5 * гр. 5 + 1/5 * гр. 4)|</t>
    </r>
    <r>
      <rPr>
        <vertAlign val="subscript"/>
        <sz val="11"/>
        <rFont val="Times New Roman"/>
        <family val="1"/>
      </rPr>
      <t>стр. 7</t>
    </r>
  </si>
  <si>
    <t>Приложение 5.5</t>
  </si>
  <si>
    <t>Год
i1-1</t>
  </si>
  <si>
    <t>тыс. Гкал</t>
  </si>
  <si>
    <t>Прирост экономии от снижения потребления топлива</t>
  </si>
  <si>
    <t>Значение индекса потребительских цен</t>
  </si>
  <si>
    <t>Прирост экономии от снижения потребления энергетических ресурсов в ценах
года i1</t>
  </si>
  <si>
    <t>Экономия от снижения потребления топлива, учитываемая в очередном долгосрочном периоде регулирования</t>
  </si>
  <si>
    <t>Приложение заполняется для каждого источника тепловой энергии.</t>
  </si>
  <si>
    <t>551-700 мм</t>
  </si>
  <si>
    <t>1.1.5</t>
  </si>
  <si>
    <t xml:space="preserve">701 мм и выше </t>
  </si>
  <si>
    <t>i1 - последний год текущего долгосрочного периода регулирования.</t>
  </si>
  <si>
    <t>Стр. 3 = стр. 1 - стр. 2.</t>
  </si>
  <si>
    <t>В строке 4: гр. 3 = гр. 3 стр. 3</t>
  </si>
  <si>
    <t>гр. 4 = гр. 4 стр. 3 - гр. 3 стр. 3 * (1 + гр. 4 стр. 5)</t>
  </si>
  <si>
    <t>гр. 5 = гр. 5 стр. 3 - гр. 4 стр. 3 * (1 + гр. 5 стр. 5)</t>
  </si>
  <si>
    <t>гр. 6 = гр. 6 стр. 3 - гр. 5 стр. 3 * (1 + гр. 6 стр. 5)</t>
  </si>
  <si>
    <t>гр. 7 = гр. 7 стр. 3 - гр. 6 стр. 3 * (1 + гр. 7 стр. 5)</t>
  </si>
  <si>
    <t>Планируемая (расчетная) цена</t>
  </si>
  <si>
    <t>Расходы на приобретение</t>
  </si>
  <si>
    <t>Примечание: заполняется по каждой системе теплоснабжения, если при установлении цен (тарифов) применяется такая дифференциация.</t>
  </si>
  <si>
    <t>1.12.17</t>
  </si>
  <si>
    <t>1.12.18</t>
  </si>
  <si>
    <t>1.12.19</t>
  </si>
  <si>
    <t>1.12.20</t>
  </si>
  <si>
    <t>юридические услуги</t>
  </si>
  <si>
    <t>1.12.21</t>
  </si>
  <si>
    <t>1.12.22</t>
  </si>
  <si>
    <t>обучение 1 раз/год (5 чел)</t>
  </si>
  <si>
    <t>аттестация была март 2014 г.(раз в 5 лет)</t>
  </si>
  <si>
    <t>Генеральный директор                                                    ______________________ С.Г. Бобряшов</t>
  </si>
  <si>
    <t>Тарифная ставка рабочего 1-го разряда</t>
  </si>
  <si>
    <t>руб.</t>
  </si>
  <si>
    <t xml:space="preserve">Дефлятор по заработной </t>
  </si>
  <si>
    <t>Тарифная ставка рабочего 1 разряда с учетом дефлятора</t>
  </si>
  <si>
    <t>Средняя ступень оплаты труда</t>
  </si>
  <si>
    <t>Тарифный коэффициент, соответствующий ступени по оплате труда</t>
  </si>
  <si>
    <t>коммунальные услуги, всего в т.ч.:</t>
  </si>
  <si>
    <t>электроэнергия на хозяйственные нужды</t>
  </si>
  <si>
    <t>вода на хозбытовые нужды</t>
  </si>
  <si>
    <t>теплоснабжение</t>
  </si>
  <si>
    <t>водоотведение</t>
  </si>
  <si>
    <t xml:space="preserve">прочие расходы </t>
  </si>
  <si>
    <t>……..</t>
  </si>
  <si>
    <t>1.13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</si>
  <si>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</si>
  <si>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1.14</t>
  </si>
  <si>
    <t>№ п. п.</t>
  </si>
  <si>
    <t>фактически понесенные расходы в году i0 + 1 по данным регулируемой организации</t>
  </si>
  <si>
    <t>19.3.2</t>
  </si>
  <si>
    <t>19.3.3</t>
  </si>
  <si>
    <t>19.4</t>
  </si>
  <si>
    <t>20.2</t>
  </si>
  <si>
    <t>20.3</t>
  </si>
  <si>
    <t>Приложение заполняется за предшествующий долгосрочный период регулирования.</t>
  </si>
  <si>
    <t>Расходы, не учитываемые  в целях налогообложения, всего</t>
  </si>
  <si>
    <t>расходы на капитальные вложения (инвестиции)</t>
  </si>
  <si>
    <t>денежные выплаты социального характера (по Коллективному договору)</t>
  </si>
  <si>
    <t>резервный фонд</t>
  </si>
  <si>
    <t>прочие расходы</t>
  </si>
  <si>
    <t>IV.</t>
  </si>
  <si>
    <t>Налог на УСН</t>
  </si>
  <si>
    <t>V.</t>
  </si>
  <si>
    <t>Выпадающие доходы/экономия средств</t>
  </si>
  <si>
    <t>VI.</t>
  </si>
  <si>
    <t>Необходимая валовая выручка, всего</t>
  </si>
  <si>
    <t>Генеральный директор ____________________________С.Г. Бобряшов</t>
  </si>
  <si>
    <t>Генеральный директор ___________________С.Г. Бобряшов</t>
  </si>
  <si>
    <t>«01»   января   2015г.</t>
  </si>
  <si>
    <r>
      <t>м</t>
    </r>
    <r>
      <rPr>
        <vertAlign val="superscript"/>
        <sz val="10"/>
        <rFont val="Times New Roman"/>
        <family val="1"/>
      </rPr>
      <t>3</t>
    </r>
  </si>
  <si>
    <r>
      <t>тыс. руб./м</t>
    </r>
    <r>
      <rPr>
        <vertAlign val="superscript"/>
        <sz val="10"/>
        <rFont val="Times New Roman"/>
        <family val="1"/>
      </rPr>
      <t>3</t>
    </r>
  </si>
  <si>
    <t>Расходы на холодную воду, в том числе</t>
  </si>
  <si>
    <t>Приложение 4.9</t>
  </si>
  <si>
    <t>Численность</t>
  </si>
  <si>
    <t>Нормативная численность</t>
  </si>
  <si>
    <t>чел.</t>
  </si>
  <si>
    <t>в т.ч. привлеченый персонал</t>
  </si>
  <si>
    <t>Нормативная численность ППП</t>
  </si>
  <si>
    <t>без привлеченного персонала</t>
  </si>
  <si>
    <t>Фактическая численность</t>
  </si>
  <si>
    <t>% отношение факта к нормативу</t>
  </si>
  <si>
    <t>Численность на вводы по нормативу</t>
  </si>
  <si>
    <t>Численность, принятая для расчета</t>
  </si>
  <si>
    <t>Средняя зарплата</t>
  </si>
  <si>
    <t>Приложение заполняется для каждого вида ресурсов.</t>
  </si>
  <si>
    <t>Графы строки 6 заполняются расчетным способом: гр. стр. 6 = гр. стр. 1 /  гр. стр. 2 * гр. стр. 3 - гр. стр. 4.</t>
  </si>
  <si>
    <t>Графы строки 7 заполняются расчетным способом: гр. стр. 7 = (гр. стр. 6 - гр. стр. 6|предыдущий год) * гр. стр. 5. Для первого года регулирования: стр. 7 = гр. стр. 6 * гр. стр. 5. Необходимо согласовать единицы измерения всех показателей для того, чтобы выразить прирост экономии от снижения потребления ресурсов в тыс. руб.</t>
  </si>
  <si>
    <t>Утверждено 2015 г.</t>
  </si>
  <si>
    <t>Приложение 6.4</t>
  </si>
  <si>
    <t>Расчет одноставочного тарифа на тепловую энергию (мощность), руб./Гкал</t>
  </si>
  <si>
    <t>Стр. 4 = стр. 1 + стр. 2 - стр. 3.</t>
  </si>
  <si>
    <t xml:space="preserve">установка топливных счетчиков </t>
  </si>
  <si>
    <t>Фактическая (расчетная) цена на топливо - с учетом затрат на его доставку и хранение, определяемая в соответствии с приложением 4.5 к настоящим Методическим указаниям с учетом остатков топлива и структуры используемого топлива, учтенной при расчете удельного расхода топлива.</t>
  </si>
  <si>
    <t>Отпуск тепловой энергии от источника тепловой энергии (полезный отпуск)</t>
  </si>
  <si>
    <t xml:space="preserve">Нормативный удельный расход условного топлива на производство тепловой энергии  </t>
  </si>
  <si>
    <t>экономически обоснованные расходы на содержание эксплуатируемых регулируемой организацией тепловых пунктов, тепловых сетей, расположенных после тепловых пунктов, и на оплату потерь в указанных сетях</t>
  </si>
  <si>
    <t>в т.ч. по нерегулируемым долгосрочным договорам, Гкал/ч</t>
  </si>
  <si>
    <t>Расходы на топливо, тыс.руб.</t>
  </si>
  <si>
    <t>Одноставочный тариф, руб/Гкал</t>
  </si>
  <si>
    <t>Ставка за тепловую энергию двухставочного тарифа руб./Гкал</t>
  </si>
  <si>
    <t>Ставка за содержание тепловой мощности двухставочного тарифа, тыс.руб./Гкал/ч в мес.</t>
  </si>
  <si>
    <t>Источник тепловой энергии 1</t>
  </si>
  <si>
    <t>отборный пар от 1,2 до 2,5 кгс/кв.см</t>
  </si>
  <si>
    <t>отборный пар от 2,5 до 7,0 кгс/кв.см</t>
  </si>
  <si>
    <t>отборный пар от 7,0 до 13,0 кгс/кв.см</t>
  </si>
  <si>
    <t>отборный пар свыше 13 кгс/кв.см</t>
  </si>
  <si>
    <t>Источник тепловой энергии n</t>
  </si>
  <si>
    <t>Объем отпуска тепловой энергии в виде пара или воды из тепловых сетей регулируемой организации</t>
  </si>
  <si>
    <t>Усть-Камчатское муниципальное образование</t>
  </si>
  <si>
    <t>Утверждено 2014</t>
  </si>
  <si>
    <t>Утверждено 2015</t>
  </si>
  <si>
    <t>Ожидаемый 2015г.</t>
  </si>
  <si>
    <t>кгс/м3</t>
  </si>
  <si>
    <t>Генеральный директор ___________________________ С.Г. Бобряшов</t>
  </si>
  <si>
    <r>
      <t xml:space="preserve">Коэффициент, учитывающий потери тепла трубопроводами систем централизованного горячего водоснабжения,   </t>
    </r>
    <r>
      <rPr>
        <b/>
        <sz val="9"/>
        <color indexed="60"/>
        <rFont val="Arial Narrow"/>
        <family val="2"/>
      </rPr>
      <t xml:space="preserve">(формула стр.((2.1.1*2.2.1+2.1.2*2.2.2+2.1.3*2.2.3+2.1.4*2.2.4)/2.1) </t>
    </r>
  </si>
  <si>
    <r>
      <t>Средняя за год температура горячей воды¹</t>
    </r>
    <r>
      <rPr>
        <sz val="9"/>
        <color indexed="8"/>
        <rFont val="Arial Narrow"/>
        <family val="2"/>
      </rPr>
      <t>, в том числе</t>
    </r>
  </si>
  <si>
    <r>
      <t>Тариф на горячую воду,</t>
    </r>
    <r>
      <rPr>
        <sz val="9"/>
        <color indexed="8"/>
        <rFont val="Arial Narrow"/>
        <family val="2"/>
      </rPr>
      <t xml:space="preserve">  </t>
    </r>
    <r>
      <rPr>
        <b/>
        <sz val="9"/>
        <color indexed="60"/>
        <rFont val="Arial Narrow"/>
        <family val="2"/>
      </rPr>
      <t>(формула (стр.(4.1*3.4)+стр.4.3)</t>
    </r>
  </si>
  <si>
    <r>
      <t>p – плотность воды при температуре, равной</t>
    </r>
    <r>
      <rPr>
        <i/>
        <sz val="9"/>
        <color indexed="8"/>
        <rFont val="Times New Roman"/>
        <family val="1"/>
      </rPr>
      <t xml:space="preserve"> t</t>
    </r>
    <r>
      <rPr>
        <i/>
        <vertAlign val="superscript"/>
        <sz val="9"/>
        <color indexed="8"/>
        <rFont val="Times New Roman"/>
        <family val="1"/>
      </rPr>
      <t>гвс</t>
    </r>
    <r>
      <rPr>
        <sz val="9"/>
        <color indexed="8"/>
        <rFont val="Times New Roman"/>
        <family val="1"/>
      </rPr>
      <t xml:space="preserve"> при среднем по году давлении воды в трубопроводе;</t>
    </r>
  </si>
  <si>
    <t>Таблица заполняется по системам теплоснабжения, по виду и параметрам теплоносителя, по схемам подключения теплопотребляющих установок потребителей тепловой энергии к системе теплоснабжения, если при установлении цен (тарифов) применяется такая дифференциа</t>
  </si>
  <si>
    <t>Прибыль</t>
  </si>
  <si>
    <t>Действующий Т-график (все м-к)</t>
  </si>
  <si>
    <t>Тн</t>
  </si>
  <si>
    <t>Тп</t>
  </si>
  <si>
    <t>То</t>
  </si>
  <si>
    <t>∆Т</t>
  </si>
  <si>
    <t>Формирование необходимой валовой выручки методом долгосрочной индексации установленных тарифов</t>
  </si>
  <si>
    <t>2.18</t>
  </si>
  <si>
    <t>2.19</t>
  </si>
  <si>
    <t>2.20</t>
  </si>
  <si>
    <t>2.21</t>
  </si>
  <si>
    <t>2.22</t>
  </si>
  <si>
    <t>2.23</t>
  </si>
  <si>
    <t>4.12</t>
  </si>
  <si>
    <t>Определение операционных расходов</t>
  </si>
  <si>
    <t>Расчет операционных (подконтрольных) расходов</t>
  </si>
  <si>
    <t>Реестр расходов энергетических ресурсов, холодной воды и теплоносителя</t>
  </si>
  <si>
    <t>Расчет экономии от снижения потребления прочих энергоресурсов, холодной воды и теплоносителя</t>
  </si>
  <si>
    <t xml:space="preserve">Расчет необходимой валовой выручки методом долгосрочной индексации установленных тарифов </t>
  </si>
  <si>
    <t>5.9</t>
  </si>
  <si>
    <t>6.7</t>
  </si>
  <si>
    <t>Генеральный директор _____________________С.Г. Бобряшов</t>
  </si>
  <si>
    <t>Индекс роста номинальной заработной платы (ИПЦ)</t>
  </si>
  <si>
    <t>2 кв. 2015г.</t>
  </si>
  <si>
    <t>3 кв. 2015г.</t>
  </si>
  <si>
    <t>4 кв. 2015г.</t>
  </si>
  <si>
    <t>Расход электроэнергии на производственные и хозяйственные нужды</t>
  </si>
  <si>
    <t>то же в % к отпуску шин</t>
  </si>
  <si>
    <t>Полезный отпуск электроэнергии в сеть</t>
  </si>
  <si>
    <t>Отпуск тепловой энергии, поставляемой с коллекторов источника тепловой энергии</t>
  </si>
  <si>
    <t>Расход теплоэнергии на хозяйственные нжды:</t>
  </si>
  <si>
    <t>1 полугодие 2017 г.</t>
  </si>
  <si>
    <t>2 полугодие 2017 г.</t>
  </si>
  <si>
    <t>Предложение ТСО 2018 г.</t>
  </si>
  <si>
    <t>1 полугодие 2018 г.</t>
  </si>
  <si>
    <t>2 полугодие 2018 г.</t>
  </si>
  <si>
    <t>Амортизация, тыс.руб. (мес.)</t>
  </si>
  <si>
    <t>Амортизация на 2015г.</t>
  </si>
  <si>
    <t>Генеральный директор ___________________ С.Г. Бобряшов</t>
  </si>
  <si>
    <t>Генеральный директор __________________ С.Г. Бобряшов</t>
  </si>
  <si>
    <t>Генеральный директор __________________С.Г. Бобряшов</t>
  </si>
  <si>
    <t>Факт 2014 г.</t>
  </si>
  <si>
    <t>В строке 1 указывается суммарная Экономия, рассчитанная в соответствии с приложением 4.13 и приложением 4.14 к настоящим Методическим указаниям.</t>
  </si>
  <si>
    <t>В строке 3: гр. 4 = (1 + гр. 5) * (1 + гр. 6) * (1 + гр. 7) * (1 + гр. 8) строки 2;</t>
  </si>
  <si>
    <t>гр. 5 = (1 + гр. 6) * (1 + гр. 7) * (1 + гр. 8) строки 2;</t>
  </si>
  <si>
    <t xml:space="preserve">гр. 6 = (1 + гр. 7) * (1 + гр. 8) строки 2; </t>
  </si>
  <si>
    <t>гр. 7 = (1 + гр. 8) строки 2.</t>
  </si>
  <si>
    <t>Гр. стр. 4 = гр. стр. 1 * гр. стр. 3.</t>
  </si>
  <si>
    <t>Фактические показатели 2012г.</t>
  </si>
  <si>
    <t>Необходимая валовая выручка, отнесенная на передачу тепловой энергии, в т.ч.:</t>
  </si>
  <si>
    <t>руб./т у.т.</t>
  </si>
  <si>
    <t>кг у.т.</t>
  </si>
  <si>
    <t xml:space="preserve">Единица измерения </t>
  </si>
  <si>
    <t>Приложение 4.13</t>
  </si>
  <si>
    <t>6.1</t>
  </si>
  <si>
    <t>6.2</t>
  </si>
  <si>
    <t>6.3</t>
  </si>
  <si>
    <t>6.4</t>
  </si>
  <si>
    <t>Расчет тарифа на тепловую энергию (мощность), отпускаемую от источников тепловой энергии, расположенных в пределах одной системы теплоснабжения без дифференциации по видам теплоносителя</t>
  </si>
  <si>
    <t>каллендарная разбивкой на</t>
  </si>
  <si>
    <t>Таблица заполняется по системам теплоснабжения, по виду и параметрам теплоносителя, если при установлении цен (тарифов) применяется такая дифференциация.</t>
  </si>
  <si>
    <t>Строки 1, ..., n заполняются в случае расчета тарифов без дифференциации по видам теплоносителя:</t>
  </si>
  <si>
    <t>Расход теплоносителя на хозяйственные (собственные) нужды</t>
  </si>
  <si>
    <t>дрова всего, в том числе:</t>
  </si>
  <si>
    <t xml:space="preserve"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организации, осуществляющей деятельность по производству тепловой энергии, теплоносителя, </t>
  </si>
  <si>
    <r>
      <t xml:space="preserve">       - средняя за год температура </t>
    </r>
    <r>
      <rPr>
        <sz val="9"/>
        <color indexed="60"/>
        <rFont val="Times New Roman"/>
        <family val="1"/>
      </rPr>
      <t>горячей</t>
    </r>
    <r>
      <rPr>
        <sz val="9"/>
        <color indexed="8"/>
        <rFont val="Times New Roman"/>
        <family val="1"/>
      </rPr>
      <t xml:space="preserve"> воды, поступающей потребителям из систем горячего водоснабжения (град. C);</t>
    </r>
  </si>
  <si>
    <r>
      <t xml:space="preserve"> - в закрытой системы </t>
    </r>
    <r>
      <rPr>
        <sz val="9"/>
        <color indexed="60"/>
        <rFont val="Times New Roman"/>
        <family val="1"/>
      </rPr>
      <t>горячего</t>
    </r>
    <r>
      <rPr>
        <sz val="9"/>
        <color indexed="8"/>
        <rFont val="Times New Roman"/>
        <family val="1"/>
      </rPr>
      <t xml:space="preserve"> водоснабжения (ЦГВС) принимается 60 град С;</t>
    </r>
  </si>
  <si>
    <r>
      <t>t</t>
    </r>
    <r>
      <rPr>
        <i/>
        <vertAlign val="superscript"/>
        <sz val="9"/>
        <color indexed="8"/>
        <rFont val="Times New Roman"/>
        <family val="1"/>
      </rPr>
      <t>гвс</t>
    </r>
    <r>
      <rPr>
        <i/>
        <sz val="9"/>
        <color indexed="8"/>
        <rFont val="Times New Roman"/>
        <family val="1"/>
      </rPr>
      <t xml:space="preserve"> =( tпр+(tпр – tпр*Кп))/2</t>
    </r>
  </si>
  <si>
    <r>
      <t xml:space="preserve">            - средняя за год температура </t>
    </r>
    <r>
      <rPr>
        <sz val="9"/>
        <color indexed="62"/>
        <rFont val="Times New Roman"/>
        <family val="1"/>
      </rPr>
      <t>холодной</t>
    </r>
    <r>
      <rPr>
        <sz val="9"/>
        <color indexed="8"/>
        <rFont val="Times New Roman"/>
        <family val="1"/>
      </rPr>
      <t xml:space="preserve"> воды, поступающей потребителям из систем централизованного холодного водоснабжения (град. C);</t>
    </r>
  </si>
  <si>
    <t>Расчет тарифов на горячую воду (открытая система)</t>
  </si>
  <si>
    <t>Итого расход условного топлива на производство тепловой энергии</t>
  </si>
  <si>
    <t>Удельный вес расхода топлива на производство тепловой энергии (п.15/п.16)</t>
  </si>
  <si>
    <t xml:space="preserve">Расход условного топлива </t>
  </si>
  <si>
    <t>уголь всего, в том числе:</t>
  </si>
  <si>
    <t>газ всего, в том числе:</t>
  </si>
  <si>
    <t>газ лимитный</t>
  </si>
  <si>
    <t>газ коммерческий</t>
  </si>
  <si>
    <t>газ сверхлимитный</t>
  </si>
  <si>
    <t>др. виды топлива</t>
  </si>
  <si>
    <t>Доля</t>
  </si>
  <si>
    <t>Индекс роста цен натурального топлива</t>
  </si>
  <si>
    <t>Предложение ТСО  2017 г.</t>
  </si>
  <si>
    <t>Утверждено РСТ Камчатского края на 2014 год</t>
  </si>
  <si>
    <t>в год</t>
  </si>
  <si>
    <t>в месяц</t>
  </si>
  <si>
    <t>Ставка</t>
  </si>
  <si>
    <t>Постановление Правительства Российской Федерации от 3 ноября 1994 г. № 1206 "Об утверждении порядка назначения и выплаты ежемесячных компенсационных выплат отдельным категориям граждан"</t>
  </si>
  <si>
    <t>Производственный персонал</t>
  </si>
  <si>
    <t>Цеховый персонал</t>
  </si>
  <si>
    <t>Общехозяйственный персонал</t>
  </si>
  <si>
    <t>СВОД</t>
  </si>
  <si>
    <t>ВСЕГО ГОД</t>
  </si>
  <si>
    <t>Выплаты в соответствии с порядком назначения и выплаты ежемесячных компенсационных выплат отдельным категориям граждан</t>
  </si>
  <si>
    <t>ИТОГО средства на оплату труда ППП</t>
  </si>
  <si>
    <t>Тп =</t>
  </si>
  <si>
    <t>Расчет тарифа на горячую воду в открытых системах теплоснабжения для теплоснабжающей организации, поставляющей горячую воду с использованием открытой системы теплоснабжения (горячего водоснабжения)</t>
  </si>
  <si>
    <t xml:space="preserve">Расчет амортизационных отчислений на восстановление основных производственных фондов </t>
  </si>
  <si>
    <t>Экономия от снижения потребления энергетических ресурсов в ценах    i-ого периода регулирования</t>
  </si>
  <si>
    <t>всего, т.н.т.</t>
  </si>
  <si>
    <t>-</t>
  </si>
  <si>
    <t xml:space="preserve">Приход натурального топлива </t>
  </si>
  <si>
    <t>Договор финансового лизинга № 4-ВЛ-СМ от 03.10.2012 г.</t>
  </si>
  <si>
    <t>Экскаватор Hitachi ZX240LC-3</t>
  </si>
  <si>
    <t>2012, октябрь</t>
  </si>
  <si>
    <t>Договор аренды имущества № б/н от 01.12.2012 г.</t>
  </si>
  <si>
    <t>Безвозмездный</t>
  </si>
  <si>
    <t>Итого по договорам финансового лизинга</t>
  </si>
  <si>
    <t>Утверждено службой 2015 г.</t>
  </si>
  <si>
    <t>Утверждено службой  2014 г.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</si>
  <si>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организации, осуществляющей деятельность по производству тепловой энергии, в целом по единой теплоснабжающей организации.</t>
  </si>
  <si>
    <t>В стр. 3 заполняется расход тепловой энергии на хозяйственные нужды только на источнике тепловой энергии.</t>
  </si>
  <si>
    <t>План 2017 г.</t>
  </si>
  <si>
    <t>План 2018 г.</t>
  </si>
  <si>
    <t xml:space="preserve">Установленная тепловая мощность 1 источника тепловой энергии </t>
  </si>
  <si>
    <t xml:space="preserve">Установленная тепловая мощность 2 источника тепловой энергии </t>
  </si>
  <si>
    <t xml:space="preserve">Установленная тепловая мощность 3 источника тепловой энергии </t>
  </si>
  <si>
    <t>3.1.6</t>
  </si>
  <si>
    <t>3.1.7</t>
  </si>
  <si>
    <t>Ставка за содержание тепловой мощности в стр. 5.2.2 = (стр. 1 - стр. 1.1) / стр. 3 / М + стр. 1.1 / стр. 3.1 / М, где М = 12.</t>
  </si>
  <si>
    <t>Компонент на теплоноситель</t>
  </si>
  <si>
    <t>Тариф на теплоноситель, приготовленный источником тепловой энергии 1</t>
  </si>
  <si>
    <t>1.n</t>
  </si>
  <si>
    <t>Расчет необходимой валовой выручки методом индексации установленных тарифов</t>
  </si>
  <si>
    <t>Амортизация на 2017г.</t>
  </si>
  <si>
    <t>Остаточная стоимость на 31.12.2017г.</t>
  </si>
  <si>
    <t>Амортизация на 2018г.</t>
  </si>
  <si>
    <t>Остаточная стоимость на 31.12.2018г.</t>
  </si>
  <si>
    <t>Амортизация на 2019г.</t>
  </si>
  <si>
    <t>Остаточная стоимость на 31.12.2019г.</t>
  </si>
  <si>
    <t xml:space="preserve">ст-ть  2015г. - 331885 </t>
  </si>
  <si>
    <t>Приобретение ОС (плановое) в 2018</t>
  </si>
  <si>
    <t>2 шт. х 375 = 750 т.руб.</t>
  </si>
  <si>
    <t>Итого:</t>
  </si>
  <si>
    <t>Расчет операционных (подконтрольных) расходов
на каждый год долгосрочного периода регулирования</t>
  </si>
  <si>
    <t>Реестр неподконтрольных расходов</t>
  </si>
  <si>
    <t>Расчет экономии операционных расходов</t>
  </si>
  <si>
    <t>Расчет экономии от снижения потребления топлива, учитываемой в очередном долгосрочном периоде регулирования</t>
  </si>
  <si>
    <t>Договор № 71 от 23.03.2013 г.</t>
  </si>
  <si>
    <t>Емкость для топлива 5 м3 ( 3 шт. х 64 000 руб.)</t>
  </si>
  <si>
    <t>Договор № К-369-1 от 14.02.2013 г.</t>
  </si>
  <si>
    <t>Договор № 11/04/2013 от 11.04.2013 г.</t>
  </si>
  <si>
    <t xml:space="preserve">Водогр / котел Kiturami KSO - 200 </t>
  </si>
  <si>
    <t>Договор № 20/04/2013 от 20.04.2013 г.</t>
  </si>
  <si>
    <t>Вентелятор дымоотводный</t>
  </si>
  <si>
    <t>Вентелятор электрический</t>
  </si>
  <si>
    <t xml:space="preserve">Насос повышенного давления </t>
  </si>
  <si>
    <t>Головка горелки 75-036-0150</t>
  </si>
  <si>
    <t>Договор № 25.05.2013 от 25.05.2013 г.</t>
  </si>
  <si>
    <t>Водогр / котел Kiturami KSO - 200 (3 шт. х 170 000 руб.)</t>
  </si>
  <si>
    <t>Насос Wilo Gronoline-IL 65/170-1.5/4 ( 2 шт. х 42 000 руб)</t>
  </si>
  <si>
    <t>Наименование          договора</t>
  </si>
  <si>
    <t>Остаточная стоимость на 31.12.2016г</t>
  </si>
  <si>
    <t>Остаточная стоимость на 01.01.2014</t>
  </si>
  <si>
    <t>Остаточная стоимость на 31.12.2015</t>
  </si>
  <si>
    <t>Начальник ОЭП                                                                                             Лукьяненко Е.Ю.</t>
  </si>
  <si>
    <t>2014 год</t>
  </si>
  <si>
    <t xml:space="preserve">Расшифровка расчета расходов на оплату труда </t>
  </si>
  <si>
    <t>Генеральный директор ______________________С.Г. Бобряшов</t>
  </si>
  <si>
    <t>В строке 5 указываются фактические потери тепловой энергии в сети в случае, предусмотренном пунктом 90 Основ ценообразования в сфере теплоснабжения, утвержденных постановлением Правительства Российской Федерации от 22.10.2012 № 1075.</t>
  </si>
  <si>
    <t>5.6</t>
  </si>
  <si>
    <t>Расходы на служебные командировки</t>
  </si>
  <si>
    <t>Расходы на обучение персонала</t>
  </si>
  <si>
    <t>Лизинговый платеж</t>
  </si>
  <si>
    <t>Арендная плата</t>
  </si>
  <si>
    <t>Другие расходы, в том числе:</t>
  </si>
  <si>
    <t>10.1</t>
  </si>
  <si>
    <t>10.2</t>
  </si>
  <si>
    <t>ИТОГО базовый уровень операционных расходов</t>
  </si>
  <si>
    <t>В гр. 3 отражаются расходы, учтенные в тарифах регулируемой организации в предшествующем расчетном периоде регулирования.</t>
  </si>
  <si>
    <t>Приложение 5.1</t>
  </si>
  <si>
    <t>№
п. п.</t>
  </si>
  <si>
    <t>Параметры расчета расходов</t>
  </si>
  <si>
    <t>Долгосрочный период
регулирования</t>
  </si>
  <si>
    <t>год i1</t>
  </si>
  <si>
    <t>Индекс потребительских цен на расчетный период регулирования (ИПЦ)</t>
  </si>
  <si>
    <t>Индекс эффективности операционных расходов (ИР)</t>
  </si>
  <si>
    <t>Индекс изменения количества активов (ИКА)</t>
  </si>
  <si>
    <t>количество условных единиц, относящихся к активам, необходимым
для осуществления регулируемой деятельности</t>
  </si>
  <si>
    <t>у.е.</t>
  </si>
  <si>
    <t>установленная тепловая мощность источника тепловой энергии</t>
  </si>
  <si>
    <r>
      <t>Коэффициент эластичности затрат по росту активов (К</t>
    </r>
    <r>
      <rPr>
        <vertAlign val="subscript"/>
        <sz val="11"/>
        <rFont val="Times New Roman"/>
        <family val="1"/>
      </rPr>
      <t>эл</t>
    </r>
    <r>
      <rPr>
        <sz val="11"/>
        <rFont val="Times New Roman"/>
        <family val="1"/>
      </rPr>
      <t>)</t>
    </r>
  </si>
  <si>
    <t>Операционные (подконтрольные)
расходы</t>
  </si>
  <si>
    <t>Приложение 5.2</t>
  </si>
  <si>
    <r>
      <t>_____</t>
    </r>
    <r>
      <rPr>
        <sz val="11"/>
        <rFont val="Times New Roman"/>
        <family val="1"/>
      </rPr>
      <t>Примечания:</t>
    </r>
  </si>
  <si>
    <t>Расход т. у. т., всего</t>
  </si>
  <si>
    <t xml:space="preserve">Нормативный удельный расход условного топлива на производство электроэнергии </t>
  </si>
  <si>
    <t>то же в % к отпуску теплоэнергии</t>
  </si>
  <si>
    <t>др. виды топлива (диз. топливо)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</si>
  <si>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теплоснабжающей, теплосетевой организации, в целом по единой теплоснабжающей организации.</t>
  </si>
  <si>
    <t>Может заполняться с помесячной разбивкой.</t>
  </si>
  <si>
    <t xml:space="preserve">Суммарная договорная (заявленная) тепловая нагрузка по всем догово-рам тепло-снабжения, Гкал/час
</t>
  </si>
  <si>
    <t>в т.ч. по нерегули-руемым договорам, Гкал/час</t>
  </si>
  <si>
    <r>
      <t>на производство теплоносителя на нужды горячего водоснабжения                            (</t>
    </r>
    <r>
      <rPr>
        <b/>
        <sz val="9"/>
        <rFont val="Times New Roman"/>
        <family val="1"/>
      </rPr>
      <t>открытая система</t>
    </r>
    <r>
      <rPr>
        <sz val="9"/>
        <rFont val="Times New Roman"/>
        <family val="1"/>
      </rPr>
      <t>)</t>
    </r>
  </si>
  <si>
    <r>
      <t>на производство теплоносителя на нужды горячего водоснабжения                             (</t>
    </r>
    <r>
      <rPr>
        <b/>
        <sz val="9"/>
        <rFont val="Times New Roman"/>
        <family val="1"/>
      </rPr>
      <t>открытая система</t>
    </r>
    <r>
      <rPr>
        <sz val="9"/>
        <rFont val="Times New Roman"/>
        <family val="1"/>
      </rPr>
      <t>)</t>
    </r>
  </si>
  <si>
    <r>
      <t>прочася продукция (на нужды горячего водоснабжения                                           (</t>
    </r>
    <r>
      <rPr>
        <b/>
        <sz val="9"/>
        <rFont val="Times New Roman"/>
        <family val="1"/>
      </rPr>
      <t>закрытая система система</t>
    </r>
    <r>
      <rPr>
        <sz val="9"/>
        <rFont val="Times New Roman"/>
        <family val="1"/>
      </rPr>
      <t>)</t>
    </r>
  </si>
  <si>
    <r>
      <t>Базовый период/Период регулирования:</t>
    </r>
    <r>
      <rPr>
        <b/>
        <sz val="10"/>
        <rFont val="Times New Roman"/>
        <family val="1"/>
      </rPr>
      <t>2016/2017-2019 г.г.</t>
    </r>
  </si>
  <si>
    <t>_________________________С.Г. Бобряшов</t>
  </si>
  <si>
    <t>прогноз на год 2017 по данным регулируе-мой орга-низации</t>
  </si>
  <si>
    <t>прогноз на год 2018 по данным ре-гулируемой организации</t>
  </si>
  <si>
    <t>прогноз на год 2019 по данным регулируемой организации</t>
  </si>
  <si>
    <r>
      <t xml:space="preserve">Базовый период/Период регулирования  </t>
    </r>
    <r>
      <rPr>
        <b/>
        <sz val="10"/>
        <rFont val="Times New Roman"/>
        <family val="1"/>
      </rPr>
      <t>2016/2017-2019 г.г.</t>
    </r>
  </si>
  <si>
    <t>Базовый период/Период регулирования 2016/2017-2019 г.г.</t>
  </si>
  <si>
    <t>______________________С.Г. Бобряшов</t>
  </si>
  <si>
    <r>
      <t xml:space="preserve">Базовый период/Период регулирования </t>
    </r>
    <r>
      <rPr>
        <b/>
        <sz val="10"/>
        <rFont val="Times New Roman"/>
        <family val="1"/>
      </rPr>
      <t>2016/2017-2019 г.г.</t>
    </r>
  </si>
  <si>
    <t>Утверждено  2014 год</t>
  </si>
  <si>
    <t>Факт 2014 год</t>
  </si>
  <si>
    <t>СВОД по участку теплоснабжения</t>
  </si>
  <si>
    <t>среднее</t>
  </si>
  <si>
    <t>1.5.1</t>
  </si>
  <si>
    <t>в т.ч.кочегары,электрогазосварщики</t>
  </si>
  <si>
    <t>Отчисление</t>
  </si>
  <si>
    <t>______________С.Г. Бобряшов</t>
  </si>
  <si>
    <t>Расчет отчислений на социальные нужды на 2016 год</t>
  </si>
  <si>
    <t>Численность, ед.</t>
  </si>
  <si>
    <t>тыс. руб./
Гкал/ч в мес.</t>
  </si>
  <si>
    <t>При дифференциации тарифов по схеме подключения теплопотребляющих установок потребителей тепловой энергии к системе теплоснабжения:</t>
  </si>
  <si>
    <t>При подключении к тепловой сети без допольнительного преобразования на тепловых пунктах, эксплуатируемых регулируемой организацией</t>
  </si>
  <si>
    <t>5.1.1</t>
  </si>
  <si>
    <t>5.1.2</t>
  </si>
  <si>
    <t>Договор финансового лизинга № 194-ВЛ-СМ от 05.06.2013 г.</t>
  </si>
  <si>
    <t>Экскаватор погрузчик XCMG WZ30-25</t>
  </si>
  <si>
    <t xml:space="preserve">гр. 5 = (гр. 3 * гр. 5 + ...) / (гр. 3 + ...) по всем регулируемым организациям, по видам теплоносителя (вода или пар), соответственно; </t>
  </si>
  <si>
    <t>гр. 6 = (гр. 4 * гр. 6 + ...) / (гр. 4 + ...) по всем регулируемым организациям;</t>
  </si>
  <si>
    <t>гр. 9 = (гр. 7 * гр. 9 + ...) / (гр. 7 + ...) по всем регулируемым организациям, по видам теплоносителя (вода или пар), соответственно;</t>
  </si>
  <si>
    <t>гр. 10 = (гр. 8 * гр. 10 + ...) / (гр. 8 + ...) по всем регулируемым организациям.</t>
  </si>
  <si>
    <t>Расчет тарифов на тепловую энергию (мощность), поставляемую теплоснабжающим (теплосетевым) организациям с целью компенсации потерь тепловой энергии, производится по всем источникам тепловой энергии, в отношении которых теплоснабжающая (теплосетевая) организация приобретает тепловую энергию (мощность) с целью компенсации потерь в тепловых сетях.</t>
  </si>
  <si>
    <t>Расчет средневзвешенной стоимости производимой и (или) приобретаемой единицы тепловой энергии (мощности) производится в соответствии с приложением 6.3 к настоящим Методическим указаниям.</t>
  </si>
  <si>
    <t>1 полугодие 2016г.</t>
  </si>
  <si>
    <t>2 полугодие 2016г.</t>
  </si>
  <si>
    <t>5.2.2</t>
  </si>
  <si>
    <t>Расчет тарифов на услуги по передаче тепловой энергии, теплоносителя</t>
  </si>
  <si>
    <t>Объем отпуска тепловой энергии от источника тепловой энергии, тыс. Гкал.</t>
  </si>
  <si>
    <t>Суммарная договорная (заявленная) тепловая нагрузка потребителей, Гкал/ч</t>
  </si>
  <si>
    <t>Ставка за тепловую энергию двухставочного тарифа, руб./Гкал</t>
  </si>
  <si>
    <t>Ставка за содержание теплововй мощности двухставочного тарифа, тыс.руб./Гкал/ч в мес.</t>
  </si>
  <si>
    <t>Средневзвешенная стоимость производимой и (или) приобретаемой единицы тепловой энергии (мощности):</t>
  </si>
  <si>
    <t>n+2</t>
  </si>
  <si>
    <t>Тариф на тепловую энергию (мощность), поставляемую теплоснабжающим (теплосетевым) организациям с целью компенсации потерь:</t>
  </si>
  <si>
    <t>n+3</t>
  </si>
  <si>
    <t>Приложение 6.3</t>
  </si>
  <si>
    <t>Расчет средневзвешенной стоимости производимой и (или) приобретаемой единицы тепловой энергии (мощности) и тарифов на тепловую энергию (мощность), поставляемую теплоснабжающим (теплосетевым) организациям с целью компенсации потерь тепловой энергии</t>
  </si>
  <si>
    <t>Расчет тарифов на тепловую энергию (мощность), поставляемую потребителям</t>
  </si>
  <si>
    <t>С дифференциацией по виду теплоносителя:</t>
  </si>
  <si>
    <t>Средневзвешенная стоимость оказываемых и (или) приобретаемых услуг по передаче единицы тепловой энергии:</t>
  </si>
  <si>
    <t>Расход тепловой энергии на хозяйственные нужды</t>
  </si>
  <si>
    <t>Потери тепловой энергии в сети  (нормативные)*</t>
  </si>
  <si>
    <t>Среднемесячная оплата труда одного работника, руб.</t>
  </si>
  <si>
    <t>Годовые начисления 1 работника, руб.</t>
  </si>
  <si>
    <t>База для ФСС</t>
  </si>
  <si>
    <t>База для ПФ РФ</t>
  </si>
  <si>
    <t>Страховые взносы в ПФ РФ по ставке 22%, на 1 работника, в руб.</t>
  </si>
  <si>
    <t>Страховые взносы в ПФ РФ по ставке 10%, на 1 работника, руб.</t>
  </si>
  <si>
    <t>Страховые взносы в ФСС по ставке 2,9%, на 1 работника, в руб.</t>
  </si>
  <si>
    <t>Страховые взносы в ФОМС по ставке 5,1%, на 1 работника, руб.</t>
  </si>
  <si>
    <t>Соцстрах по несчастным случаям по ставке 0,2%, на 1 работника, в руб.</t>
  </si>
  <si>
    <t>ИТОГО затраты по отчислениям на социальные нужды на всю численность, тыс.руб.</t>
  </si>
  <si>
    <t>Средний % отчислений</t>
  </si>
  <si>
    <t>Общеэксплуатационный персонал (АУП)</t>
  </si>
  <si>
    <r>
      <rPr>
        <b/>
        <sz val="11"/>
        <color indexed="8"/>
        <rFont val="Times New Roman"/>
        <family val="1"/>
      </rPr>
      <t xml:space="preserve">Основание: </t>
    </r>
    <r>
      <rPr>
        <sz val="11"/>
        <color indexed="8"/>
        <rFont val="Times New Roman"/>
        <family val="1"/>
      </rPr>
      <t xml:space="preserve">Постановление Правительства РФ от 30.11.2013 № 1101; ФЗ РФ № 212-ФЗ от 24.07.2009г. О страховых взносах в пенсионный фонд РФ, фонды социального страхования РФ, федеральный фонд обязательного медицинского страхования
</t>
    </r>
    <r>
      <rPr>
        <b/>
        <sz val="11"/>
        <color indexed="8"/>
        <rFont val="Times New Roman"/>
        <family val="1"/>
      </rPr>
      <t>Примечание:</t>
    </r>
    <r>
      <rPr>
        <sz val="11"/>
        <color indexed="8"/>
        <rFont val="Times New Roman"/>
        <family val="1"/>
      </rPr>
      <t xml:space="preserve"> Предельная велич</t>
    </r>
  </si>
  <si>
    <t>Утверждено  2016 год</t>
  </si>
  <si>
    <t>2.6.1</t>
  </si>
  <si>
    <t>2.7.1</t>
  </si>
  <si>
    <t>2.8.1</t>
  </si>
  <si>
    <t>2.9.1</t>
  </si>
  <si>
    <t>2.12.1</t>
  </si>
  <si>
    <t>Отчисления</t>
  </si>
  <si>
    <t>РАСЧЕТ по статьям:</t>
  </si>
  <si>
    <t>Отчиления на социальные нужды</t>
  </si>
  <si>
    <t>Процент отчислений</t>
  </si>
  <si>
    <t xml:space="preserve">Денежные выплаты социального характера </t>
  </si>
  <si>
    <t>Денежные выплаты на 1 работника</t>
  </si>
  <si>
    <t>Итого по денежным выплатам</t>
  </si>
  <si>
    <t>Представляется одновременно с копией утвержденной в установленном порядке инвестиционной программы (или проектом инвестиционной программы).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</si>
  <si>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1.3 - 1.6, 2.11 - 2.14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</si>
  <si>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Заполняется по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</si>
  <si>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Утверждено на базовый период 2013 г.</t>
  </si>
  <si>
    <t>Выполнено в течении базового периода 2013 г.</t>
  </si>
  <si>
    <t>План на период регулирования 2014 г.</t>
  </si>
  <si>
    <t>Утверждено на  период регулирования 2014 г.</t>
  </si>
  <si>
    <t>Приложение 4.6</t>
  </si>
  <si>
    <t>п. Усть-Камчатск</t>
  </si>
  <si>
    <t>I.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</si>
  <si>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каждому виду регулируемой деятельности, по каждой теплоснабжающей, теплосетевой организации, в це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</si>
  <si>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VI.1 - VI.4 заполняются по результатам распределения расходов между теп</t>
  </si>
  <si>
    <t>Корректировка, подлежащая учету в НВВ и учитывающая отклонение фактических показателей энерго-сбережения и повышения энергетической эффективности от установленных плановых (рас-четных) показателей и отклонение сроков реализации программы в области энергосбережения и повышения энергетической эффективности от установленных сроков реализации такой программы</t>
  </si>
  <si>
    <t>Услуги банка</t>
  </si>
  <si>
    <t>Цена условного топлива с учетом перевозки</t>
  </si>
  <si>
    <t>Цена натурального топлива с учетом перевозки</t>
  </si>
  <si>
    <t>Топливная составляющая тарифа</t>
  </si>
  <si>
    <t>25.4</t>
  </si>
  <si>
    <t>млн.кВтч</t>
  </si>
  <si>
    <t>кВтч/Гкал</t>
  </si>
  <si>
    <t>г/кВтч</t>
  </si>
  <si>
    <t>тыс.тут</t>
  </si>
  <si>
    <t>млн.куб.м</t>
  </si>
  <si>
    <t>тыс.тнт</t>
  </si>
  <si>
    <t>руб./тнт</t>
  </si>
  <si>
    <t>руб./тыс. куб.м</t>
  </si>
  <si>
    <t>руб./тут</t>
  </si>
  <si>
    <t>Приложение 4.5</t>
  </si>
  <si>
    <t>Расход условного топлива на производство электроэнергии</t>
  </si>
  <si>
    <t>на производство теплоносителя</t>
  </si>
  <si>
    <t>Приложение 4.11</t>
  </si>
  <si>
    <t>на производственное и научно-техническое развитие</t>
  </si>
  <si>
    <t>на непроизводственное развитие</t>
  </si>
  <si>
    <t>2.13</t>
  </si>
  <si>
    <t>2.14</t>
  </si>
  <si>
    <t>Справка об объектах капитальных вложений</t>
  </si>
  <si>
    <t>Наименование объекта капитальных вложений</t>
  </si>
  <si>
    <t>Источник финансирования на базовый период</t>
  </si>
  <si>
    <t>Источник финансирования на период регулирования</t>
  </si>
  <si>
    <t>Приложение 4.12</t>
  </si>
  <si>
    <t>Расчет экономии от снижения потребления топлива</t>
  </si>
  <si>
    <t>№ п.п.</t>
  </si>
  <si>
    <t>показатели</t>
  </si>
  <si>
    <t>Базовый период регулирования, i-4</t>
  </si>
  <si>
    <t>Базовый период регулирования, i-3</t>
  </si>
  <si>
    <t>Базовый период регулирования, i-2</t>
  </si>
  <si>
    <t>Базовый период регулирования, i-1</t>
  </si>
  <si>
    <t>Фактический норматив удельного расхода топлива</t>
  </si>
  <si>
    <t>Удельный расход топлива, учтенный при расчете тарифов</t>
  </si>
  <si>
    <t>Фактический объем отпуска тепловой энергии, поставляемой с коллекторов источника тепловой энергии</t>
  </si>
  <si>
    <t>Фактическая (расчетная) цена на топливо источника тепловой энергии</t>
  </si>
  <si>
    <t>Экономия от снижения потребления топлива</t>
  </si>
  <si>
    <t>кг у.т./Гкал</t>
  </si>
  <si>
    <t>Для второго расчетного периода регулирования, тарифы на который рассчитываются с применением настоящих Методических указаний, заполняется столбец 7; для третьего расчетного периода регулирования заполняются столбцы 6 - 7; для четвертого расчетного периода регулирования заполняются столбцы 5 - 7; начиная с пятого расчетного периода регулирования заполняются все столбцы.</t>
  </si>
  <si>
    <t>Фактическая (расчетная) цена на топливо в соответствии с приложением 4.5 к настоящим Методическим указаниям.</t>
  </si>
  <si>
    <t>Графы строки 5 заполняются расчетным способом: гр. стр. 5 = (гр. стр. 2 - гр. стр. 1) * гр. стр. 3.</t>
  </si>
  <si>
    <t>Приложение заполняется для каждого вида энергетических ресурсов.</t>
  </si>
  <si>
    <t>К таблице прилагаются дополнительные материалы, содержащие обоснованный расчет по строкам 7, 8, 9, 11.</t>
  </si>
  <si>
    <t>Приложение 5.9</t>
  </si>
  <si>
    <t>Утверждено Службой 2015 г.</t>
  </si>
  <si>
    <t>Фактические показатели 2014 г.</t>
  </si>
  <si>
    <t>Ожидаемые показатели 2015 г.</t>
  </si>
  <si>
    <t>ООО "Морской трст" диз топливо с траспортными расходами,  цена 1 тн =  41 600 руб.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</si>
</sst>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00"/>
    <numFmt numFmtId="167" formatCode="0.0"/>
    <numFmt numFmtId="168" formatCode="#,##0.0"/>
    <numFmt numFmtId="169" formatCode="#,##0_р_."/>
    <numFmt numFmtId="170" formatCode="#,##0.0_р_."/>
    <numFmt numFmtId="171" formatCode="#,##0.0000"/>
    <numFmt numFmtId="172" formatCode="#,##0.00000"/>
    <numFmt numFmtId="173" formatCode="[$-F419]yyyy\,\ mmmm;@"/>
    <numFmt numFmtId="174" formatCode="_(* #,##0_);_(* \(#,##0\);_(* &quot;-&quot;_);_(@_)"/>
    <numFmt numFmtId="175" formatCode="_-* #,##0.000_р_._-;\-* #,##0.000_р_._-;_-* &quot;-&quot;??_р_._-;_-@_-"/>
    <numFmt numFmtId="176" formatCode="_(* #,##0.00_);_(* \(#,##0.00\);_(* &quot;-&quot;??_);_(@_)"/>
    <numFmt numFmtId="177" formatCode="0.000000"/>
    <numFmt numFmtId="178" formatCode="#,##0.000_р_."/>
    <numFmt numFmtId="179" formatCode="_-* #,##0_р_._-;\-* #,##0_р_._-;_-* &quot;-&quot;??_р_._-;_-@_-"/>
    <numFmt numFmtId="180" formatCode="#,##0.00_р_."/>
    <numFmt numFmtId="181" formatCode="0.00000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00%"/>
    <numFmt numFmtId="191" formatCode="0.0000"/>
    <numFmt numFmtId="192" formatCode="#,##0.000000"/>
    <numFmt numFmtId="193" formatCode="0.00000000"/>
    <numFmt numFmtId="194" formatCode="0.0000%"/>
    <numFmt numFmtId="195" formatCode="0.00000%"/>
    <numFmt numFmtId="196" formatCode="0.0000E+00"/>
    <numFmt numFmtId="197" formatCode="0.000E+00"/>
    <numFmt numFmtId="198" formatCode="[$-FC19]d\ mmmm\ yyyy\ &quot;г.&quot;"/>
    <numFmt numFmtId="199" formatCode="000000"/>
    <numFmt numFmtId="200" formatCode="#,##0.0000000"/>
    <numFmt numFmtId="201" formatCode="#,##0.00000000"/>
    <numFmt numFmtId="202" formatCode="#,##0.000000000"/>
    <numFmt numFmtId="203" formatCode="#,##0.00000000000"/>
    <numFmt numFmtId="204" formatCode="mmm/yyyy"/>
    <numFmt numFmtId="205" formatCode="0.0000000"/>
    <numFmt numFmtId="206" formatCode="_-* #,##0.000_р_._-;\-* #,##0.000_р_._-;_-* &quot;-&quot;???_р_._-;_-@_-"/>
    <numFmt numFmtId="207" formatCode="0.0_)"/>
    <numFmt numFmtId="208" formatCode="[$-419]mmmm\ yyyy;@"/>
    <numFmt numFmtId="209" formatCode="#,##0.00;[Red]\-#,##0.00"/>
    <numFmt numFmtId="210" formatCode="_-* #,##0.00_р_._-;\-* #,##0.00_р_._-;_-* &quot;-&quot;???_р_._-;_-@_-"/>
    <numFmt numFmtId="211" formatCode="_-* #,##0.0_р_._-;\-* #,##0.0_р_._-;_-* &quot;-&quot;???_р_._-;_-@_-"/>
    <numFmt numFmtId="212" formatCode="_-* #,##0_р_._-;\-* #,##0_р_._-;_-* &quot;-&quot;???_р_._-;_-@_-"/>
    <numFmt numFmtId="213" formatCode="_-* #,##0.0_р_._-;\-* #,##0.0_р_._-;_-* &quot;-&quot;??_р_._-;_-@_-"/>
    <numFmt numFmtId="214" formatCode="0.000000000"/>
    <numFmt numFmtId="215" formatCode="_(* #,##0_);_(* \(#,##0\);_(* &quot;-&quot;??_);_(@_)"/>
  </numFmts>
  <fonts count="189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3"/>
      <color indexed="10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i/>
      <u val="single"/>
      <sz val="11"/>
      <color indexed="12"/>
      <name val="Times New Roman"/>
      <family val="1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b/>
      <i/>
      <sz val="10"/>
      <name val="Arial Cyr"/>
      <family val="0"/>
    </font>
    <font>
      <b/>
      <sz val="14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vertAlign val="subscript"/>
      <sz val="9"/>
      <name val="Times New Roman"/>
      <family val="1"/>
    </font>
    <font>
      <b/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sz val="11"/>
      <color indexed="12"/>
      <name val="Calibri"/>
      <family val="2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Calibri"/>
      <family val="2"/>
    </font>
    <font>
      <i/>
      <sz val="11"/>
      <color indexed="30"/>
      <name val="Calibri"/>
      <family val="2"/>
    </font>
    <font>
      <b/>
      <i/>
      <sz val="14"/>
      <color indexed="30"/>
      <name val="Arial"/>
      <family val="2"/>
    </font>
    <font>
      <b/>
      <i/>
      <sz val="10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i/>
      <sz val="14"/>
      <name val="Arial"/>
      <family val="2"/>
    </font>
    <font>
      <i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6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16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u val="single"/>
      <sz val="11"/>
      <name val="Times New Roman"/>
      <family val="1"/>
    </font>
    <font>
      <i/>
      <sz val="11"/>
      <color indexed="12"/>
      <name val="Times New Roman"/>
      <family val="1"/>
    </font>
    <font>
      <b/>
      <sz val="12"/>
      <color indexed="48"/>
      <name val="Times New Roman"/>
      <family val="1"/>
    </font>
    <font>
      <sz val="6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2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b/>
      <i/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b/>
      <sz val="11"/>
      <color indexed="30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Calibri"/>
      <family val="2"/>
    </font>
    <font>
      <sz val="10"/>
      <color indexed="60"/>
      <name val="Arial Narrow"/>
      <family val="2"/>
    </font>
    <font>
      <sz val="13"/>
      <color indexed="8"/>
      <name val="Times New Roman"/>
      <family val="1"/>
    </font>
    <font>
      <sz val="10"/>
      <color indexed="60"/>
      <name val="Calibri"/>
      <family val="2"/>
    </font>
    <font>
      <b/>
      <sz val="10"/>
      <color indexed="60"/>
      <name val="Arial Narrow"/>
      <family val="2"/>
    </font>
    <font>
      <sz val="8"/>
      <color indexed="8"/>
      <name val="Arial"/>
      <family val="2"/>
    </font>
    <font>
      <b/>
      <sz val="9"/>
      <color indexed="60"/>
      <name val="Arial Narrow"/>
      <family val="2"/>
    </font>
    <font>
      <b/>
      <sz val="9"/>
      <name val="Arial Narrow"/>
      <family val="2"/>
    </font>
    <font>
      <i/>
      <sz val="8"/>
      <color indexed="8"/>
      <name val="Arial"/>
      <family val="2"/>
    </font>
    <font>
      <b/>
      <sz val="10"/>
      <color indexed="60"/>
      <name val="Arial"/>
      <family val="2"/>
    </font>
    <font>
      <i/>
      <sz val="14"/>
      <color indexed="8"/>
      <name val="Calibri"/>
      <family val="2"/>
    </font>
    <font>
      <i/>
      <sz val="12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sz val="9"/>
      <color indexed="60"/>
      <name val="Times New Roman"/>
      <family val="1"/>
    </font>
    <font>
      <sz val="9"/>
      <color indexed="62"/>
      <name val="Times New Roman"/>
      <family val="1"/>
    </font>
    <font>
      <sz val="12"/>
      <color indexed="8"/>
      <name val="Calibri"/>
      <family val="2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8"/>
      <name val="Arial Narrow"/>
      <family val="2"/>
    </font>
    <font>
      <i/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b/>
      <i/>
      <sz val="10"/>
      <color indexed="12"/>
      <name val="Times New Roman"/>
      <family val="1"/>
    </font>
    <font>
      <i/>
      <sz val="11"/>
      <color indexed="10"/>
      <name val="Times New Roman"/>
      <family val="1"/>
    </font>
    <font>
      <u val="single"/>
      <sz val="12"/>
      <name val="Arial"/>
      <family val="2"/>
    </font>
    <font>
      <b/>
      <i/>
      <u val="single"/>
      <sz val="12"/>
      <color indexed="21"/>
      <name val="Arial"/>
      <family val="2"/>
    </font>
    <font>
      <b/>
      <u val="single"/>
      <sz val="12"/>
      <name val="Arial"/>
      <family val="2"/>
    </font>
    <font>
      <b/>
      <i/>
      <sz val="12"/>
      <color indexed="9"/>
      <name val="Arial"/>
      <family val="0"/>
    </font>
    <font>
      <sz val="12"/>
      <name val="Arial Cyr"/>
      <family val="2"/>
    </font>
    <font>
      <b/>
      <sz val="9"/>
      <name val="Arial Cyr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9"/>
      <name val="Arial Cyr"/>
      <family val="0"/>
    </font>
    <font>
      <i/>
      <sz val="9"/>
      <name val="Arial"/>
      <family val="2"/>
    </font>
    <font>
      <b/>
      <i/>
      <sz val="9"/>
      <name val="Arial Cyr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color indexed="12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10"/>
      <color indexed="8"/>
      <name val="Arial Cyr"/>
      <family val="2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i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9"/>
      <color indexed="8"/>
      <name val="Calibri"/>
      <family val="2"/>
    </font>
    <font>
      <i/>
      <sz val="8"/>
      <color indexed="9"/>
      <name val="Times New Roman"/>
      <family val="1"/>
    </font>
    <font>
      <u val="single"/>
      <sz val="11"/>
      <color indexed="8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/>
      <top>
        <color indexed="63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70" fillId="7" borderId="1" applyNumberFormat="0" applyAlignment="0" applyProtection="0"/>
    <xf numFmtId="0" fontId="71" fillId="20" borderId="2" applyNumberFormat="0" applyAlignment="0" applyProtection="0"/>
    <xf numFmtId="0" fontId="71" fillId="20" borderId="2" applyNumberFormat="0" applyAlignment="0" applyProtection="0"/>
    <xf numFmtId="0" fontId="71" fillId="20" borderId="2" applyNumberFormat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78" fillId="21" borderId="7" applyNumberFormat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1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1" fillId="0" borderId="0" applyNumberFormat="0" applyFill="0" applyBorder="0" applyAlignment="0" applyProtection="0"/>
    <xf numFmtId="0" fontId="82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86" fillId="4" borderId="0" applyNumberFormat="0" applyBorder="0" applyAlignment="0" applyProtection="0"/>
  </cellStyleXfs>
  <cellXfs count="23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8" fillId="0" borderId="12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7" fillId="0" borderId="1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indent="1"/>
    </xf>
    <xf numFmtId="49" fontId="1" fillId="0" borderId="13" xfId="0" applyNumberFormat="1" applyFont="1" applyBorder="1" applyAlignment="1">
      <alignment horizontal="left" wrapText="1" inden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8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 indent="2"/>
    </xf>
    <xf numFmtId="49" fontId="1" fillId="0" borderId="13" xfId="0" applyNumberFormat="1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wrapText="1" indent="2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2"/>
    </xf>
    <xf numFmtId="0" fontId="6" fillId="0" borderId="10" xfId="0" applyFont="1" applyBorder="1" applyAlignment="1">
      <alignment/>
    </xf>
    <xf numFmtId="49" fontId="1" fillId="0" borderId="13" xfId="0" applyNumberFormat="1" applyFont="1" applyBorder="1" applyAlignment="1">
      <alignment horizontal="left" wrapText="1" indent="2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 indent="3"/>
    </xf>
    <xf numFmtId="0" fontId="1" fillId="0" borderId="12" xfId="0" applyFont="1" applyBorder="1" applyAlignment="1">
      <alignment horizontal="left" wrapText="1" indent="1"/>
    </xf>
    <xf numFmtId="0" fontId="25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wrapText="1" indent="3"/>
    </xf>
    <xf numFmtId="49" fontId="25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8" fillId="0" borderId="12" xfId="0" applyFont="1" applyBorder="1" applyAlignment="1">
      <alignment horizontal="left" wrapText="1" indent="2"/>
    </xf>
    <xf numFmtId="49" fontId="8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right" vertical="top"/>
    </xf>
    <xf numFmtId="0" fontId="8" fillId="0" borderId="12" xfId="0" applyFont="1" applyBorder="1" applyAlignment="1">
      <alignment horizontal="left" wrapText="1" indent="1"/>
    </xf>
    <xf numFmtId="49" fontId="8" fillId="0" borderId="12" xfId="0" applyNumberFormat="1" applyFont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6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center" wrapText="1"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right" vertical="top"/>
    </xf>
    <xf numFmtId="0" fontId="8" fillId="0" borderId="12" xfId="0" applyFont="1" applyBorder="1" applyAlignment="1">
      <alignment vertical="center" wrapText="1"/>
    </xf>
    <xf numFmtId="166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/>
    </xf>
    <xf numFmtId="49" fontId="21" fillId="0" borderId="0" xfId="0" applyNumberFormat="1" applyFont="1" applyAlignment="1">
      <alignment/>
    </xf>
    <xf numFmtId="0" fontId="23" fillId="0" borderId="10" xfId="0" applyFont="1" applyBorder="1" applyAlignment="1">
      <alignment horizontal="left" wrapText="1" indent="1"/>
    </xf>
    <xf numFmtId="3" fontId="23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wrapText="1"/>
    </xf>
    <xf numFmtId="168" fontId="23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27" fillId="0" borderId="0" xfId="0" applyNumberFormat="1" applyFont="1" applyBorder="1" applyAlignment="1">
      <alignment horizontal="left" vertical="top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wrapText="1"/>
    </xf>
    <xf numFmtId="49" fontId="28" fillId="0" borderId="10" xfId="0" applyNumberFormat="1" applyFont="1" applyBorder="1" applyAlignment="1">
      <alignment horizontal="left" wrapText="1"/>
    </xf>
    <xf numFmtId="49" fontId="28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3" fontId="12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right"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/>
    </xf>
    <xf numFmtId="166" fontId="1" fillId="0" borderId="10" xfId="0" applyNumberFormat="1" applyFont="1" applyFill="1" applyBorder="1" applyAlignment="1">
      <alignment horizontal="center"/>
    </xf>
    <xf numFmtId="0" fontId="14" fillId="0" borderId="0" xfId="61">
      <alignment/>
      <protection/>
    </xf>
    <xf numFmtId="3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4" fillId="0" borderId="0" xfId="0" applyNumberFormat="1" applyFont="1" applyFill="1" applyBorder="1" applyAlignment="1">
      <alignment vertical="top"/>
    </xf>
    <xf numFmtId="49" fontId="21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wrapText="1" indent="2"/>
    </xf>
    <xf numFmtId="0" fontId="21" fillId="0" borderId="10" xfId="0" applyFont="1" applyBorder="1" applyAlignment="1">
      <alignment horizontal="left" wrapText="1" indent="3"/>
    </xf>
    <xf numFmtId="49" fontId="21" fillId="0" borderId="1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wrapText="1" indent="2"/>
    </xf>
    <xf numFmtId="49" fontId="21" fillId="0" borderId="10" xfId="0" applyNumberFormat="1" applyFont="1" applyBorder="1" applyAlignment="1">
      <alignment horizontal="left" wrapText="1" indent="6"/>
    </xf>
    <xf numFmtId="0" fontId="7" fillId="0" borderId="0" xfId="0" applyFont="1" applyAlignment="1">
      <alignment/>
    </xf>
    <xf numFmtId="0" fontId="5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38" fillId="0" borderId="20" xfId="56" applyFont="1" applyBorder="1" applyAlignment="1">
      <alignment/>
      <protection/>
    </xf>
    <xf numFmtId="0" fontId="38" fillId="0" borderId="0" xfId="56" applyFont="1" applyBorder="1" applyAlignment="1">
      <alignment/>
      <protection/>
    </xf>
    <xf numFmtId="1" fontId="38" fillId="0" borderId="0" xfId="56" applyNumberFormat="1" applyFont="1" applyBorder="1" applyAlignment="1">
      <alignment/>
      <protection/>
    </xf>
    <xf numFmtId="1" fontId="38" fillId="0" borderId="0" xfId="56" applyNumberFormat="1" applyFont="1" applyBorder="1" applyAlignment="1">
      <alignment horizontal="center"/>
      <protection/>
    </xf>
    <xf numFmtId="0" fontId="18" fillId="0" borderId="0" xfId="56" applyAlignment="1">
      <alignment horizontal="center"/>
      <protection/>
    </xf>
    <xf numFmtId="0" fontId="18" fillId="0" borderId="0" xfId="56">
      <alignment/>
      <protection/>
    </xf>
    <xf numFmtId="0" fontId="39" fillId="0" borderId="20" xfId="56" applyFont="1" applyBorder="1" applyAlignment="1">
      <alignment horizontal="center"/>
      <protection/>
    </xf>
    <xf numFmtId="0" fontId="39" fillId="0" borderId="0" xfId="56" applyFont="1" applyBorder="1" applyAlignment="1">
      <alignment horizontal="center"/>
      <protection/>
    </xf>
    <xf numFmtId="1" fontId="39" fillId="0" borderId="0" xfId="56" applyNumberFormat="1" applyFont="1" applyBorder="1" applyAlignment="1">
      <alignment horizontal="center"/>
      <protection/>
    </xf>
    <xf numFmtId="0" fontId="39" fillId="0" borderId="21" xfId="56" applyFont="1" applyBorder="1" applyAlignment="1">
      <alignment horizontal="center"/>
      <protection/>
    </xf>
    <xf numFmtId="1" fontId="18" fillId="0" borderId="0" xfId="56" applyNumberFormat="1" applyAlignment="1">
      <alignment horizontal="center"/>
      <protection/>
    </xf>
    <xf numFmtId="0" fontId="22" fillId="5" borderId="10" xfId="56" applyFont="1" applyFill="1" applyBorder="1" applyAlignment="1">
      <alignment horizontal="center"/>
      <protection/>
    </xf>
    <xf numFmtId="1" fontId="22" fillId="5" borderId="10" xfId="56" applyNumberFormat="1" applyFont="1" applyFill="1" applyBorder="1" applyAlignment="1">
      <alignment horizont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 wrapText="1"/>
      <protection/>
    </xf>
    <xf numFmtId="1" fontId="1" fillId="0" borderId="10" xfId="56" applyNumberFormat="1" applyFont="1" applyBorder="1" applyAlignment="1">
      <alignment horizontal="center" vertical="center" wrapText="1"/>
      <protection/>
    </xf>
    <xf numFmtId="1" fontId="1" fillId="0" borderId="11" xfId="56" applyNumberFormat="1" applyFont="1" applyFill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37" fillId="0" borderId="10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horizontal="center" vertical="center" wrapText="1"/>
      <protection/>
    </xf>
    <xf numFmtId="1" fontId="37" fillId="0" borderId="10" xfId="56" applyNumberFormat="1" applyFont="1" applyBorder="1" applyAlignment="1">
      <alignment horizontal="center" vertical="center" wrapText="1"/>
      <protection/>
    </xf>
    <xf numFmtId="49" fontId="37" fillId="0" borderId="10" xfId="56" applyNumberFormat="1" applyFont="1" applyBorder="1" applyAlignment="1">
      <alignment horizontal="center" vertical="center" wrapText="1"/>
      <protection/>
    </xf>
    <xf numFmtId="0" fontId="37" fillId="0" borderId="11" xfId="56" applyFont="1" applyBorder="1" applyAlignment="1">
      <alignment horizontal="center" vertical="center" wrapText="1"/>
      <protection/>
    </xf>
    <xf numFmtId="0" fontId="37" fillId="0" borderId="11" xfId="56" applyFont="1" applyFill="1" applyBorder="1" applyAlignment="1">
      <alignment horizontal="center" vertical="center" wrapText="1"/>
      <protection/>
    </xf>
    <xf numFmtId="0" fontId="40" fillId="0" borderId="0" xfId="56" applyFont="1" applyAlignment="1">
      <alignment horizontal="center"/>
      <protection/>
    </xf>
    <xf numFmtId="0" fontId="8" fillId="3" borderId="10" xfId="56" applyFont="1" applyFill="1" applyBorder="1" applyAlignment="1">
      <alignment horizontal="center" vertical="center"/>
      <protection/>
    </xf>
    <xf numFmtId="1" fontId="8" fillId="3" borderId="10" xfId="56" applyNumberFormat="1" applyFont="1" applyFill="1" applyBorder="1" applyAlignment="1">
      <alignment horizontal="center" vertical="center"/>
      <protection/>
    </xf>
    <xf numFmtId="3" fontId="8" fillId="3" borderId="10" xfId="56" applyNumberFormat="1" applyFont="1" applyFill="1" applyBorder="1" applyAlignment="1">
      <alignment horizontal="center" vertical="center"/>
      <protection/>
    </xf>
    <xf numFmtId="3" fontId="25" fillId="3" borderId="10" xfId="56" applyNumberFormat="1" applyFont="1" applyFill="1" applyBorder="1" applyAlignment="1">
      <alignment horizontal="center" vertical="center" wrapText="1"/>
      <protection/>
    </xf>
    <xf numFmtId="3" fontId="8" fillId="3" borderId="11" xfId="0" applyNumberFormat="1" applyFont="1" applyFill="1" applyBorder="1" applyAlignment="1">
      <alignment horizontal="center" vertical="center"/>
    </xf>
    <xf numFmtId="0" fontId="41" fillId="0" borderId="0" xfId="56" applyFont="1">
      <alignment/>
      <protection/>
    </xf>
    <xf numFmtId="0" fontId="1" fillId="24" borderId="10" xfId="56" applyFont="1" applyFill="1" applyBorder="1" applyAlignment="1">
      <alignment horizontal="center" vertical="center"/>
      <protection/>
    </xf>
    <xf numFmtId="0" fontId="1" fillId="24" borderId="10" xfId="56" applyFont="1" applyFill="1" applyBorder="1" applyAlignment="1">
      <alignment horizontal="justify" vertical="center" wrapText="1"/>
      <protection/>
    </xf>
    <xf numFmtId="0" fontId="1" fillId="25" borderId="10" xfId="56" applyFont="1" applyFill="1" applyBorder="1" applyAlignment="1">
      <alignment horizontal="justify" vertical="center" wrapText="1"/>
      <protection/>
    </xf>
    <xf numFmtId="0" fontId="23" fillId="0" borderId="10" xfId="56" applyFont="1" applyBorder="1" applyAlignment="1">
      <alignment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173" fontId="1" fillId="24" borderId="10" xfId="56" applyNumberFormat="1" applyFont="1" applyFill="1" applyBorder="1" applyAlignment="1">
      <alignment horizontal="center" vertical="center"/>
      <protection/>
    </xf>
    <xf numFmtId="3" fontId="1" fillId="24" borderId="10" xfId="56" applyNumberFormat="1" applyFont="1" applyFill="1" applyBorder="1" applyAlignment="1">
      <alignment horizontal="center" vertical="center"/>
      <protection/>
    </xf>
    <xf numFmtId="10" fontId="1" fillId="24" borderId="10" xfId="56" applyNumberFormat="1" applyFont="1" applyFill="1" applyBorder="1" applyAlignment="1">
      <alignment horizontal="center" vertical="center"/>
      <protection/>
    </xf>
    <xf numFmtId="3" fontId="23" fillId="24" borderId="10" xfId="56" applyNumberFormat="1" applyFont="1" applyFill="1" applyBorder="1" applyAlignment="1">
      <alignment horizontal="center" vertical="center"/>
      <protection/>
    </xf>
    <xf numFmtId="10" fontId="18" fillId="0" borderId="10" xfId="56" applyNumberFormat="1" applyBorder="1">
      <alignment/>
      <protection/>
    </xf>
    <xf numFmtId="1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0" fillId="0" borderId="11" xfId="0" applyBorder="1" applyAlignment="1">
      <alignment/>
    </xf>
    <xf numFmtId="3" fontId="42" fillId="0" borderId="10" xfId="56" applyNumberFormat="1" applyFont="1" applyBorder="1" applyAlignment="1">
      <alignment horizontal="center"/>
      <protection/>
    </xf>
    <xf numFmtId="0" fontId="23" fillId="24" borderId="10" xfId="56" applyFont="1" applyFill="1" applyBorder="1" applyAlignment="1">
      <alignment horizontal="justify" vertical="center" wrapText="1"/>
      <protection/>
    </xf>
    <xf numFmtId="0" fontId="23" fillId="25" borderId="10" xfId="56" applyFont="1" applyFill="1" applyBorder="1" applyAlignment="1">
      <alignment horizontal="justify" vertical="center" wrapText="1"/>
      <protection/>
    </xf>
    <xf numFmtId="0" fontId="23" fillId="24" borderId="10" xfId="56" applyFont="1" applyFill="1" applyBorder="1" applyAlignment="1">
      <alignment horizontal="center" vertical="center"/>
      <protection/>
    </xf>
    <xf numFmtId="10" fontId="8" fillId="3" borderId="10" xfId="56" applyNumberFormat="1" applyFont="1" applyFill="1" applyBorder="1" applyAlignment="1">
      <alignment horizontal="center" vertical="center"/>
      <protection/>
    </xf>
    <xf numFmtId="10" fontId="25" fillId="3" borderId="10" xfId="56" applyNumberFormat="1" applyFont="1" applyFill="1" applyBorder="1" applyAlignment="1">
      <alignment horizontal="center" vertical="center" wrapText="1"/>
      <protection/>
    </xf>
    <xf numFmtId="0" fontId="23" fillId="24" borderId="10" xfId="56" applyFont="1" applyFill="1" applyBorder="1" applyAlignment="1">
      <alignment horizontal="left" vertical="center" wrapText="1"/>
      <protection/>
    </xf>
    <xf numFmtId="0" fontId="18" fillId="0" borderId="10" xfId="56" applyFont="1" applyBorder="1">
      <alignment/>
      <protection/>
    </xf>
    <xf numFmtId="0" fontId="18" fillId="0" borderId="11" xfId="0" applyFont="1" applyBorder="1" applyAlignment="1">
      <alignment/>
    </xf>
    <xf numFmtId="0" fontId="18" fillId="0" borderId="0" xfId="56" applyFont="1">
      <alignment/>
      <protection/>
    </xf>
    <xf numFmtId="0" fontId="18" fillId="24" borderId="10" xfId="56" applyFont="1" applyFill="1" applyBorder="1">
      <alignment/>
      <protection/>
    </xf>
    <xf numFmtId="0" fontId="18" fillId="24" borderId="11" xfId="0" applyFont="1" applyFill="1" applyBorder="1" applyAlignment="1">
      <alignment/>
    </xf>
    <xf numFmtId="0" fontId="18" fillId="24" borderId="0" xfId="56" applyFont="1" applyFill="1">
      <alignment/>
      <protection/>
    </xf>
    <xf numFmtId="0" fontId="41" fillId="24" borderId="0" xfId="56" applyFont="1" applyFill="1">
      <alignment/>
      <protection/>
    </xf>
    <xf numFmtId="0" fontId="25" fillId="3" borderId="10" xfId="56" applyFont="1" applyFill="1" applyBorder="1" applyAlignment="1">
      <alignment horizontal="center" vertical="center" wrapText="1"/>
      <protection/>
    </xf>
    <xf numFmtId="0" fontId="23" fillId="24" borderId="10" xfId="56" applyFont="1" applyFill="1" applyBorder="1" applyAlignment="1">
      <alignment horizontal="center" vertical="center" wrapText="1"/>
      <protection/>
    </xf>
    <xf numFmtId="0" fontId="0" fillId="24" borderId="11" xfId="0" applyFill="1" applyBorder="1" applyAlignment="1">
      <alignment/>
    </xf>
    <xf numFmtId="0" fontId="18" fillId="24" borderId="0" xfId="56" applyFill="1">
      <alignment/>
      <protection/>
    </xf>
    <xf numFmtId="0" fontId="18" fillId="24" borderId="10" xfId="56" applyFill="1" applyBorder="1">
      <alignment/>
      <protection/>
    </xf>
    <xf numFmtId="0" fontId="25" fillId="3" borderId="13" xfId="56" applyFont="1" applyFill="1" applyBorder="1" applyAlignment="1">
      <alignment horizontal="center" vertical="center" wrapText="1"/>
      <protection/>
    </xf>
    <xf numFmtId="0" fontId="25" fillId="3" borderId="12" xfId="56" applyFont="1" applyFill="1" applyBorder="1" applyAlignment="1">
      <alignment horizontal="center" vertical="center" wrapText="1"/>
      <protection/>
    </xf>
    <xf numFmtId="1" fontId="25" fillId="3" borderId="12" xfId="56" applyNumberFormat="1" applyFont="1" applyFill="1" applyBorder="1" applyAlignment="1">
      <alignment horizontal="center" vertical="center" wrapText="1"/>
      <protection/>
    </xf>
    <xf numFmtId="4" fontId="1" fillId="24" borderId="10" xfId="56" applyNumberFormat="1" applyFont="1" applyFill="1" applyBorder="1" applyAlignment="1">
      <alignment horizontal="center" vertical="center"/>
      <protection/>
    </xf>
    <xf numFmtId="0" fontId="41" fillId="24" borderId="12" xfId="56" applyFont="1" applyFill="1" applyBorder="1">
      <alignment/>
      <protection/>
    </xf>
    <xf numFmtId="0" fontId="41" fillId="24" borderId="11" xfId="0" applyFont="1" applyFill="1" applyBorder="1" applyAlignment="1">
      <alignment/>
    </xf>
    <xf numFmtId="0" fontId="41" fillId="24" borderId="10" xfId="56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1" fillId="24" borderId="10" xfId="56" applyFont="1" applyFill="1" applyBorder="1" applyAlignment="1">
      <alignment vertical="center"/>
      <protection/>
    </xf>
    <xf numFmtId="0" fontId="1" fillId="24" borderId="10" xfId="56" applyFont="1" applyFill="1" applyBorder="1" applyAlignment="1">
      <alignment horizontal="center" vertical="center" wrapText="1"/>
      <protection/>
    </xf>
    <xf numFmtId="1" fontId="1" fillId="24" borderId="10" xfId="56" applyNumberFormat="1" applyFont="1" applyFill="1" applyBorder="1" applyAlignment="1">
      <alignment horizontal="center" vertical="center"/>
      <protection/>
    </xf>
    <xf numFmtId="0" fontId="18" fillId="24" borderId="10" xfId="56" applyFill="1" applyBorder="1" applyAlignment="1">
      <alignment horizontal="center"/>
      <protection/>
    </xf>
    <xf numFmtId="3" fontId="25" fillId="3" borderId="11" xfId="0" applyNumberFormat="1" applyFont="1" applyFill="1" applyBorder="1" applyAlignment="1">
      <alignment horizontal="center" vertical="center" wrapText="1"/>
    </xf>
    <xf numFmtId="1" fontId="18" fillId="0" borderId="0" xfId="56" applyNumberFormat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wrapText="1"/>
      <protection/>
    </xf>
    <xf numFmtId="0" fontId="4" fillId="0" borderId="0" xfId="56" applyFont="1" applyBorder="1">
      <alignment/>
      <protection/>
    </xf>
    <xf numFmtId="0" fontId="4" fillId="0" borderId="0" xfId="56" applyFont="1">
      <alignment/>
      <protection/>
    </xf>
    <xf numFmtId="1" fontId="4" fillId="0" borderId="0" xfId="56" applyNumberFormat="1" applyFont="1">
      <alignment/>
      <protection/>
    </xf>
    <xf numFmtId="0" fontId="43" fillId="0" borderId="0" xfId="56" applyFont="1">
      <alignment/>
      <protection/>
    </xf>
    <xf numFmtId="1" fontId="43" fillId="0" borderId="0" xfId="56" applyNumberFormat="1" applyFont="1" applyAlignment="1">
      <alignment horizontal="center"/>
      <protection/>
    </xf>
    <xf numFmtId="0" fontId="43" fillId="0" borderId="0" xfId="56" applyFont="1" applyAlignment="1">
      <alignment horizontal="center"/>
      <protection/>
    </xf>
    <xf numFmtId="0" fontId="1" fillId="0" borderId="0" xfId="56" applyFont="1" applyBorder="1" applyAlignment="1">
      <alignment horizontal="center"/>
      <protection/>
    </xf>
    <xf numFmtId="0" fontId="1" fillId="0" borderId="0" xfId="56" applyFont="1" applyBorder="1" applyAlignment="1">
      <alignment wrapText="1"/>
      <protection/>
    </xf>
    <xf numFmtId="0" fontId="1" fillId="0" borderId="0" xfId="56" applyFont="1" applyBorder="1">
      <alignment/>
      <protection/>
    </xf>
    <xf numFmtId="3" fontId="1" fillId="0" borderId="0" xfId="56" applyNumberFormat="1" applyFont="1">
      <alignment/>
      <protection/>
    </xf>
    <xf numFmtId="0" fontId="1" fillId="0" borderId="0" xfId="56" applyFont="1">
      <alignment/>
      <protection/>
    </xf>
    <xf numFmtId="1" fontId="1" fillId="0" borderId="0" xfId="56" applyNumberFormat="1" applyFont="1">
      <alignment/>
      <protection/>
    </xf>
    <xf numFmtId="0" fontId="46" fillId="0" borderId="0" xfId="0" applyFont="1" applyAlignment="1">
      <alignment/>
    </xf>
    <xf numFmtId="164" fontId="60" fillId="0" borderId="14" xfId="0" applyNumberFormat="1" applyFont="1" applyBorder="1" applyAlignment="1">
      <alignment horizontal="center"/>
    </xf>
    <xf numFmtId="164" fontId="60" fillId="0" borderId="10" xfId="0" applyNumberFormat="1" applyFont="1" applyBorder="1" applyAlignment="1">
      <alignment horizontal="center"/>
    </xf>
    <xf numFmtId="164" fontId="61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62" fillId="0" borderId="10" xfId="0" applyNumberFormat="1" applyFont="1" applyBorder="1" applyAlignment="1">
      <alignment horizontal="center"/>
    </xf>
    <xf numFmtId="0" fontId="21" fillId="0" borderId="0" xfId="0" applyNumberFormat="1" applyFont="1" applyAlignment="1">
      <alignment/>
    </xf>
    <xf numFmtId="164" fontId="63" fillId="0" borderId="10" xfId="0" applyNumberFormat="1" applyFont="1" applyBorder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0" fontId="36" fillId="20" borderId="0" xfId="0" applyFont="1" applyFill="1" applyAlignment="1">
      <alignment horizontal="center"/>
    </xf>
    <xf numFmtId="49" fontId="8" fillId="20" borderId="10" xfId="0" applyNumberFormat="1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left" wrapText="1"/>
    </xf>
    <xf numFmtId="164" fontId="8" fillId="20" borderId="10" xfId="0" applyNumberFormat="1" applyFont="1" applyFill="1" applyBorder="1" applyAlignment="1">
      <alignment horizontal="center"/>
    </xf>
    <xf numFmtId="0" fontId="2" fillId="20" borderId="0" xfId="0" applyFont="1" applyFill="1" applyAlignment="1">
      <alignment/>
    </xf>
    <xf numFmtId="0" fontId="59" fillId="20" borderId="0" xfId="0" applyFont="1" applyFill="1" applyBorder="1" applyAlignment="1">
      <alignment horizontal="center"/>
    </xf>
    <xf numFmtId="0" fontId="25" fillId="20" borderId="10" xfId="0" applyFont="1" applyFill="1" applyBorder="1" applyAlignment="1">
      <alignment vertical="center" wrapText="1"/>
    </xf>
    <xf numFmtId="164" fontId="25" fillId="20" borderId="10" xfId="0" applyNumberFormat="1" applyFont="1" applyFill="1" applyBorder="1" applyAlignment="1">
      <alignment horizontal="center"/>
    </xf>
    <xf numFmtId="164" fontId="23" fillId="20" borderId="10" xfId="0" applyNumberFormat="1" applyFont="1" applyFill="1" applyBorder="1" applyAlignment="1">
      <alignment horizontal="center"/>
    </xf>
    <xf numFmtId="0" fontId="59" fillId="20" borderId="0" xfId="0" applyFont="1" applyFill="1" applyAlignment="1">
      <alignment horizontal="center"/>
    </xf>
    <xf numFmtId="0" fontId="8" fillId="20" borderId="13" xfId="0" applyFont="1" applyFill="1" applyBorder="1" applyAlignment="1">
      <alignment vertical="center" wrapText="1"/>
    </xf>
    <xf numFmtId="164" fontId="1" fillId="20" borderId="10" xfId="0" applyNumberFormat="1" applyFont="1" applyFill="1" applyBorder="1" applyAlignment="1">
      <alignment horizontal="center"/>
    </xf>
    <xf numFmtId="0" fontId="14" fillId="0" borderId="0" xfId="57">
      <alignment/>
      <protection/>
    </xf>
    <xf numFmtId="0" fontId="49" fillId="24" borderId="0" xfId="57" applyFont="1" applyFill="1">
      <alignment/>
      <protection/>
    </xf>
    <xf numFmtId="0" fontId="48" fillId="24" borderId="0" xfId="57" applyFont="1" applyFill="1" applyBorder="1">
      <alignment/>
      <protection/>
    </xf>
    <xf numFmtId="0" fontId="14" fillId="24" borderId="0" xfId="57" applyFill="1" applyBorder="1">
      <alignment/>
      <protection/>
    </xf>
    <xf numFmtId="0" fontId="50" fillId="0" borderId="0" xfId="57" applyFont="1">
      <alignment/>
      <protection/>
    </xf>
    <xf numFmtId="0" fontId="15" fillId="0" borderId="0" xfId="57" applyFont="1">
      <alignment/>
      <protection/>
    </xf>
    <xf numFmtId="0" fontId="15" fillId="24" borderId="0" xfId="57" applyFont="1" applyFill="1" applyBorder="1">
      <alignment/>
      <protection/>
    </xf>
    <xf numFmtId="0" fontId="51" fillId="0" borderId="0" xfId="57" applyFont="1" applyAlignment="1">
      <alignment horizontal="left"/>
      <protection/>
    </xf>
    <xf numFmtId="0" fontId="6" fillId="24" borderId="0" xfId="57" applyFont="1" applyFill="1" applyBorder="1" applyAlignment="1">
      <alignment horizontal="left"/>
      <protection/>
    </xf>
    <xf numFmtId="0" fontId="6" fillId="0" borderId="0" xfId="57" applyFont="1" applyAlignment="1">
      <alignment horizontal="left"/>
      <protection/>
    </xf>
    <xf numFmtId="0" fontId="8" fillId="24" borderId="0" xfId="57" applyFont="1" applyFill="1" applyBorder="1" applyAlignment="1">
      <alignment horizontal="center" vertical="top" wrapText="1"/>
      <protection/>
    </xf>
    <xf numFmtId="0" fontId="8" fillId="0" borderId="0" xfId="57" applyFont="1" applyFill="1" applyBorder="1" applyAlignment="1">
      <alignment horizontal="center" vertical="top" wrapText="1"/>
      <protection/>
    </xf>
    <xf numFmtId="0" fontId="52" fillId="0" borderId="0" xfId="57" applyFont="1" applyFill="1" applyBorder="1" applyAlignment="1">
      <alignment horizontal="left"/>
      <protection/>
    </xf>
    <xf numFmtId="0" fontId="14" fillId="0" borderId="0" xfId="57" applyFill="1">
      <alignment/>
      <protection/>
    </xf>
    <xf numFmtId="0" fontId="50" fillId="0" borderId="22" xfId="57" applyFont="1" applyFill="1" applyBorder="1">
      <alignment/>
      <protection/>
    </xf>
    <xf numFmtId="0" fontId="50" fillId="0" borderId="23" xfId="57" applyFont="1" applyFill="1" applyBorder="1">
      <alignment/>
      <protection/>
    </xf>
    <xf numFmtId="0" fontId="14" fillId="0" borderId="24" xfId="57" applyFont="1" applyFill="1" applyBorder="1">
      <alignment/>
      <protection/>
    </xf>
    <xf numFmtId="0" fontId="50" fillId="0" borderId="25" xfId="57" applyFont="1" applyFill="1" applyBorder="1" applyAlignment="1">
      <alignment horizontal="center"/>
      <protection/>
    </xf>
    <xf numFmtId="0" fontId="50" fillId="0" borderId="26" xfId="57" applyFont="1" applyFill="1" applyBorder="1" applyAlignment="1">
      <alignment horizontal="center"/>
      <protection/>
    </xf>
    <xf numFmtId="0" fontId="17" fillId="0" borderId="27" xfId="57" applyFont="1" applyFill="1" applyBorder="1" applyAlignment="1">
      <alignment horizontal="center"/>
      <protection/>
    </xf>
    <xf numFmtId="0" fontId="16" fillId="0" borderId="27" xfId="57" applyFont="1" applyFill="1" applyBorder="1" applyAlignment="1">
      <alignment horizontal="center"/>
      <protection/>
    </xf>
    <xf numFmtId="0" fontId="16" fillId="0" borderId="28" xfId="57" applyFont="1" applyFill="1" applyBorder="1" applyAlignment="1">
      <alignment horizontal="center"/>
      <protection/>
    </xf>
    <xf numFmtId="0" fontId="17" fillId="0" borderId="29" xfId="57" applyFont="1" applyFill="1" applyBorder="1" applyAlignment="1">
      <alignment horizontal="center"/>
      <protection/>
    </xf>
    <xf numFmtId="0" fontId="17" fillId="0" borderId="30" xfId="57" applyFont="1" applyFill="1" applyBorder="1" applyAlignment="1">
      <alignment horizontal="center"/>
      <protection/>
    </xf>
    <xf numFmtId="0" fontId="16" fillId="0" borderId="30" xfId="57" applyFont="1" applyFill="1" applyBorder="1" applyAlignment="1">
      <alignment horizontal="center"/>
      <protection/>
    </xf>
    <xf numFmtId="0" fontId="16" fillId="0" borderId="31" xfId="57" applyFont="1" applyFill="1" applyBorder="1" applyAlignment="1">
      <alignment horizontal="center"/>
      <protection/>
    </xf>
    <xf numFmtId="0" fontId="16" fillId="0" borderId="29" xfId="57" applyFont="1" applyFill="1" applyBorder="1" applyAlignment="1">
      <alignment horizontal="center"/>
      <protection/>
    </xf>
    <xf numFmtId="0" fontId="16" fillId="0" borderId="32" xfId="57" applyFont="1" applyFill="1" applyBorder="1" applyAlignment="1">
      <alignment horizontal="center"/>
      <protection/>
    </xf>
    <xf numFmtId="0" fontId="14" fillId="0" borderId="0" xfId="57" applyAlignment="1">
      <alignment horizontal="center"/>
      <protection/>
    </xf>
    <xf numFmtId="0" fontId="14" fillId="24" borderId="0" xfId="57" applyFill="1" applyBorder="1" applyAlignment="1">
      <alignment horizontal="center"/>
      <protection/>
    </xf>
    <xf numFmtId="0" fontId="17" fillId="24" borderId="0" xfId="57" applyFont="1" applyFill="1" applyBorder="1">
      <alignment/>
      <protection/>
    </xf>
    <xf numFmtId="0" fontId="17" fillId="0" borderId="33" xfId="57" applyFont="1" applyFill="1" applyBorder="1" applyAlignment="1">
      <alignment horizontal="center"/>
      <protection/>
    </xf>
    <xf numFmtId="0" fontId="16" fillId="0" borderId="33" xfId="57" applyFont="1" applyFill="1" applyBorder="1" applyAlignment="1">
      <alignment horizontal="center"/>
      <protection/>
    </xf>
    <xf numFmtId="0" fontId="16" fillId="0" borderId="34" xfId="57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164" fontId="8" fillId="0" borderId="11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3" fillId="0" borderId="10" xfId="0" applyFont="1" applyFill="1" applyBorder="1" applyAlignment="1">
      <alignment horizontal="left" wrapText="1" indent="1"/>
    </xf>
    <xf numFmtId="49" fontId="2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1" fillId="0" borderId="0" xfId="56" applyFont="1" applyAlignment="1">
      <alignment/>
      <protection/>
    </xf>
    <xf numFmtId="0" fontId="18" fillId="0" borderId="0" xfId="56" applyAlignment="1">
      <alignment horizontal="center" vertical="center"/>
      <protection/>
    </xf>
    <xf numFmtId="0" fontId="53" fillId="0" borderId="0" xfId="56" applyFont="1" applyAlignment="1">
      <alignment horizontal="center" wrapText="1"/>
      <protection/>
    </xf>
    <xf numFmtId="0" fontId="18" fillId="0" borderId="0" xfId="56" applyBorder="1">
      <alignment/>
      <protection/>
    </xf>
    <xf numFmtId="49" fontId="4" fillId="0" borderId="0" xfId="0" applyNumberFormat="1" applyFont="1" applyBorder="1" applyAlignment="1">
      <alignment vertical="top" wrapText="1"/>
    </xf>
    <xf numFmtId="0" fontId="18" fillId="0" borderId="10" xfId="56" applyBorder="1" applyAlignment="1">
      <alignment horizontal="center" vertical="center" wrapText="1"/>
      <protection/>
    </xf>
    <xf numFmtId="0" fontId="18" fillId="0" borderId="10" xfId="56" applyBorder="1" applyAlignment="1">
      <alignment horizontal="center" vertical="center"/>
      <protection/>
    </xf>
    <xf numFmtId="0" fontId="18" fillId="0" borderId="10" xfId="56" applyBorder="1" applyAlignment="1">
      <alignment wrapText="1"/>
      <protection/>
    </xf>
    <xf numFmtId="49" fontId="4" fillId="0" borderId="10" xfId="0" applyNumberFormat="1" applyFont="1" applyBorder="1" applyAlignment="1">
      <alignment vertical="top" wrapText="1"/>
    </xf>
    <xf numFmtId="0" fontId="18" fillId="0" borderId="10" xfId="56" applyBorder="1" applyAlignment="1">
      <alignment horizontal="center"/>
      <protection/>
    </xf>
    <xf numFmtId="0" fontId="4" fillId="0" borderId="0" xfId="0" applyNumberFormat="1" applyFont="1" applyBorder="1" applyAlignment="1">
      <alignment horizontal="center" vertical="top" wrapText="1"/>
    </xf>
    <xf numFmtId="0" fontId="18" fillId="0" borderId="0" xfId="56" applyBorder="1" applyAlignment="1">
      <alignment horizontal="center"/>
      <protection/>
    </xf>
    <xf numFmtId="49" fontId="18" fillId="0" borderId="0" xfId="56" applyNumberFormat="1" applyBorder="1" applyAlignment="1">
      <alignment horizontal="center"/>
      <protection/>
    </xf>
    <xf numFmtId="0" fontId="18" fillId="0" borderId="0" xfId="56" applyBorder="1" applyAlignment="1">
      <alignment horizontal="center" vertical="center"/>
      <protection/>
    </xf>
    <xf numFmtId="0" fontId="4" fillId="0" borderId="13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2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vertical="top" wrapText="1"/>
    </xf>
    <xf numFmtId="0" fontId="65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top" wrapText="1"/>
    </xf>
    <xf numFmtId="0" fontId="55" fillId="0" borderId="0" xfId="0" applyNumberFormat="1" applyFont="1" applyBorder="1" applyAlignment="1">
      <alignment/>
    </xf>
    <xf numFmtId="0" fontId="55" fillId="0" borderId="0" xfId="0" applyNumberFormat="1" applyFont="1" applyBorder="1" applyAlignment="1">
      <alignment vertical="top" wrapText="1"/>
    </xf>
    <xf numFmtId="0" fontId="2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12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right" vertical="top"/>
    </xf>
    <xf numFmtId="0" fontId="66" fillId="24" borderId="0" xfId="57" applyFont="1" applyFill="1" applyBorder="1">
      <alignment/>
      <protection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25" fillId="0" borderId="10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171" fontId="23" fillId="0" borderId="10" xfId="0" applyNumberFormat="1" applyFont="1" applyBorder="1" applyAlignment="1">
      <alignment horizontal="center"/>
    </xf>
    <xf numFmtId="171" fontId="25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63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0" fillId="24" borderId="0" xfId="0" applyFill="1" applyAlignment="1">
      <alignment/>
    </xf>
    <xf numFmtId="0" fontId="88" fillId="0" borderId="0" xfId="57" applyFont="1">
      <alignment/>
      <protection/>
    </xf>
    <xf numFmtId="0" fontId="47" fillId="0" borderId="0" xfId="0" applyFont="1" applyAlignment="1">
      <alignment/>
    </xf>
    <xf numFmtId="0" fontId="89" fillId="0" borderId="0" xfId="0" applyFont="1" applyAlignment="1">
      <alignment horizontal="left"/>
    </xf>
    <xf numFmtId="0" fontId="90" fillId="0" borderId="0" xfId="0" applyFont="1" applyAlignment="1">
      <alignment horizontal="right"/>
    </xf>
    <xf numFmtId="0" fontId="90" fillId="0" borderId="0" xfId="0" applyFont="1" applyAlignment="1">
      <alignment horizontal="left"/>
    </xf>
    <xf numFmtId="0" fontId="14" fillId="0" borderId="0" xfId="60">
      <alignment/>
      <protection/>
    </xf>
    <xf numFmtId="0" fontId="17" fillId="0" borderId="37" xfId="57" applyFont="1" applyFill="1" applyBorder="1" applyAlignment="1">
      <alignment horizontal="center"/>
      <protection/>
    </xf>
    <xf numFmtId="0" fontId="16" fillId="0" borderId="37" xfId="57" applyFont="1" applyFill="1" applyBorder="1" applyAlignment="1">
      <alignment horizontal="center"/>
      <protection/>
    </xf>
    <xf numFmtId="0" fontId="16" fillId="0" borderId="38" xfId="57" applyFont="1" applyFill="1" applyBorder="1" applyAlignment="1">
      <alignment horizontal="center"/>
      <protection/>
    </xf>
    <xf numFmtId="0" fontId="16" fillId="0" borderId="39" xfId="61" applyFont="1" applyFill="1" applyBorder="1">
      <alignment/>
      <protection/>
    </xf>
    <xf numFmtId="0" fontId="14" fillId="0" borderId="40" xfId="61" applyFill="1" applyBorder="1">
      <alignment/>
      <protection/>
    </xf>
    <xf numFmtId="0" fontId="14" fillId="0" borderId="41" xfId="61" applyFill="1" applyBorder="1">
      <alignment/>
      <protection/>
    </xf>
    <xf numFmtId="0" fontId="17" fillId="25" borderId="22" xfId="61" applyFont="1" applyFill="1" applyBorder="1">
      <alignment/>
      <protection/>
    </xf>
    <xf numFmtId="0" fontId="91" fillId="25" borderId="25" xfId="61" applyFont="1" applyFill="1" applyBorder="1">
      <alignment/>
      <protection/>
    </xf>
    <xf numFmtId="0" fontId="17" fillId="25" borderId="23" xfId="61" applyFont="1" applyFill="1" applyBorder="1">
      <alignment/>
      <protection/>
    </xf>
    <xf numFmtId="0" fontId="14" fillId="0" borderId="42" xfId="61" applyFill="1" applyBorder="1">
      <alignment/>
      <protection/>
    </xf>
    <xf numFmtId="0" fontId="17" fillId="0" borderId="31" xfId="61" applyFont="1" applyFill="1" applyBorder="1" applyAlignment="1">
      <alignment horizontal="center"/>
      <protection/>
    </xf>
    <xf numFmtId="0" fontId="16" fillId="0" borderId="30" xfId="61" applyFont="1" applyFill="1" applyBorder="1" applyAlignment="1">
      <alignment horizontal="center"/>
      <protection/>
    </xf>
    <xf numFmtId="0" fontId="16" fillId="0" borderId="31" xfId="61" applyFont="1" applyFill="1" applyBorder="1" applyAlignment="1">
      <alignment horizontal="center"/>
      <protection/>
    </xf>
    <xf numFmtId="0" fontId="14" fillId="0" borderId="0" xfId="60" applyFont="1" applyFill="1">
      <alignment/>
      <protection/>
    </xf>
    <xf numFmtId="0" fontId="16" fillId="25" borderId="22" xfId="57" applyFont="1" applyFill="1" applyBorder="1" applyAlignment="1">
      <alignment horizontal="center"/>
      <protection/>
    </xf>
    <xf numFmtId="0" fontId="91" fillId="25" borderId="24" xfId="61" applyFont="1" applyFill="1" applyBorder="1" applyAlignment="1">
      <alignment horizontal="left"/>
      <protection/>
    </xf>
    <xf numFmtId="164" fontId="92" fillId="0" borderId="10" xfId="0" applyNumberFormat="1" applyFont="1" applyBorder="1" applyAlignment="1">
      <alignment horizontal="center"/>
    </xf>
    <xf numFmtId="164" fontId="92" fillId="0" borderId="10" xfId="0" applyNumberFormat="1" applyFont="1" applyFill="1" applyBorder="1" applyAlignment="1">
      <alignment horizontal="center"/>
    </xf>
    <xf numFmtId="164" fontId="93" fillId="0" borderId="14" xfId="0" applyNumberFormat="1" applyFont="1" applyFill="1" applyBorder="1" applyAlignment="1">
      <alignment/>
    </xf>
    <xf numFmtId="164" fontId="93" fillId="0" borderId="15" xfId="0" applyNumberFormat="1" applyFont="1" applyFill="1" applyBorder="1" applyAlignment="1">
      <alignment/>
    </xf>
    <xf numFmtId="164" fontId="93" fillId="0" borderId="10" xfId="0" applyNumberFormat="1" applyFont="1" applyBorder="1" applyAlignment="1">
      <alignment horizontal="center"/>
    </xf>
    <xf numFmtId="164" fontId="93" fillId="0" borderId="10" xfId="0" applyNumberFormat="1" applyFont="1" applyFill="1" applyBorder="1" applyAlignment="1">
      <alignment horizontal="center"/>
    </xf>
    <xf numFmtId="164" fontId="93" fillId="0" borderId="14" xfId="0" applyNumberFormat="1" applyFont="1" applyFill="1" applyBorder="1" applyAlignment="1">
      <alignment horizontal="center"/>
    </xf>
    <xf numFmtId="164" fontId="93" fillId="0" borderId="15" xfId="0" applyNumberFormat="1" applyFont="1" applyFill="1" applyBorder="1" applyAlignment="1">
      <alignment horizontal="center"/>
    </xf>
    <xf numFmtId="165" fontId="93" fillId="0" borderId="10" xfId="0" applyNumberFormat="1" applyFont="1" applyFill="1" applyBorder="1" applyAlignment="1">
      <alignment horizontal="center"/>
    </xf>
    <xf numFmtId="164" fontId="92" fillId="2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93" fillId="20" borderId="10" xfId="0" applyNumberFormat="1" applyFont="1" applyFill="1" applyBorder="1" applyAlignment="1">
      <alignment horizontal="center"/>
    </xf>
    <xf numFmtId="49" fontId="25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wrapText="1"/>
    </xf>
    <xf numFmtId="0" fontId="23" fillId="0" borderId="15" xfId="0" applyFont="1" applyBorder="1" applyAlignment="1">
      <alignment horizontal="center"/>
    </xf>
    <xf numFmtId="49" fontId="23" fillId="0" borderId="43" xfId="0" applyNumberFormat="1" applyFont="1" applyBorder="1" applyAlignment="1">
      <alignment horizontal="center" vertical="center"/>
    </xf>
    <xf numFmtId="0" fontId="23" fillId="0" borderId="43" xfId="0" applyFont="1" applyBorder="1" applyAlignment="1">
      <alignment horizontal="left" wrapText="1" indent="1"/>
    </xf>
    <xf numFmtId="0" fontId="23" fillId="0" borderId="43" xfId="0" applyFont="1" applyBorder="1" applyAlignment="1">
      <alignment horizontal="center"/>
    </xf>
    <xf numFmtId="164" fontId="23" fillId="0" borderId="43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vertical="center"/>
    </xf>
    <xf numFmtId="0" fontId="87" fillId="0" borderId="35" xfId="72" applyFont="1" applyFill="1" applyBorder="1">
      <alignment/>
      <protection/>
    </xf>
    <xf numFmtId="16" fontId="69" fillId="0" borderId="0" xfId="0" applyNumberFormat="1" applyFont="1" applyFill="1" applyAlignment="1">
      <alignment horizontal="center"/>
    </xf>
    <xf numFmtId="0" fontId="87" fillId="0" borderId="10" xfId="72" applyFont="1" applyFill="1" applyBorder="1">
      <alignment/>
      <protection/>
    </xf>
    <xf numFmtId="0" fontId="87" fillId="0" borderId="0" xfId="72" applyFont="1" applyFill="1" applyBorder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4" fontId="8" fillId="2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NumberFormat="1" applyFont="1" applyBorder="1" applyAlignment="1">
      <alignment horizontal="justify" vertical="top" wrapText="1"/>
    </xf>
    <xf numFmtId="165" fontId="25" fillId="0" borderId="15" xfId="0" applyNumberFormat="1" applyFont="1" applyBorder="1" applyAlignment="1">
      <alignment horizontal="center"/>
    </xf>
    <xf numFmtId="0" fontId="18" fillId="0" borderId="0" xfId="56" applyFont="1" applyBorder="1" applyAlignment="1">
      <alignment horizontal="left"/>
      <protection/>
    </xf>
    <xf numFmtId="0" fontId="18" fillId="0" borderId="10" xfId="56" applyFont="1" applyBorder="1" applyAlignment="1">
      <alignment wrapText="1"/>
      <protection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2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93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49" fontId="26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wrapText="1" indent="1"/>
    </xf>
    <xf numFmtId="3" fontId="4" fillId="0" borderId="1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 indent="2"/>
    </xf>
    <xf numFmtId="3" fontId="96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3" fontId="4" fillId="26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wrapText="1" indent="1"/>
    </xf>
    <xf numFmtId="3" fontId="4" fillId="0" borderId="1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wrapText="1"/>
    </xf>
    <xf numFmtId="0" fontId="97" fillId="0" borderId="10" xfId="0" applyFont="1" applyBorder="1" applyAlignment="1">
      <alignment horizontal="left" wrapText="1" indent="2"/>
    </xf>
    <xf numFmtId="0" fontId="13" fillId="0" borderId="13" xfId="0" applyFont="1" applyBorder="1" applyAlignment="1">
      <alignment horizontal="left" wrapText="1" indent="2"/>
    </xf>
    <xf numFmtId="0" fontId="1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/>
    </xf>
    <xf numFmtId="0" fontId="1" fillId="0" borderId="0" xfId="0" applyFont="1" applyAlignment="1">
      <alignment vertical="center"/>
    </xf>
    <xf numFmtId="0" fontId="4" fillId="0" borderId="13" xfId="0" applyFont="1" applyBorder="1" applyAlignment="1">
      <alignment horizontal="left" wrapText="1" indent="3"/>
    </xf>
    <xf numFmtId="0" fontId="13" fillId="0" borderId="13" xfId="0" applyFont="1" applyBorder="1" applyAlignment="1">
      <alignment horizontal="left" wrapText="1" indent="3"/>
    </xf>
    <xf numFmtId="0" fontId="12" fillId="0" borderId="13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29" fillId="0" borderId="10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left" wrapText="1"/>
    </xf>
    <xf numFmtId="3" fontId="29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12" fillId="0" borderId="45" xfId="0" applyFont="1" applyBorder="1" applyAlignment="1">
      <alignment/>
    </xf>
    <xf numFmtId="166" fontId="8" fillId="0" borderId="45" xfId="0" applyNumberFormat="1" applyFont="1" applyBorder="1" applyAlignment="1">
      <alignment/>
    </xf>
    <xf numFmtId="166" fontId="8" fillId="0" borderId="22" xfId="0" applyNumberFormat="1" applyFont="1" applyBorder="1" applyAlignment="1">
      <alignment/>
    </xf>
    <xf numFmtId="166" fontId="8" fillId="0" borderId="25" xfId="0" applyNumberFormat="1" applyFont="1" applyBorder="1" applyAlignment="1">
      <alignment/>
    </xf>
    <xf numFmtId="0" fontId="4" fillId="0" borderId="45" xfId="0" applyFont="1" applyBorder="1" applyAlignment="1">
      <alignment/>
    </xf>
    <xf numFmtId="4" fontId="8" fillId="0" borderId="2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96" fillId="0" borderId="0" xfId="0" applyFont="1" applyAlignment="1">
      <alignment/>
    </xf>
    <xf numFmtId="4" fontId="96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0" fillId="0" borderId="12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/>
    </xf>
    <xf numFmtId="0" fontId="97" fillId="0" borderId="12" xfId="0" applyFont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center"/>
    </xf>
    <xf numFmtId="0" fontId="97" fillId="0" borderId="12" xfId="0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wrapText="1"/>
    </xf>
    <xf numFmtId="172" fontId="8" fillId="0" borderId="10" xfId="0" applyNumberFormat="1" applyFont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172" fontId="1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3" fontId="8" fillId="0" borderId="1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 indent="1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 indent="2"/>
    </xf>
    <xf numFmtId="1" fontId="1" fillId="0" borderId="10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26" fillId="20" borderId="11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3" fontId="26" fillId="20" borderId="12" xfId="0" applyNumberFormat="1" applyFont="1" applyFill="1" applyBorder="1" applyAlignment="1">
      <alignment horizontal="center"/>
    </xf>
    <xf numFmtId="3" fontId="26" fillId="2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9" fillId="0" borderId="0" xfId="0" applyFont="1" applyAlignment="1">
      <alignment/>
    </xf>
    <xf numFmtId="0" fontId="26" fillId="0" borderId="0" xfId="0" applyFont="1" applyFill="1" applyBorder="1" applyAlignment="1">
      <alignment horizontal="right" wrapText="1"/>
    </xf>
    <xf numFmtId="3" fontId="26" fillId="0" borderId="0" xfId="0" applyNumberFormat="1" applyFont="1" applyAlignment="1">
      <alignment horizontal="center"/>
    </xf>
    <xf numFmtId="165" fontId="1" fillId="0" borderId="0" xfId="77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6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 indent="1"/>
    </xf>
    <xf numFmtId="0" fontId="103" fillId="0" borderId="0" xfId="0" applyFont="1" applyAlignment="1">
      <alignment/>
    </xf>
    <xf numFmtId="4" fontId="8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7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 indent="2"/>
    </xf>
    <xf numFmtId="49" fontId="26" fillId="0" borderId="10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4" fillId="0" borderId="0" xfId="0" applyFont="1" applyAlignment="1">
      <alignment horizontal="center"/>
    </xf>
    <xf numFmtId="0" fontId="8" fillId="0" borderId="13" xfId="0" applyFont="1" applyBorder="1" applyAlignment="1">
      <alignment horizontal="left" wrapText="1" indent="1"/>
    </xf>
    <xf numFmtId="4" fontId="26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0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179" fontId="23" fillId="0" borderId="10" xfId="82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166" fontId="8" fillId="0" borderId="23" xfId="0" applyNumberFormat="1" applyFont="1" applyBorder="1" applyAlignment="1">
      <alignment/>
    </xf>
    <xf numFmtId="4" fontId="12" fillId="0" borderId="45" xfId="0" applyNumberFormat="1" applyFont="1" applyBorder="1" applyAlignment="1">
      <alignment/>
    </xf>
    <xf numFmtId="164" fontId="8" fillId="0" borderId="44" xfId="0" applyNumberFormat="1" applyFont="1" applyBorder="1" applyAlignment="1">
      <alignment/>
    </xf>
    <xf numFmtId="164" fontId="8" fillId="0" borderId="45" xfId="0" applyNumberFormat="1" applyFont="1" applyBorder="1" applyAlignment="1">
      <alignment/>
    </xf>
    <xf numFmtId="164" fontId="8" fillId="0" borderId="49" xfId="0" applyNumberFormat="1" applyFont="1" applyBorder="1" applyAlignment="1">
      <alignment/>
    </xf>
    <xf numFmtId="166" fontId="8" fillId="0" borderId="10" xfId="0" applyNumberFormat="1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8" fillId="24" borderId="10" xfId="0" applyNumberFormat="1" applyFont="1" applyFill="1" applyBorder="1" applyAlignment="1">
      <alignment horizontal="center"/>
    </xf>
    <xf numFmtId="166" fontId="1" fillId="24" borderId="10" xfId="0" applyNumberFormat="1" applyFont="1" applyFill="1" applyBorder="1" applyAlignment="1">
      <alignment horizontal="center"/>
    </xf>
    <xf numFmtId="4" fontId="8" fillId="0" borderId="25" xfId="0" applyNumberFormat="1" applyFont="1" applyBorder="1" applyAlignment="1">
      <alignment/>
    </xf>
    <xf numFmtId="165" fontId="4" fillId="0" borderId="10" xfId="0" applyNumberFormat="1" applyFont="1" applyBorder="1" applyAlignment="1">
      <alignment vertical="top"/>
    </xf>
    <xf numFmtId="0" fontId="4" fillId="0" borderId="5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top"/>
    </xf>
    <xf numFmtId="3" fontId="12" fillId="0" borderId="10" xfId="0" applyNumberFormat="1" applyFont="1" applyBorder="1" applyAlignment="1">
      <alignment vertical="top"/>
    </xf>
    <xf numFmtId="0" fontId="4" fillId="0" borderId="46" xfId="0" applyNumberFormat="1" applyFont="1" applyBorder="1" applyAlignment="1">
      <alignment vertical="top"/>
    </xf>
    <xf numFmtId="0" fontId="4" fillId="0" borderId="5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center" vertical="top"/>
    </xf>
    <xf numFmtId="3" fontId="12" fillId="0" borderId="1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106" fillId="0" borderId="0" xfId="0" applyFont="1" applyAlignment="1">
      <alignment/>
    </xf>
    <xf numFmtId="0" fontId="14" fillId="0" borderId="0" xfId="57" applyBorder="1">
      <alignment/>
      <protection/>
    </xf>
    <xf numFmtId="0" fontId="14" fillId="24" borderId="0" xfId="57" applyFill="1" applyBorder="1">
      <alignment/>
      <protection/>
    </xf>
    <xf numFmtId="0" fontId="1" fillId="0" borderId="0" xfId="0" applyFont="1" applyFill="1" applyAlignment="1">
      <alignment/>
    </xf>
    <xf numFmtId="0" fontId="1" fillId="0" borderId="0" xfId="70" applyFont="1">
      <alignment/>
      <protection/>
    </xf>
    <xf numFmtId="0" fontId="1" fillId="0" borderId="0" xfId="70" applyFont="1" applyAlignment="1">
      <alignment horizontal="right"/>
      <protection/>
    </xf>
    <xf numFmtId="0" fontId="1" fillId="0" borderId="14" xfId="70" applyFont="1" applyBorder="1" applyAlignment="1">
      <alignment horizontal="center" vertical="top" wrapText="1"/>
      <protection/>
    </xf>
    <xf numFmtId="0" fontId="1" fillId="0" borderId="18" xfId="70" applyFont="1" applyBorder="1" applyAlignment="1">
      <alignment horizontal="center" vertical="top" wrapText="1"/>
      <protection/>
    </xf>
    <xf numFmtId="0" fontId="1" fillId="0" borderId="35" xfId="70" applyFont="1" applyBorder="1" applyAlignment="1">
      <alignment horizontal="center" vertical="top" wrapText="1"/>
      <protection/>
    </xf>
    <xf numFmtId="0" fontId="1" fillId="0" borderId="10" xfId="70" applyFont="1" applyBorder="1" applyAlignment="1">
      <alignment horizontal="center" vertical="top" wrapText="1"/>
      <protection/>
    </xf>
    <xf numFmtId="0" fontId="1" fillId="0" borderId="10" xfId="70" applyFont="1" applyBorder="1" applyAlignment="1">
      <alignment horizontal="center"/>
      <protection/>
    </xf>
    <xf numFmtId="0" fontId="1" fillId="0" borderId="11" xfId="70" applyFont="1" applyBorder="1" applyAlignment="1">
      <alignment horizontal="center"/>
      <protection/>
    </xf>
    <xf numFmtId="49" fontId="1" fillId="0" borderId="10" xfId="70" applyNumberFormat="1" applyFont="1" applyBorder="1" applyAlignment="1">
      <alignment horizontal="center"/>
      <protection/>
    </xf>
    <xf numFmtId="0" fontId="1" fillId="0" borderId="12" xfId="70" applyFont="1" applyBorder="1" applyAlignment="1">
      <alignment horizontal="left" wrapText="1"/>
      <protection/>
    </xf>
    <xf numFmtId="0" fontId="8" fillId="0" borderId="12" xfId="70" applyFont="1" applyBorder="1" applyAlignment="1">
      <alignment horizontal="left" wrapText="1"/>
      <protection/>
    </xf>
    <xf numFmtId="0" fontId="1" fillId="0" borderId="12" xfId="70" applyFont="1" applyBorder="1" applyAlignment="1">
      <alignment horizontal="left" vertical="center" wrapText="1"/>
      <protection/>
    </xf>
    <xf numFmtId="0" fontId="1" fillId="0" borderId="12" xfId="70" applyFont="1" applyBorder="1" applyAlignment="1">
      <alignment horizontal="center" wrapText="1"/>
      <protection/>
    </xf>
    <xf numFmtId="0" fontId="1" fillId="0" borderId="10" xfId="70" applyFont="1" applyBorder="1" applyAlignment="1">
      <alignment horizontal="center" wrapText="1"/>
      <protection/>
    </xf>
    <xf numFmtId="4" fontId="1" fillId="0" borderId="10" xfId="70" applyNumberFormat="1" applyFont="1" applyBorder="1" applyAlignment="1">
      <alignment horizontal="center"/>
      <protection/>
    </xf>
    <xf numFmtId="0" fontId="22" fillId="0" borderId="12" xfId="70" applyFont="1" applyBorder="1" applyAlignment="1">
      <alignment horizontal="left"/>
      <protection/>
    </xf>
    <xf numFmtId="4" fontId="8" fillId="0" borderId="10" xfId="70" applyNumberFormat="1" applyFont="1" applyBorder="1" applyAlignment="1">
      <alignment horizontal="center"/>
      <protection/>
    </xf>
    <xf numFmtId="0" fontId="1" fillId="0" borderId="10" xfId="70" applyFont="1" applyBorder="1">
      <alignment/>
      <protection/>
    </xf>
    <xf numFmtId="0" fontId="1" fillId="0" borderId="10" xfId="70" applyFont="1" applyBorder="1" applyAlignment="1">
      <alignment horizontal="left" wrapText="1"/>
      <protection/>
    </xf>
    <xf numFmtId="0" fontId="1" fillId="0" borderId="12" xfId="70" applyFont="1" applyBorder="1" applyAlignment="1">
      <alignment horizontal="right" wrapText="1"/>
      <protection/>
    </xf>
    <xf numFmtId="49" fontId="8" fillId="20" borderId="10" xfId="70" applyNumberFormat="1" applyFont="1" applyFill="1" applyBorder="1" applyAlignment="1">
      <alignment horizontal="center"/>
      <protection/>
    </xf>
    <xf numFmtId="0" fontId="8" fillId="20" borderId="12" xfId="70" applyFont="1" applyFill="1" applyBorder="1" applyAlignment="1">
      <alignment horizontal="left"/>
      <protection/>
    </xf>
    <xf numFmtId="0" fontId="8" fillId="20" borderId="12" xfId="70" applyFont="1" applyFill="1" applyBorder="1" applyAlignment="1">
      <alignment horizontal="left" wrapText="1"/>
      <protection/>
    </xf>
    <xf numFmtId="0" fontId="8" fillId="20" borderId="10" xfId="70" applyFont="1" applyFill="1" applyBorder="1" applyAlignment="1">
      <alignment horizontal="center"/>
      <protection/>
    </xf>
    <xf numFmtId="0" fontId="37" fillId="0" borderId="0" xfId="70" applyFont="1">
      <alignment/>
      <protection/>
    </xf>
    <xf numFmtId="0" fontId="6" fillId="0" borderId="0" xfId="70" applyFont="1">
      <alignment/>
      <protection/>
    </xf>
    <xf numFmtId="0" fontId="107" fillId="0" borderId="0" xfId="72" applyFont="1" applyFill="1">
      <alignment/>
      <protection/>
    </xf>
    <xf numFmtId="0" fontId="14" fillId="0" borderId="0" xfId="72" applyFont="1" applyFill="1" applyAlignment="1">
      <alignment horizontal="left"/>
      <protection/>
    </xf>
    <xf numFmtId="0" fontId="47" fillId="0" borderId="0" xfId="72" applyFont="1" applyFill="1" applyAlignment="1">
      <alignment horizontal="left"/>
      <protection/>
    </xf>
    <xf numFmtId="0" fontId="47" fillId="0" borderId="0" xfId="72" applyFont="1" applyFill="1">
      <alignment/>
      <protection/>
    </xf>
    <xf numFmtId="0" fontId="14" fillId="0" borderId="0" xfId="72" applyFont="1" applyFill="1">
      <alignment/>
      <protection/>
    </xf>
    <xf numFmtId="0" fontId="18" fillId="0" borderId="0" xfId="72">
      <alignment/>
      <protection/>
    </xf>
    <xf numFmtId="0" fontId="15" fillId="0" borderId="0" xfId="72" applyFont="1" applyFill="1" applyAlignment="1">
      <alignment horizontal="left"/>
      <protection/>
    </xf>
    <xf numFmtId="0" fontId="15" fillId="0" borderId="0" xfId="72" applyFont="1" applyFill="1">
      <alignment/>
      <protection/>
    </xf>
    <xf numFmtId="0" fontId="14" fillId="0" borderId="0" xfId="0" applyFont="1" applyFill="1" applyBorder="1" applyAlignment="1">
      <alignment horizontal="center"/>
    </xf>
    <xf numFmtId="0" fontId="16" fillId="0" borderId="0" xfId="72" applyFont="1" applyFill="1" applyAlignment="1">
      <alignment horizontal="left"/>
      <protection/>
    </xf>
    <xf numFmtId="0" fontId="111" fillId="0" borderId="14" xfId="72" applyFont="1" applyFill="1" applyBorder="1" applyAlignment="1">
      <alignment horizontal="left" vertical="center"/>
      <protection/>
    </xf>
    <xf numFmtId="0" fontId="111" fillId="0" borderId="18" xfId="72" applyFont="1" applyFill="1" applyBorder="1" applyAlignment="1">
      <alignment horizontal="center" vertical="center" wrapText="1"/>
      <protection/>
    </xf>
    <xf numFmtId="0" fontId="111" fillId="0" borderId="19" xfId="72" applyFont="1" applyFill="1" applyBorder="1" applyAlignment="1">
      <alignment horizontal="left" vertical="center"/>
      <protection/>
    </xf>
    <xf numFmtId="0" fontId="111" fillId="0" borderId="21" xfId="72" applyFont="1" applyFill="1" applyBorder="1" applyAlignment="1">
      <alignment horizontal="center" vertical="center" wrapText="1"/>
      <protection/>
    </xf>
    <xf numFmtId="0" fontId="111" fillId="24" borderId="19" xfId="72" applyFont="1" applyFill="1" applyBorder="1" applyAlignment="1">
      <alignment horizontal="left" vertical="center"/>
      <protection/>
    </xf>
    <xf numFmtId="0" fontId="111" fillId="24" borderId="21" xfId="72" applyFont="1" applyFill="1" applyBorder="1" applyAlignment="1">
      <alignment horizontal="center" vertical="center" wrapText="1"/>
      <protection/>
    </xf>
    <xf numFmtId="0" fontId="111" fillId="0" borderId="35" xfId="72" applyFont="1" applyFill="1" applyBorder="1" applyAlignment="1">
      <alignment horizontal="left" vertical="center"/>
      <protection/>
    </xf>
    <xf numFmtId="0" fontId="111" fillId="0" borderId="20" xfId="72" applyFont="1" applyFill="1" applyBorder="1" applyAlignment="1">
      <alignment horizontal="left" vertical="center"/>
      <protection/>
    </xf>
    <xf numFmtId="0" fontId="111" fillId="24" borderId="20" xfId="72" applyFont="1" applyFill="1" applyBorder="1" applyAlignment="1">
      <alignment horizontal="left" vertical="center"/>
      <protection/>
    </xf>
    <xf numFmtId="0" fontId="14" fillId="0" borderId="0" xfId="0" applyFont="1" applyFill="1" applyBorder="1" applyAlignment="1">
      <alignment/>
    </xf>
    <xf numFmtId="164" fontId="8" fillId="25" borderId="10" xfId="0" applyNumberFormat="1" applyFont="1" applyFill="1" applyBorder="1" applyAlignment="1">
      <alignment horizontal="center"/>
    </xf>
    <xf numFmtId="164" fontId="1" fillId="25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1" fillId="25" borderId="15" xfId="0" applyNumberFormat="1" applyFont="1" applyFill="1" applyBorder="1" applyAlignment="1">
      <alignment/>
    </xf>
    <xf numFmtId="164" fontId="1" fillId="25" borderId="10" xfId="0" applyNumberFormat="1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4" fontId="93" fillId="0" borderId="15" xfId="0" applyNumberFormat="1" applyFont="1" applyFill="1" applyBorder="1" applyAlignment="1">
      <alignment horizontal="center"/>
    </xf>
    <xf numFmtId="4" fontId="93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9" fontId="8" fillId="0" borderId="10" xfId="70" applyNumberFormat="1" applyFont="1" applyBorder="1" applyAlignment="1">
      <alignment horizontal="center"/>
      <protection/>
    </xf>
    <xf numFmtId="0" fontId="8" fillId="0" borderId="12" xfId="70" applyFont="1" applyBorder="1" applyAlignment="1">
      <alignment horizontal="center" vertical="center" wrapText="1"/>
      <protection/>
    </xf>
    <xf numFmtId="0" fontId="8" fillId="0" borderId="12" xfId="70" applyFont="1" applyFill="1" applyBorder="1" applyAlignment="1">
      <alignment horizontal="center" vertical="center" wrapText="1"/>
      <protection/>
    </xf>
    <xf numFmtId="4" fontId="1" fillId="0" borderId="0" xfId="70" applyNumberFormat="1" applyFont="1">
      <alignment/>
      <protection/>
    </xf>
    <xf numFmtId="0" fontId="1" fillId="0" borderId="46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95" fillId="0" borderId="12" xfId="0" applyFont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 horizontal="center" vertical="top"/>
    </xf>
    <xf numFmtId="0" fontId="8" fillId="0" borderId="0" xfId="61" applyFont="1">
      <alignment/>
      <protection/>
    </xf>
    <xf numFmtId="0" fontId="0" fillId="0" borderId="0" xfId="61" applyFont="1" applyAlignment="1">
      <alignment wrapText="1"/>
      <protection/>
    </xf>
    <xf numFmtId="0" fontId="64" fillId="0" borderId="0" xfId="61" applyFont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0" fontId="122" fillId="0" borderId="10" xfId="61" applyFont="1" applyBorder="1" applyAlignment="1">
      <alignment horizontal="center" vertical="top"/>
      <protection/>
    </xf>
    <xf numFmtId="0" fontId="122" fillId="0" borderId="10" xfId="61" applyFont="1" applyBorder="1" applyAlignment="1">
      <alignment horizontal="center" vertical="top" wrapText="1"/>
      <protection/>
    </xf>
    <xf numFmtId="0" fontId="122" fillId="0" borderId="10" xfId="61" applyFont="1" applyBorder="1" applyAlignment="1">
      <alignment horizontal="center"/>
      <protection/>
    </xf>
    <xf numFmtId="49" fontId="122" fillId="0" borderId="10" xfId="61" applyNumberFormat="1" applyFont="1" applyBorder="1" applyAlignment="1">
      <alignment horizontal="center" vertical="center"/>
      <protection/>
    </xf>
    <xf numFmtId="0" fontId="123" fillId="0" borderId="10" xfId="61" applyFont="1" applyBorder="1" applyAlignment="1">
      <alignment wrapText="1"/>
      <protection/>
    </xf>
    <xf numFmtId="164" fontId="122" fillId="0" borderId="10" xfId="61" applyNumberFormat="1" applyFont="1" applyBorder="1" applyAlignment="1">
      <alignment horizontal="center"/>
      <protection/>
    </xf>
    <xf numFmtId="164" fontId="122" fillId="0" borderId="10" xfId="61" applyNumberFormat="1" applyFont="1" applyFill="1" applyBorder="1" applyAlignment="1">
      <alignment horizontal="center"/>
      <protection/>
    </xf>
    <xf numFmtId="166" fontId="115" fillId="0" borderId="10" xfId="0" applyNumberFormat="1" applyFont="1" applyBorder="1" applyAlignment="1">
      <alignment horizontal="center"/>
    </xf>
    <xf numFmtId="0" fontId="122" fillId="0" borderId="10" xfId="61" applyFont="1" applyBorder="1" applyAlignment="1">
      <alignment horizontal="center" wrapText="1"/>
      <protection/>
    </xf>
    <xf numFmtId="0" fontId="115" fillId="0" borderId="10" xfId="0" applyFont="1" applyBorder="1" applyAlignment="1">
      <alignment horizontal="center"/>
    </xf>
    <xf numFmtId="166" fontId="80" fillId="0" borderId="11" xfId="0" applyNumberFormat="1" applyFont="1" applyFill="1" applyBorder="1" applyAlignment="1">
      <alignment horizontal="center"/>
    </xf>
    <xf numFmtId="166" fontId="116" fillId="0" borderId="10" xfId="0" applyNumberFormat="1" applyFont="1" applyFill="1" applyBorder="1" applyAlignment="1">
      <alignment horizontal="center"/>
    </xf>
    <xf numFmtId="0" fontId="122" fillId="0" borderId="10" xfId="61" applyFont="1" applyBorder="1" applyAlignment="1">
      <alignment horizontal="left" wrapText="1" indent="2"/>
      <protection/>
    </xf>
    <xf numFmtId="166" fontId="80" fillId="0" borderId="0" xfId="0" applyNumberFormat="1" applyFont="1" applyFill="1" applyAlignment="1">
      <alignment horizontal="center"/>
    </xf>
    <xf numFmtId="166" fontId="80" fillId="0" borderId="10" xfId="0" applyNumberFormat="1" applyFont="1" applyFill="1" applyBorder="1" applyAlignment="1">
      <alignment horizontal="center"/>
    </xf>
    <xf numFmtId="166" fontId="116" fillId="0" borderId="19" xfId="0" applyNumberFormat="1" applyFont="1" applyFill="1" applyBorder="1" applyAlignment="1">
      <alignment horizontal="center"/>
    </xf>
    <xf numFmtId="0" fontId="122" fillId="0" borderId="12" xfId="61" applyFont="1" applyBorder="1" applyAlignment="1">
      <alignment horizontal="left" wrapText="1" indent="4"/>
      <protection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2" fillId="0" borderId="10" xfId="61" applyFont="1" applyFill="1" applyBorder="1" applyAlignment="1">
      <alignment horizontal="center"/>
      <protection/>
    </xf>
    <xf numFmtId="0" fontId="125" fillId="0" borderId="10" xfId="61" applyFont="1" applyBorder="1" applyAlignment="1">
      <alignment horizontal="center"/>
      <protection/>
    </xf>
    <xf numFmtId="0" fontId="126" fillId="0" borderId="0" xfId="0" applyFont="1" applyFill="1" applyBorder="1" applyAlignment="1">
      <alignment horizontal="center"/>
    </xf>
    <xf numFmtId="0" fontId="125" fillId="24" borderId="10" xfId="61" applyFont="1" applyFill="1" applyBorder="1" applyAlignment="1">
      <alignment horizontal="center"/>
      <protection/>
    </xf>
    <xf numFmtId="0" fontId="127" fillId="0" borderId="10" xfId="61" applyFont="1" applyBorder="1">
      <alignment/>
      <protection/>
    </xf>
    <xf numFmtId="0" fontId="0" fillId="0" borderId="0" xfId="0" applyFont="1" applyFill="1" applyBorder="1" applyAlignment="1">
      <alignment horizontal="center"/>
    </xf>
    <xf numFmtId="0" fontId="1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8" fillId="0" borderId="10" xfId="61" applyFont="1" applyBorder="1" applyAlignment="1">
      <alignment horizontal="center"/>
      <protection/>
    </xf>
    <xf numFmtId="0" fontId="115" fillId="0" borderId="0" xfId="0" applyFont="1" applyFill="1" applyBorder="1" applyAlignment="1">
      <alignment horizontal="center" vertical="top"/>
    </xf>
    <xf numFmtId="2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15" fillId="0" borderId="0" xfId="0" applyFont="1" applyFill="1" applyBorder="1" applyAlignment="1">
      <alignment horizontal="center"/>
    </xf>
    <xf numFmtId="0" fontId="122" fillId="0" borderId="10" xfId="61" applyFont="1" applyFill="1" applyBorder="1" applyAlignment="1">
      <alignment horizontal="left" wrapText="1" indent="2"/>
      <protection/>
    </xf>
    <xf numFmtId="49" fontId="129" fillId="0" borderId="0" xfId="0" applyNumberFormat="1" applyFont="1" applyFill="1" applyBorder="1" applyAlignment="1">
      <alignment horizontal="center" vertical="center"/>
    </xf>
    <xf numFmtId="0" fontId="123" fillId="0" borderId="0" xfId="61" applyFont="1" applyAlignment="1">
      <alignment wrapText="1"/>
      <protection/>
    </xf>
    <xf numFmtId="0" fontId="122" fillId="0" borderId="12" xfId="61" applyFont="1" applyBorder="1" applyAlignment="1">
      <alignment horizontal="left" wrapText="1" indent="2"/>
      <protection/>
    </xf>
    <xf numFmtId="166" fontId="116" fillId="0" borderId="1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16" fillId="0" borderId="1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16" fillId="0" borderId="10" xfId="0" applyFont="1" applyBorder="1" applyAlignment="1">
      <alignment horizontal="center"/>
    </xf>
    <xf numFmtId="0" fontId="115" fillId="0" borderId="0" xfId="0" applyFont="1" applyFill="1" applyBorder="1" applyAlignment="1">
      <alignment horizontal="left" wrapText="1" indent="4"/>
    </xf>
    <xf numFmtId="0" fontId="132" fillId="0" borderId="0" xfId="0" applyFont="1" applyFill="1" applyBorder="1" applyAlignment="1">
      <alignment horizontal="center"/>
    </xf>
    <xf numFmtId="166" fontId="115" fillId="0" borderId="0" xfId="0" applyNumberFormat="1" applyFont="1" applyFill="1" applyBorder="1" applyAlignment="1">
      <alignment horizontal="right"/>
    </xf>
    <xf numFmtId="177" fontId="133" fillId="0" borderId="10" xfId="0" applyNumberFormat="1" applyFont="1" applyFill="1" applyBorder="1" applyAlignment="1">
      <alignment horizontal="center"/>
    </xf>
    <xf numFmtId="49" fontId="13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135" fillId="0" borderId="0" xfId="0" applyFont="1" applyFill="1" applyBorder="1" applyAlignment="1">
      <alignment horizontal="left"/>
    </xf>
    <xf numFmtId="4" fontId="122" fillId="0" borderId="10" xfId="61" applyNumberFormat="1" applyFont="1" applyBorder="1" applyAlignment="1">
      <alignment horizontal="center"/>
      <protection/>
    </xf>
    <xf numFmtId="4" fontId="122" fillId="24" borderId="10" xfId="61" applyNumberFormat="1" applyFont="1" applyFill="1" applyBorder="1" applyAlignment="1">
      <alignment horizontal="center"/>
      <protection/>
    </xf>
    <xf numFmtId="2" fontId="122" fillId="24" borderId="10" xfId="61" applyNumberFormat="1" applyFont="1" applyFill="1" applyBorder="1" applyAlignment="1">
      <alignment horizontal="center"/>
      <protection/>
    </xf>
    <xf numFmtId="0" fontId="122" fillId="24" borderId="10" xfId="61" applyFont="1" applyFill="1" applyBorder="1" applyAlignment="1">
      <alignment horizontal="center"/>
      <protection/>
    </xf>
    <xf numFmtId="0" fontId="0" fillId="0" borderId="10" xfId="61" applyFont="1" applyFill="1" applyBorder="1">
      <alignment/>
      <protection/>
    </xf>
    <xf numFmtId="2" fontId="122" fillId="0" borderId="10" xfId="61" applyNumberFormat="1" applyFont="1" applyBorder="1" applyAlignment="1">
      <alignment horizontal="center"/>
      <protection/>
    </xf>
    <xf numFmtId="0" fontId="25" fillId="0" borderId="0" xfId="61" applyFont="1" applyAlignment="1">
      <alignment/>
      <protection/>
    </xf>
    <xf numFmtId="0" fontId="21" fillId="0" borderId="0" xfId="61" applyFont="1" applyFill="1">
      <alignment/>
      <protection/>
    </xf>
    <xf numFmtId="0" fontId="136" fillId="0" borderId="0" xfId="61" applyFont="1" applyFill="1" applyAlignment="1">
      <alignment horizontal="center"/>
      <protection/>
    </xf>
    <xf numFmtId="0" fontId="21" fillId="0" borderId="0" xfId="61" applyFont="1" applyFill="1" applyAlignment="1">
      <alignment horizontal="center"/>
      <protection/>
    </xf>
    <xf numFmtId="0" fontId="21" fillId="0" borderId="0" xfId="61" applyFont="1">
      <alignment/>
      <protection/>
    </xf>
    <xf numFmtId="0" fontId="137" fillId="0" borderId="0" xfId="61" applyFont="1" applyAlignment="1">
      <alignment horizontal="right" vertical="top"/>
      <protection/>
    </xf>
    <xf numFmtId="0" fontId="137" fillId="0" borderId="0" xfId="61" applyFont="1" applyFill="1" applyAlignment="1">
      <alignment horizontal="left" vertical="top"/>
      <protection/>
    </xf>
    <xf numFmtId="0" fontId="23" fillId="0" borderId="0" xfId="61" applyFont="1" applyFill="1">
      <alignment/>
      <protection/>
    </xf>
    <xf numFmtId="0" fontId="23" fillId="0" borderId="0" xfId="61" applyFont="1">
      <alignment/>
      <protection/>
    </xf>
    <xf numFmtId="0" fontId="137" fillId="0" borderId="0" xfId="61" applyFont="1" applyAlignment="1">
      <alignment horizontal="right"/>
      <protection/>
    </xf>
    <xf numFmtId="0" fontId="137" fillId="0" borderId="0" xfId="61" applyFont="1" applyFill="1" applyAlignment="1">
      <alignment horizontal="left"/>
      <protection/>
    </xf>
    <xf numFmtId="0" fontId="137" fillId="0" borderId="0" xfId="61" applyFont="1">
      <alignment/>
      <protection/>
    </xf>
    <xf numFmtId="0" fontId="137" fillId="0" borderId="0" xfId="61" applyFont="1" applyAlignment="1">
      <alignment horizontal="left" vertical="top"/>
      <protection/>
    </xf>
    <xf numFmtId="0" fontId="137" fillId="0" borderId="0" xfId="61" applyFont="1" applyAlignment="1">
      <alignment horizontal="left" vertical="center"/>
      <protection/>
    </xf>
    <xf numFmtId="0" fontId="137" fillId="0" borderId="0" xfId="61" applyFont="1" applyAlignment="1">
      <alignment horizontal="left"/>
      <protection/>
    </xf>
    <xf numFmtId="0" fontId="138" fillId="0" borderId="0" xfId="61" applyFont="1" applyAlignment="1">
      <alignment horizontal="left" vertical="center"/>
      <protection/>
    </xf>
    <xf numFmtId="0" fontId="137" fillId="0" borderId="0" xfId="61" applyFont="1" applyAlignment="1">
      <alignment horizontal="left" vertical="top" wrapText="1"/>
      <protection/>
    </xf>
    <xf numFmtId="0" fontId="142" fillId="0" borderId="0" xfId="61" applyFont="1">
      <alignment/>
      <protection/>
    </xf>
    <xf numFmtId="0" fontId="142" fillId="0" borderId="0" xfId="61" applyFont="1" applyAlignment="1">
      <alignment wrapText="1"/>
      <protection/>
    </xf>
    <xf numFmtId="0" fontId="142" fillId="0" borderId="0" xfId="61" applyFont="1" applyAlignment="1">
      <alignment horizontal="center"/>
      <protection/>
    </xf>
    <xf numFmtId="0" fontId="142" fillId="0" borderId="0" xfId="61" applyFont="1" applyBorder="1">
      <alignment/>
      <protection/>
    </xf>
    <xf numFmtId="0" fontId="142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 wrapText="1"/>
      <protection/>
    </xf>
    <xf numFmtId="0" fontId="64" fillId="0" borderId="0" xfId="61" applyFont="1" applyBorder="1" applyAlignment="1">
      <alignment horizontal="center"/>
      <protection/>
    </xf>
    <xf numFmtId="0" fontId="123" fillId="0" borderId="12" xfId="61" applyFont="1" applyBorder="1" applyAlignment="1">
      <alignment horizontal="left" wrapText="1" indent="4"/>
      <protection/>
    </xf>
    <xf numFmtId="4" fontId="122" fillId="0" borderId="10" xfId="61" applyNumberFormat="1" applyFont="1" applyFill="1" applyBorder="1" applyAlignment="1">
      <alignment horizontal="center"/>
      <protection/>
    </xf>
    <xf numFmtId="0" fontId="8" fillId="0" borderId="12" xfId="0" applyFont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4" fontId="23" fillId="0" borderId="14" xfId="0" applyNumberFormat="1" applyFont="1" applyFill="1" applyBorder="1" applyAlignment="1">
      <alignment/>
    </xf>
    <xf numFmtId="164" fontId="23" fillId="0" borderId="14" xfId="0" applyNumberFormat="1" applyFont="1" applyFill="1" applyBorder="1" applyAlignment="1">
      <alignment/>
    </xf>
    <xf numFmtId="164" fontId="23" fillId="0" borderId="15" xfId="0" applyNumberFormat="1" applyFont="1" applyFill="1" applyBorder="1" applyAlignment="1">
      <alignment/>
    </xf>
    <xf numFmtId="164" fontId="23" fillId="0" borderId="15" xfId="0" applyNumberFormat="1" applyFont="1" applyFill="1" applyBorder="1" applyAlignment="1">
      <alignment/>
    </xf>
    <xf numFmtId="164" fontId="143" fillId="0" borderId="10" xfId="0" applyNumberFormat="1" applyFont="1" applyFill="1" applyBorder="1" applyAlignment="1">
      <alignment horizontal="center"/>
    </xf>
    <xf numFmtId="164" fontId="1" fillId="20" borderId="10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144" fillId="0" borderId="10" xfId="0" applyNumberFormat="1" applyFont="1" applyBorder="1" applyAlignment="1">
      <alignment horizontal="center"/>
    </xf>
    <xf numFmtId="164" fontId="143" fillId="0" borderId="10" xfId="0" applyNumberFormat="1" applyFont="1" applyBorder="1" applyAlignment="1">
      <alignment horizontal="center"/>
    </xf>
    <xf numFmtId="164" fontId="144" fillId="0" borderId="14" xfId="0" applyNumberFormat="1" applyFont="1" applyBorder="1" applyAlignment="1">
      <alignment horizontal="center"/>
    </xf>
    <xf numFmtId="164" fontId="143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166" fontId="144" fillId="0" borderId="10" xfId="0" applyNumberFormat="1" applyFont="1" applyBorder="1" applyAlignment="1">
      <alignment horizontal="center"/>
    </xf>
    <xf numFmtId="166" fontId="143" fillId="0" borderId="10" xfId="0" applyNumberFormat="1" applyFont="1" applyBorder="1" applyAlignment="1">
      <alignment horizontal="center"/>
    </xf>
    <xf numFmtId="166" fontId="143" fillId="0" borderId="10" xfId="0" applyNumberFormat="1" applyFont="1" applyFill="1" applyBorder="1" applyAlignment="1">
      <alignment horizontal="center"/>
    </xf>
    <xf numFmtId="166" fontId="143" fillId="0" borderId="10" xfId="0" applyNumberFormat="1" applyFont="1" applyBorder="1" applyAlignment="1">
      <alignment horizontal="center"/>
    </xf>
    <xf numFmtId="166" fontId="144" fillId="24" borderId="10" xfId="0" applyNumberFormat="1" applyFont="1" applyFill="1" applyBorder="1" applyAlignment="1">
      <alignment horizontal="center"/>
    </xf>
    <xf numFmtId="166" fontId="143" fillId="24" borderId="1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5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118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85" fillId="0" borderId="0" xfId="0" applyFont="1" applyFill="1" applyBorder="1" applyAlignment="1">
      <alignment/>
    </xf>
    <xf numFmtId="0" fontId="119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120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121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95" fillId="0" borderId="0" xfId="0" applyFont="1" applyFill="1" applyBorder="1" applyAlignment="1">
      <alignment wrapText="1"/>
    </xf>
    <xf numFmtId="164" fontId="23" fillId="20" borderId="10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8" fillId="0" borderId="14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164" fontId="23" fillId="0" borderId="0" xfId="0" applyNumberFormat="1" applyFont="1" applyFill="1" applyAlignment="1">
      <alignment horizontal="center"/>
    </xf>
    <xf numFmtId="166" fontId="92" fillId="0" borderId="10" xfId="0" applyNumberFormat="1" applyFont="1" applyBorder="1" applyAlignment="1">
      <alignment horizontal="center"/>
    </xf>
    <xf numFmtId="166" fontId="92" fillId="0" borderId="10" xfId="0" applyNumberFormat="1" applyFont="1" applyBorder="1" applyAlignment="1">
      <alignment horizontal="center"/>
    </xf>
    <xf numFmtId="166" fontId="93" fillId="0" borderId="10" xfId="0" applyNumberFormat="1" applyFont="1" applyBorder="1" applyAlignment="1">
      <alignment horizontal="center"/>
    </xf>
    <xf numFmtId="166" fontId="93" fillId="0" borderId="10" xfId="0" applyNumberFormat="1" applyFont="1" applyFill="1" applyBorder="1" applyAlignment="1">
      <alignment horizontal="center"/>
    </xf>
    <xf numFmtId="166" fontId="93" fillId="0" borderId="10" xfId="0" applyNumberFormat="1" applyFont="1" applyBorder="1" applyAlignment="1">
      <alignment horizontal="center"/>
    </xf>
    <xf numFmtId="166" fontId="93" fillId="0" borderId="10" xfId="0" applyNumberFormat="1" applyFont="1" applyFill="1" applyBorder="1" applyAlignment="1">
      <alignment horizontal="center"/>
    </xf>
    <xf numFmtId="166" fontId="92" fillId="24" borderId="10" xfId="0" applyNumberFormat="1" applyFont="1" applyFill="1" applyBorder="1" applyAlignment="1">
      <alignment horizontal="center"/>
    </xf>
    <xf numFmtId="166" fontId="93" fillId="24" borderId="10" xfId="0" applyNumberFormat="1" applyFont="1" applyFill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164" fontId="23" fillId="0" borderId="43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165" fontId="144" fillId="0" borderId="10" xfId="0" applyNumberFormat="1" applyFont="1" applyBorder="1" applyAlignment="1">
      <alignment horizontal="center"/>
    </xf>
    <xf numFmtId="165" fontId="143" fillId="0" borderId="10" xfId="0" applyNumberFormat="1" applyFont="1" applyBorder="1" applyAlignment="1">
      <alignment horizontal="center"/>
    </xf>
    <xf numFmtId="164" fontId="143" fillId="0" borderId="10" xfId="0" applyNumberFormat="1" applyFont="1" applyBorder="1" applyAlignment="1">
      <alignment horizontal="center"/>
    </xf>
    <xf numFmtId="164" fontId="144" fillId="0" borderId="10" xfId="0" applyNumberFormat="1" applyFont="1" applyBorder="1" applyAlignment="1">
      <alignment horizontal="center"/>
    </xf>
    <xf numFmtId="164" fontId="143" fillId="0" borderId="43" xfId="0" applyNumberFormat="1" applyFont="1" applyBorder="1" applyAlignment="1">
      <alignment horizontal="center"/>
    </xf>
    <xf numFmtId="165" fontId="144" fillId="0" borderId="15" xfId="0" applyNumberFormat="1" applyFont="1" applyBorder="1" applyAlignment="1">
      <alignment horizontal="center"/>
    </xf>
    <xf numFmtId="4" fontId="144" fillId="0" borderId="10" xfId="0" applyNumberFormat="1" applyFont="1" applyBorder="1" applyAlignment="1">
      <alignment horizontal="center"/>
    </xf>
    <xf numFmtId="4" fontId="143" fillId="0" borderId="10" xfId="0" applyNumberFormat="1" applyFont="1" applyBorder="1" applyAlignment="1">
      <alignment horizontal="center"/>
    </xf>
    <xf numFmtId="3" fontId="144" fillId="0" borderId="10" xfId="0" applyNumberFormat="1" applyFont="1" applyBorder="1" applyAlignment="1">
      <alignment horizontal="center"/>
    </xf>
    <xf numFmtId="3" fontId="143" fillId="0" borderId="10" xfId="0" applyNumberFormat="1" applyFont="1" applyBorder="1" applyAlignment="1">
      <alignment horizontal="center"/>
    </xf>
    <xf numFmtId="0" fontId="146" fillId="0" borderId="12" xfId="0" applyFont="1" applyBorder="1" applyAlignment="1">
      <alignment horizontal="left" wrapText="1"/>
    </xf>
    <xf numFmtId="166" fontId="8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wrapText="1"/>
    </xf>
    <xf numFmtId="172" fontId="8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16" fontId="6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57" fillId="0" borderId="0" xfId="0" applyFont="1" applyAlignment="1">
      <alignment wrapText="1"/>
    </xf>
    <xf numFmtId="0" fontId="12" fillId="0" borderId="0" xfId="0" applyFont="1" applyAlignment="1">
      <alignment/>
    </xf>
    <xf numFmtId="3" fontId="8" fillId="2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29" xfId="0" applyFont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0" fillId="0" borderId="51" xfId="0" applyFont="1" applyFill="1" applyBorder="1" applyAlignment="1">
      <alignment horizontal="center" vertical="center" wrapText="1"/>
    </xf>
    <xf numFmtId="0" fontId="100" fillId="0" borderId="52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67" fontId="1" fillId="0" borderId="29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62" fillId="0" borderId="10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167" fontId="1" fillId="0" borderId="51" xfId="0" applyNumberFormat="1" applyFont="1" applyFill="1" applyBorder="1" applyAlignment="1">
      <alignment horizontal="center"/>
    </xf>
    <xf numFmtId="167" fontId="1" fillId="0" borderId="52" xfId="0" applyNumberFormat="1" applyFont="1" applyFill="1" applyBorder="1" applyAlignment="1">
      <alignment horizontal="center"/>
    </xf>
    <xf numFmtId="49" fontId="148" fillId="0" borderId="10" xfId="0" applyNumberFormat="1" applyFont="1" applyFill="1" applyBorder="1" applyAlignment="1">
      <alignment horizontal="center" vertical="center"/>
    </xf>
    <xf numFmtId="0" fontId="148" fillId="0" borderId="13" xfId="0" applyFont="1" applyFill="1" applyBorder="1" applyAlignment="1">
      <alignment horizontal="left" wrapText="1"/>
    </xf>
    <xf numFmtId="0" fontId="148" fillId="0" borderId="10" xfId="0" applyFont="1" applyFill="1" applyBorder="1" applyAlignment="1">
      <alignment horizontal="center" wrapText="1"/>
    </xf>
    <xf numFmtId="0" fontId="148" fillId="0" borderId="11" xfId="0" applyFont="1" applyFill="1" applyBorder="1" applyAlignment="1">
      <alignment horizontal="center" wrapText="1"/>
    </xf>
    <xf numFmtId="0" fontId="148" fillId="0" borderId="29" xfId="0" applyFont="1" applyFill="1" applyBorder="1" applyAlignment="1">
      <alignment horizontal="center" wrapText="1"/>
    </xf>
    <xf numFmtId="1" fontId="148" fillId="0" borderId="12" xfId="0" applyNumberFormat="1" applyFont="1" applyFill="1" applyBorder="1" applyAlignment="1">
      <alignment horizontal="center"/>
    </xf>
    <xf numFmtId="167" fontId="148" fillId="0" borderId="10" xfId="0" applyNumberFormat="1" applyFont="1" applyFill="1" applyBorder="1" applyAlignment="1">
      <alignment horizontal="center"/>
    </xf>
    <xf numFmtId="1" fontId="148" fillId="0" borderId="11" xfId="0" applyNumberFormat="1" applyFont="1" applyFill="1" applyBorder="1" applyAlignment="1">
      <alignment horizontal="center"/>
    </xf>
    <xf numFmtId="167" fontId="148" fillId="0" borderId="29" xfId="0" applyNumberFormat="1" applyFont="1" applyFill="1" applyBorder="1" applyAlignment="1">
      <alignment horizontal="center"/>
    </xf>
    <xf numFmtId="1" fontId="148" fillId="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49" fontId="149" fillId="0" borderId="10" xfId="0" applyNumberFormat="1" applyFont="1" applyFill="1" applyBorder="1" applyAlignment="1">
      <alignment horizontal="center" vertical="center"/>
    </xf>
    <xf numFmtId="0" fontId="149" fillId="0" borderId="10" xfId="0" applyFont="1" applyBorder="1" applyAlignment="1">
      <alignment horizontal="left" wrapText="1"/>
    </xf>
    <xf numFmtId="0" fontId="149" fillId="0" borderId="10" xfId="0" applyFont="1" applyFill="1" applyBorder="1" applyAlignment="1">
      <alignment horizontal="center" wrapText="1"/>
    </xf>
    <xf numFmtId="0" fontId="149" fillId="0" borderId="11" xfId="0" applyFont="1" applyFill="1" applyBorder="1" applyAlignment="1">
      <alignment horizontal="center" wrapText="1"/>
    </xf>
    <xf numFmtId="0" fontId="149" fillId="0" borderId="29" xfId="0" applyFont="1" applyFill="1" applyBorder="1" applyAlignment="1">
      <alignment horizontal="center" wrapText="1"/>
    </xf>
    <xf numFmtId="1" fontId="149" fillId="0" borderId="12" xfId="0" applyNumberFormat="1" applyFont="1" applyFill="1" applyBorder="1" applyAlignment="1">
      <alignment horizontal="center"/>
    </xf>
    <xf numFmtId="1" fontId="149" fillId="0" borderId="10" xfId="0" applyNumberFormat="1" applyFont="1" applyFill="1" applyBorder="1" applyAlignment="1">
      <alignment horizontal="center"/>
    </xf>
    <xf numFmtId="1" fontId="149" fillId="0" borderId="11" xfId="0" applyNumberFormat="1" applyFont="1" applyFill="1" applyBorder="1" applyAlignment="1">
      <alignment horizontal="center"/>
    </xf>
    <xf numFmtId="1" fontId="149" fillId="0" borderId="29" xfId="0" applyNumberFormat="1" applyFont="1" applyFill="1" applyBorder="1" applyAlignment="1">
      <alignment horizontal="center"/>
    </xf>
    <xf numFmtId="0" fontId="149" fillId="0" borderId="0" xfId="0" applyFont="1" applyAlignment="1">
      <alignment/>
    </xf>
    <xf numFmtId="4" fontId="20" fillId="0" borderId="29" xfId="0" applyNumberFormat="1" applyFont="1" applyFill="1" applyBorder="1" applyAlignment="1">
      <alignment horizontal="center" wrapText="1"/>
    </xf>
    <xf numFmtId="0" fontId="20" fillId="0" borderId="29" xfId="0" applyFont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wrapText="1"/>
    </xf>
    <xf numFmtId="3" fontId="62" fillId="0" borderId="12" xfId="0" applyNumberFormat="1" applyFont="1" applyBorder="1" applyAlignment="1">
      <alignment horizontal="center"/>
    </xf>
    <xf numFmtId="3" fontId="62" fillId="0" borderId="10" xfId="0" applyNumberFormat="1" applyFont="1" applyBorder="1" applyAlignment="1">
      <alignment horizontal="center"/>
    </xf>
    <xf numFmtId="3" fontId="62" fillId="0" borderId="29" xfId="0" applyNumberFormat="1" applyFont="1" applyBorder="1" applyAlignment="1">
      <alignment horizontal="center"/>
    </xf>
    <xf numFmtId="3" fontId="62" fillId="0" borderId="12" xfId="0" applyNumberFormat="1" applyFont="1" applyFill="1" applyBorder="1" applyAlignment="1">
      <alignment horizontal="center"/>
    </xf>
    <xf numFmtId="3" fontId="62" fillId="0" borderId="10" xfId="0" applyNumberFormat="1" applyFont="1" applyFill="1" applyBorder="1" applyAlignment="1">
      <alignment horizontal="center"/>
    </xf>
    <xf numFmtId="3" fontId="62" fillId="0" borderId="51" xfId="0" applyNumberFormat="1" applyFont="1" applyFill="1" applyBorder="1" applyAlignment="1">
      <alignment horizontal="center"/>
    </xf>
    <xf numFmtId="3" fontId="62" fillId="0" borderId="52" xfId="0" applyNumberFormat="1" applyFont="1" applyFill="1" applyBorder="1" applyAlignment="1">
      <alignment horizontal="center"/>
    </xf>
    <xf numFmtId="49" fontId="62" fillId="0" borderId="10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164" fontId="62" fillId="0" borderId="29" xfId="0" applyNumberFormat="1" applyFont="1" applyFill="1" applyBorder="1" applyAlignment="1">
      <alignment horizontal="center" wrapText="1"/>
    </xf>
    <xf numFmtId="164" fontId="62" fillId="0" borderId="12" xfId="0" applyNumberFormat="1" applyFont="1" applyBorder="1" applyAlignment="1">
      <alignment horizontal="center"/>
    </xf>
    <xf numFmtId="3" fontId="20" fillId="0" borderId="29" xfId="0" applyNumberFormat="1" applyFont="1" applyFill="1" applyBorder="1" applyAlignment="1">
      <alignment horizontal="center"/>
    </xf>
    <xf numFmtId="3" fontId="20" fillId="0" borderId="51" xfId="0" applyNumberFormat="1" applyFont="1" applyFill="1" applyBorder="1" applyAlignment="1">
      <alignment horizontal="center"/>
    </xf>
    <xf numFmtId="3" fontId="20" fillId="0" borderId="52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 wrapText="1"/>
    </xf>
    <xf numFmtId="2" fontId="62" fillId="0" borderId="12" xfId="0" applyNumberFormat="1" applyFont="1" applyBorder="1" applyAlignment="1">
      <alignment horizontal="center"/>
    </xf>
    <xf numFmtId="2" fontId="62" fillId="0" borderId="10" xfId="0" applyNumberFormat="1" applyFont="1" applyBorder="1" applyAlignment="1">
      <alignment horizontal="center"/>
    </xf>
    <xf numFmtId="2" fontId="62" fillId="0" borderId="11" xfId="0" applyNumberFormat="1" applyFont="1" applyBorder="1" applyAlignment="1">
      <alignment horizontal="center"/>
    </xf>
    <xf numFmtId="2" fontId="23" fillId="0" borderId="29" xfId="0" applyNumberFormat="1" applyFont="1" applyBorder="1" applyAlignment="1">
      <alignment horizontal="center"/>
    </xf>
    <xf numFmtId="2" fontId="62" fillId="0" borderId="29" xfId="0" applyNumberFormat="1" applyFont="1" applyBorder="1" applyAlignment="1">
      <alignment horizontal="center"/>
    </xf>
    <xf numFmtId="4" fontId="62" fillId="0" borderId="12" xfId="0" applyNumberFormat="1" applyFont="1" applyFill="1" applyBorder="1" applyAlignment="1">
      <alignment horizontal="center"/>
    </xf>
    <xf numFmtId="2" fontId="62" fillId="0" borderId="12" xfId="0" applyNumberFormat="1" applyFont="1" applyFill="1" applyBorder="1" applyAlignment="1">
      <alignment horizontal="center"/>
    </xf>
    <xf numFmtId="2" fontId="62" fillId="0" borderId="10" xfId="0" applyNumberFormat="1" applyFont="1" applyFill="1" applyBorder="1" applyAlignment="1">
      <alignment horizontal="center"/>
    </xf>
    <xf numFmtId="2" fontId="62" fillId="0" borderId="51" xfId="0" applyNumberFormat="1" applyFont="1" applyFill="1" applyBorder="1" applyAlignment="1">
      <alignment horizontal="center"/>
    </xf>
    <xf numFmtId="2" fontId="62" fillId="0" borderId="52" xfId="0" applyNumberFormat="1" applyFont="1" applyFill="1" applyBorder="1" applyAlignment="1">
      <alignment horizontal="center"/>
    </xf>
    <xf numFmtId="167" fontId="62" fillId="0" borderId="12" xfId="0" applyNumberFormat="1" applyFont="1" applyBorder="1" applyAlignment="1">
      <alignment horizontal="center"/>
    </xf>
    <xf numFmtId="167" fontId="62" fillId="0" borderId="10" xfId="0" applyNumberFormat="1" applyFont="1" applyBorder="1" applyAlignment="1">
      <alignment horizontal="center"/>
    </xf>
    <xf numFmtId="167" fontId="62" fillId="0" borderId="11" xfId="0" applyNumberFormat="1" applyFont="1" applyBorder="1" applyAlignment="1">
      <alignment horizontal="center"/>
    </xf>
    <xf numFmtId="167" fontId="23" fillId="0" borderId="29" xfId="0" applyNumberFormat="1" applyFont="1" applyBorder="1" applyAlignment="1">
      <alignment horizontal="center"/>
    </xf>
    <xf numFmtId="167" fontId="62" fillId="0" borderId="29" xfId="0" applyNumberFormat="1" applyFont="1" applyBorder="1" applyAlignment="1">
      <alignment horizontal="center"/>
    </xf>
    <xf numFmtId="168" fontId="62" fillId="0" borderId="12" xfId="0" applyNumberFormat="1" applyFont="1" applyFill="1" applyBorder="1" applyAlignment="1">
      <alignment horizontal="center"/>
    </xf>
    <xf numFmtId="167" fontId="6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51" xfId="0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top"/>
    </xf>
    <xf numFmtId="1" fontId="23" fillId="0" borderId="29" xfId="0" applyNumberFormat="1" applyFont="1" applyBorder="1" applyAlignment="1">
      <alignment horizontal="center"/>
    </xf>
    <xf numFmtId="1" fontId="62" fillId="0" borderId="29" xfId="0" applyNumberFormat="1" applyFont="1" applyBorder="1" applyAlignment="1">
      <alignment horizontal="center"/>
    </xf>
    <xf numFmtId="1" fontId="62" fillId="0" borderId="12" xfId="0" applyNumberFormat="1" applyFont="1" applyFill="1" applyBorder="1" applyAlignment="1">
      <alignment horizontal="center"/>
    </xf>
    <xf numFmtId="1" fontId="62" fillId="0" borderId="10" xfId="0" applyNumberFormat="1" applyFont="1" applyFill="1" applyBorder="1" applyAlignment="1">
      <alignment horizontal="center"/>
    </xf>
    <xf numFmtId="1" fontId="62" fillId="0" borderId="51" xfId="0" applyNumberFormat="1" applyFont="1" applyFill="1" applyBorder="1" applyAlignment="1">
      <alignment horizontal="center"/>
    </xf>
    <xf numFmtId="1" fontId="62" fillId="0" borderId="52" xfId="0" applyNumberFormat="1" applyFont="1" applyFill="1" applyBorder="1" applyAlignment="1">
      <alignment horizontal="center"/>
    </xf>
    <xf numFmtId="3" fontId="23" fillId="0" borderId="29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3" fillId="0" borderId="51" xfId="0" applyNumberFormat="1" applyFont="1" applyFill="1" applyBorder="1" applyAlignment="1">
      <alignment horizontal="center"/>
    </xf>
    <xf numFmtId="3" fontId="23" fillId="0" borderId="52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52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3" fontId="62" fillId="0" borderId="55" xfId="0" applyNumberFormat="1" applyFont="1" applyFill="1" applyBorder="1" applyAlignment="1">
      <alignment horizontal="center"/>
    </xf>
    <xf numFmtId="3" fontId="62" fillId="0" borderId="32" xfId="0" applyNumberFormat="1" applyFont="1" applyFill="1" applyBorder="1" applyAlignment="1">
      <alignment horizontal="center"/>
    </xf>
    <xf numFmtId="49" fontId="26" fillId="20" borderId="10" xfId="0" applyNumberFormat="1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left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3" fontId="26" fillId="20" borderId="29" xfId="0" applyNumberFormat="1" applyFont="1" applyFill="1" applyBorder="1" applyAlignment="1">
      <alignment horizontal="center"/>
    </xf>
    <xf numFmtId="3" fontId="26" fillId="20" borderId="51" xfId="0" applyNumberFormat="1" applyFont="1" applyFill="1" applyBorder="1" applyAlignment="1">
      <alignment horizontal="center"/>
    </xf>
    <xf numFmtId="3" fontId="26" fillId="20" borderId="52" xfId="0" applyNumberFormat="1" applyFont="1" applyFill="1" applyBorder="1" applyAlignment="1">
      <alignment horizontal="center"/>
    </xf>
    <xf numFmtId="3" fontId="62" fillId="0" borderId="11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51" xfId="0" applyNumberFormat="1" applyFont="1" applyFill="1" applyBorder="1" applyAlignment="1">
      <alignment horizontal="center"/>
    </xf>
    <xf numFmtId="3" fontId="8" fillId="0" borderId="52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 wrapText="1"/>
    </xf>
    <xf numFmtId="3" fontId="8" fillId="0" borderId="33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150" fillId="0" borderId="0" xfId="0" applyNumberFormat="1" applyFont="1" applyAlignment="1">
      <alignment horizontal="center"/>
    </xf>
    <xf numFmtId="165" fontId="97" fillId="0" borderId="0" xfId="77" applyNumberFormat="1" applyFont="1" applyAlignment="1">
      <alignment horizontal="center"/>
    </xf>
    <xf numFmtId="0" fontId="21" fillId="0" borderId="0" xfId="58" applyFont="1">
      <alignment/>
      <protection/>
    </xf>
    <xf numFmtId="165" fontId="26" fillId="0" borderId="0" xfId="77" applyNumberFormat="1" applyFont="1" applyAlignment="1">
      <alignment horizontal="center"/>
    </xf>
    <xf numFmtId="165" fontId="8" fillId="0" borderId="0" xfId="77" applyNumberFormat="1" applyFont="1" applyAlignment="1">
      <alignment horizontal="center"/>
    </xf>
    <xf numFmtId="3" fontId="8" fillId="0" borderId="0" xfId="77" applyNumberFormat="1" applyFont="1" applyFill="1" applyAlignment="1">
      <alignment horizontal="center"/>
    </xf>
    <xf numFmtId="3" fontId="26" fillId="0" borderId="0" xfId="77" applyNumberFormat="1" applyFont="1" applyFill="1" applyAlignment="1">
      <alignment horizontal="center"/>
    </xf>
    <xf numFmtId="3" fontId="150" fillId="0" borderId="0" xfId="77" applyNumberFormat="1" applyFont="1" applyFill="1" applyAlignment="1">
      <alignment horizontal="center"/>
    </xf>
    <xf numFmtId="3" fontId="1" fillId="0" borderId="0" xfId="77" applyNumberFormat="1" applyFont="1" applyFill="1" applyAlignment="1">
      <alignment horizontal="center"/>
    </xf>
    <xf numFmtId="0" fontId="25" fillId="0" borderId="10" xfId="58" applyFont="1" applyBorder="1" applyAlignment="1">
      <alignment horizontal="center" vertical="center" wrapText="1"/>
      <protection/>
    </xf>
    <xf numFmtId="3" fontId="20" fillId="0" borderId="0" xfId="0" applyNumberFormat="1" applyFont="1" applyAlignment="1">
      <alignment horizontal="center"/>
    </xf>
    <xf numFmtId="3" fontId="146" fillId="0" borderId="0" xfId="0" applyNumberFormat="1" applyFont="1" applyAlignment="1">
      <alignment horizontal="center"/>
    </xf>
    <xf numFmtId="0" fontId="23" fillId="0" borderId="10" xfId="58" applyFont="1" applyBorder="1" applyAlignment="1">
      <alignment horizontal="center"/>
      <protection/>
    </xf>
    <xf numFmtId="0" fontId="23" fillId="0" borderId="10" xfId="58" applyFont="1" applyBorder="1">
      <alignment/>
      <protection/>
    </xf>
    <xf numFmtId="167" fontId="23" fillId="25" borderId="10" xfId="58" applyNumberFormat="1" applyFont="1" applyFill="1" applyBorder="1">
      <alignment/>
      <protection/>
    </xf>
    <xf numFmtId="3" fontId="23" fillId="0" borderId="10" xfId="58" applyNumberFormat="1" applyFont="1" applyBorder="1">
      <alignment/>
      <protection/>
    </xf>
    <xf numFmtId="2" fontId="21" fillId="25" borderId="0" xfId="58" applyNumberFormat="1" applyFont="1" applyFill="1">
      <alignment/>
      <protection/>
    </xf>
    <xf numFmtId="4" fontId="23" fillId="0" borderId="10" xfId="58" applyNumberFormat="1" applyFont="1" applyBorder="1">
      <alignment/>
      <protection/>
    </xf>
    <xf numFmtId="4" fontId="23" fillId="0" borderId="10" xfId="58" applyNumberFormat="1" applyFont="1" applyBorder="1" applyAlignment="1">
      <alignment horizontal="center"/>
      <protection/>
    </xf>
    <xf numFmtId="3" fontId="23" fillId="0" borderId="10" xfId="58" applyNumberFormat="1" applyFont="1" applyBorder="1" applyAlignment="1">
      <alignment horizontal="center"/>
      <protection/>
    </xf>
    <xf numFmtId="10" fontId="23" fillId="0" borderId="10" xfId="58" applyNumberFormat="1" applyFont="1" applyBorder="1" applyAlignment="1">
      <alignment horizontal="center"/>
      <protection/>
    </xf>
    <xf numFmtId="3" fontId="22" fillId="0" borderId="0" xfId="0" applyNumberFormat="1" applyFont="1" applyAlignment="1">
      <alignment horizontal="center"/>
    </xf>
    <xf numFmtId="4" fontId="23" fillId="25" borderId="10" xfId="58" applyNumberFormat="1" applyFont="1" applyFill="1" applyBorder="1">
      <alignment/>
      <protection/>
    </xf>
    <xf numFmtId="0" fontId="25" fillId="0" borderId="10" xfId="58" applyFont="1" applyBorder="1">
      <alignment/>
      <protection/>
    </xf>
    <xf numFmtId="167" fontId="25" fillId="0" borderId="10" xfId="58" applyNumberFormat="1" applyFont="1" applyBorder="1">
      <alignment/>
      <protection/>
    </xf>
    <xf numFmtId="3" fontId="25" fillId="0" borderId="10" xfId="58" applyNumberFormat="1" applyFont="1" applyBorder="1">
      <alignment/>
      <protection/>
    </xf>
    <xf numFmtId="0" fontId="25" fillId="0" borderId="10" xfId="58" applyFont="1" applyBorder="1" applyAlignment="1">
      <alignment horizontal="center"/>
      <protection/>
    </xf>
    <xf numFmtId="2" fontId="25" fillId="0" borderId="10" xfId="58" applyNumberFormat="1" applyFont="1" applyBorder="1">
      <alignment/>
      <protection/>
    </xf>
    <xf numFmtId="2" fontId="25" fillId="0" borderId="10" xfId="58" applyNumberFormat="1" applyFont="1" applyBorder="1" applyAlignment="1">
      <alignment horizontal="center"/>
      <protection/>
    </xf>
    <xf numFmtId="3" fontId="25" fillId="0" borderId="10" xfId="58" applyNumberFormat="1" applyFont="1" applyBorder="1" applyAlignment="1">
      <alignment horizontal="center"/>
      <protection/>
    </xf>
    <xf numFmtId="10" fontId="25" fillId="0" borderId="10" xfId="58" applyNumberFormat="1" applyFont="1" applyBorder="1" applyAlignment="1">
      <alignment horizontal="center"/>
      <protection/>
    </xf>
    <xf numFmtId="0" fontId="100" fillId="0" borderId="46" xfId="0" applyFont="1" applyBorder="1" applyAlignment="1">
      <alignment horizontal="center" vertical="center" wrapText="1"/>
    </xf>
    <xf numFmtId="167" fontId="1" fillId="0" borderId="46" xfId="0" applyNumberFormat="1" applyFont="1" applyFill="1" applyBorder="1" applyAlignment="1">
      <alignment horizontal="center"/>
    </xf>
    <xf numFmtId="1" fontId="148" fillId="0" borderId="46" xfId="0" applyNumberFormat="1" applyFont="1" applyFill="1" applyBorder="1" applyAlignment="1">
      <alignment horizontal="center"/>
    </xf>
    <xf numFmtId="1" fontId="149" fillId="0" borderId="46" xfId="0" applyNumberFormat="1" applyFont="1" applyFill="1" applyBorder="1" applyAlignment="1">
      <alignment horizontal="center"/>
    </xf>
    <xf numFmtId="0" fontId="20" fillId="0" borderId="46" xfId="0" applyFont="1" applyBorder="1" applyAlignment="1">
      <alignment horizontal="center" vertical="top"/>
    </xf>
    <xf numFmtId="3" fontId="62" fillId="0" borderId="46" xfId="0" applyNumberFormat="1" applyFont="1" applyBorder="1" applyAlignment="1">
      <alignment horizontal="center"/>
    </xf>
    <xf numFmtId="164" fontId="62" fillId="0" borderId="46" xfId="0" applyNumberFormat="1" applyFont="1" applyBorder="1" applyAlignment="1">
      <alignment horizontal="center"/>
    </xf>
    <xf numFmtId="3" fontId="20" fillId="0" borderId="46" xfId="0" applyNumberFormat="1" applyFont="1" applyBorder="1" applyAlignment="1">
      <alignment horizontal="center"/>
    </xf>
    <xf numFmtId="2" fontId="62" fillId="0" borderId="46" xfId="0" applyNumberFormat="1" applyFont="1" applyBorder="1" applyAlignment="1">
      <alignment horizontal="center"/>
    </xf>
    <xf numFmtId="167" fontId="62" fillId="0" borderId="46" xfId="0" applyNumberFormat="1" applyFont="1" applyBorder="1" applyAlignment="1">
      <alignment horizontal="center"/>
    </xf>
    <xf numFmtId="3" fontId="20" fillId="0" borderId="46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3" fontId="1" fillId="0" borderId="46" xfId="0" applyNumberFormat="1" applyFont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0" fontId="8" fillId="0" borderId="46" xfId="0" applyFont="1" applyBorder="1" applyAlignment="1">
      <alignment horizontal="center" vertical="top"/>
    </xf>
    <xf numFmtId="0" fontId="62" fillId="0" borderId="46" xfId="0" applyFont="1" applyBorder="1" applyAlignment="1">
      <alignment horizontal="center"/>
    </xf>
    <xf numFmtId="3" fontId="26" fillId="20" borderId="46" xfId="0" applyNumberFormat="1" applyFont="1" applyFill="1" applyBorder="1" applyAlignment="1">
      <alignment horizontal="center"/>
    </xf>
    <xf numFmtId="3" fontId="8" fillId="0" borderId="46" xfId="0" applyNumberFormat="1" applyFont="1" applyBorder="1" applyAlignment="1">
      <alignment horizontal="center"/>
    </xf>
    <xf numFmtId="3" fontId="8" fillId="0" borderId="46" xfId="0" applyNumberFormat="1" applyFont="1" applyFill="1" applyBorder="1" applyAlignment="1">
      <alignment horizontal="center"/>
    </xf>
    <xf numFmtId="3" fontId="20" fillId="0" borderId="2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/>
    </xf>
    <xf numFmtId="168" fontId="1" fillId="0" borderId="51" xfId="0" applyNumberFormat="1" applyFont="1" applyFill="1" applyBorder="1" applyAlignment="1">
      <alignment horizontal="center"/>
    </xf>
    <xf numFmtId="168" fontId="8" fillId="0" borderId="51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center"/>
    </xf>
    <xf numFmtId="1" fontId="1" fillId="0" borderId="51" xfId="0" applyNumberFormat="1" applyFont="1" applyFill="1" applyBorder="1" applyAlignment="1">
      <alignment horizontal="center"/>
    </xf>
    <xf numFmtId="9" fontId="1" fillId="0" borderId="51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8" fillId="0" borderId="51" xfId="0" applyNumberFormat="1" applyFont="1" applyFill="1" applyBorder="1" applyAlignment="1">
      <alignment horizontal="center"/>
    </xf>
    <xf numFmtId="49" fontId="97" fillId="0" borderId="0" xfId="0" applyNumberFormat="1" applyFont="1" applyFill="1" applyBorder="1" applyAlignment="1">
      <alignment horizontal="center" vertical="center"/>
    </xf>
    <xf numFmtId="0" fontId="97" fillId="0" borderId="10" xfId="0" applyFont="1" applyBorder="1" applyAlignment="1">
      <alignment horizontal="left" wrapText="1"/>
    </xf>
    <xf numFmtId="1" fontId="97" fillId="0" borderId="51" xfId="0" applyNumberFormat="1" applyFont="1" applyFill="1" applyBorder="1" applyAlignment="1">
      <alignment horizontal="center"/>
    </xf>
    <xf numFmtId="1" fontId="97" fillId="0" borderId="10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164" fontId="1" fillId="0" borderId="51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8" fillId="0" borderId="51" xfId="0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1" fillId="0" borderId="51" xfId="0" applyNumberFormat="1" applyFont="1" applyFill="1" applyBorder="1" applyAlignment="1">
      <alignment horizontal="center" vertical="top"/>
    </xf>
    <xf numFmtId="49" fontId="8" fillId="20" borderId="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51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165" fontId="1" fillId="0" borderId="10" xfId="77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0" borderId="0" xfId="0" applyNumberFormat="1" applyFont="1" applyAlignment="1">
      <alignment/>
    </xf>
    <xf numFmtId="171" fontId="1" fillId="0" borderId="0" xfId="0" applyNumberFormat="1" applyFont="1" applyFill="1" applyAlignment="1">
      <alignment/>
    </xf>
    <xf numFmtId="171" fontId="1" fillId="0" borderId="0" xfId="0" applyNumberFormat="1" applyFont="1" applyAlignment="1">
      <alignment/>
    </xf>
    <xf numFmtId="0" fontId="98" fillId="0" borderId="0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0" fillId="0" borderId="51" xfId="0" applyFont="1" applyFill="1" applyBorder="1" applyAlignment="1">
      <alignment horizontal="center" vertical="center" wrapText="1"/>
    </xf>
    <xf numFmtId="0" fontId="100" fillId="0" borderId="5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51" xfId="0" applyNumberFormat="1" applyFont="1" applyFill="1" applyBorder="1" applyAlignment="1">
      <alignment horizontal="center"/>
    </xf>
    <xf numFmtId="167" fontId="1" fillId="0" borderId="52" xfId="0" applyNumberFormat="1" applyFont="1" applyFill="1" applyBorder="1" applyAlignment="1">
      <alignment horizontal="center"/>
    </xf>
    <xf numFmtId="1" fontId="148" fillId="0" borderId="12" xfId="0" applyNumberFormat="1" applyFont="1" applyFill="1" applyBorder="1" applyAlignment="1">
      <alignment horizontal="center"/>
    </xf>
    <xf numFmtId="167" fontId="148" fillId="0" borderId="12" xfId="0" applyNumberFormat="1" applyFont="1" applyFill="1" applyBorder="1" applyAlignment="1">
      <alignment horizontal="center"/>
    </xf>
    <xf numFmtId="0" fontId="148" fillId="0" borderId="10" xfId="0" applyFont="1" applyFill="1" applyBorder="1" applyAlignment="1">
      <alignment horizontal="center"/>
    </xf>
    <xf numFmtId="167" fontId="148" fillId="0" borderId="55" xfId="0" applyNumberFormat="1" applyFont="1" applyFill="1" applyBorder="1" applyAlignment="1">
      <alignment horizontal="center"/>
    </xf>
    <xf numFmtId="167" fontId="148" fillId="0" borderId="10" xfId="0" applyNumberFormat="1" applyFont="1" applyFill="1" applyBorder="1" applyAlignment="1">
      <alignment horizontal="center"/>
    </xf>
    <xf numFmtId="167" fontId="148" fillId="0" borderId="32" xfId="0" applyNumberFormat="1" applyFont="1" applyFill="1" applyBorder="1" applyAlignment="1">
      <alignment horizontal="center"/>
    </xf>
    <xf numFmtId="1" fontId="149" fillId="0" borderId="12" xfId="0" applyNumberFormat="1" applyFont="1" applyFill="1" applyBorder="1" applyAlignment="1">
      <alignment horizontal="center"/>
    </xf>
    <xf numFmtId="0" fontId="149" fillId="0" borderId="10" xfId="0" applyFont="1" applyFill="1" applyBorder="1" applyAlignment="1">
      <alignment horizontal="center"/>
    </xf>
    <xf numFmtId="0" fontId="149" fillId="0" borderId="11" xfId="0" applyFont="1" applyFill="1" applyBorder="1" applyAlignment="1">
      <alignment horizontal="center"/>
    </xf>
    <xf numFmtId="1" fontId="149" fillId="0" borderId="51" xfId="0" applyNumberFormat="1" applyFont="1" applyFill="1" applyBorder="1" applyAlignment="1">
      <alignment horizontal="center"/>
    </xf>
    <xf numFmtId="1" fontId="149" fillId="0" borderId="10" xfId="0" applyNumberFormat="1" applyFont="1" applyFill="1" applyBorder="1" applyAlignment="1">
      <alignment horizontal="center"/>
    </xf>
    <xf numFmtId="1" fontId="149" fillId="0" borderId="52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/>
    </xf>
    <xf numFmtId="0" fontId="20" fillId="0" borderId="51" xfId="0" applyFont="1" applyFill="1" applyBorder="1" applyAlignment="1">
      <alignment horizontal="center" vertical="top"/>
    </xf>
    <xf numFmtId="0" fontId="20" fillId="0" borderId="52" xfId="0" applyFont="1" applyFill="1" applyBorder="1" applyAlignment="1">
      <alignment horizontal="center" vertical="top"/>
    </xf>
    <xf numFmtId="3" fontId="62" fillId="0" borderId="12" xfId="0" applyNumberFormat="1" applyFont="1" applyFill="1" applyBorder="1" applyAlignment="1">
      <alignment horizontal="center"/>
    </xf>
    <xf numFmtId="3" fontId="62" fillId="0" borderId="13" xfId="0" applyNumberFormat="1" applyFont="1" applyFill="1" applyBorder="1" applyAlignment="1">
      <alignment horizontal="center"/>
    </xf>
    <xf numFmtId="3" fontId="62" fillId="0" borderId="51" xfId="0" applyNumberFormat="1" applyFont="1" applyFill="1" applyBorder="1" applyAlignment="1">
      <alignment horizontal="center"/>
    </xf>
    <xf numFmtId="3" fontId="62" fillId="0" borderId="32" xfId="0" applyNumberFormat="1" applyFont="1" applyFill="1" applyBorder="1" applyAlignment="1">
      <alignment horizontal="center"/>
    </xf>
    <xf numFmtId="164" fontId="62" fillId="0" borderId="12" xfId="0" applyNumberFormat="1" applyFont="1" applyFill="1" applyBorder="1" applyAlignment="1">
      <alignment horizontal="center"/>
    </xf>
    <xf numFmtId="164" fontId="62" fillId="0" borderId="13" xfId="0" applyNumberFormat="1" applyFont="1" applyFill="1" applyBorder="1" applyAlignment="1">
      <alignment horizontal="center"/>
    </xf>
    <xf numFmtId="164" fontId="62" fillId="0" borderId="51" xfId="0" applyNumberFormat="1" applyFont="1" applyFill="1" applyBorder="1" applyAlignment="1">
      <alignment horizontal="center"/>
    </xf>
    <xf numFmtId="164" fontId="62" fillId="0" borderId="32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3" fontId="20" fillId="0" borderId="55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3" fontId="20" fillId="0" borderId="32" xfId="0" applyNumberFormat="1" applyFont="1" applyFill="1" applyBorder="1" applyAlignment="1">
      <alignment horizontal="center"/>
    </xf>
    <xf numFmtId="4" fontId="62" fillId="0" borderId="12" xfId="0" applyNumberFormat="1" applyFont="1" applyFill="1" applyBorder="1" applyAlignment="1">
      <alignment horizontal="center"/>
    </xf>
    <xf numFmtId="2" fontId="62" fillId="0" borderId="12" xfId="0" applyNumberFormat="1" applyFont="1" applyFill="1" applyBorder="1" applyAlignment="1">
      <alignment horizontal="center"/>
    </xf>
    <xf numFmtId="2" fontId="62" fillId="0" borderId="10" xfId="0" applyNumberFormat="1" applyFont="1" applyFill="1" applyBorder="1" applyAlignment="1">
      <alignment horizontal="center"/>
    </xf>
    <xf numFmtId="2" fontId="62" fillId="0" borderId="11" xfId="0" applyNumberFormat="1" applyFont="1" applyFill="1" applyBorder="1" applyAlignment="1">
      <alignment horizontal="center"/>
    </xf>
    <xf numFmtId="2" fontId="62" fillId="0" borderId="55" xfId="0" applyNumberFormat="1" applyFont="1" applyFill="1" applyBorder="1" applyAlignment="1">
      <alignment horizontal="center"/>
    </xf>
    <xf numFmtId="2" fontId="62" fillId="0" borderId="32" xfId="0" applyNumberFormat="1" applyFont="1" applyFill="1" applyBorder="1" applyAlignment="1">
      <alignment horizontal="center"/>
    </xf>
    <xf numFmtId="167" fontId="62" fillId="0" borderId="10" xfId="0" applyNumberFormat="1" applyFont="1" applyFill="1" applyBorder="1" applyAlignment="1">
      <alignment horizontal="center"/>
    </xf>
    <xf numFmtId="167" fontId="62" fillId="0" borderId="11" xfId="0" applyNumberFormat="1" applyFont="1" applyFill="1" applyBorder="1" applyAlignment="1">
      <alignment horizontal="center"/>
    </xf>
    <xf numFmtId="168" fontId="62" fillId="0" borderId="12" xfId="0" applyNumberFormat="1" applyFont="1" applyFill="1" applyBorder="1" applyAlignment="1">
      <alignment horizontal="center"/>
    </xf>
    <xf numFmtId="168" fontId="62" fillId="0" borderId="13" xfId="0" applyNumberFormat="1" applyFont="1" applyFill="1" applyBorder="1" applyAlignment="1">
      <alignment horizontal="center"/>
    </xf>
    <xf numFmtId="168" fontId="62" fillId="0" borderId="55" xfId="0" applyNumberFormat="1" applyFont="1" applyFill="1" applyBorder="1" applyAlignment="1">
      <alignment horizontal="center"/>
    </xf>
    <xf numFmtId="168" fontId="62" fillId="0" borderId="10" xfId="0" applyNumberFormat="1" applyFont="1" applyFill="1" applyBorder="1" applyAlignment="1">
      <alignment horizontal="center"/>
    </xf>
    <xf numFmtId="168" fontId="62" fillId="0" borderId="32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1" fontId="62" fillId="0" borderId="10" xfId="0" applyNumberFormat="1" applyFont="1" applyFill="1" applyBorder="1" applyAlignment="1">
      <alignment horizontal="center"/>
    </xf>
    <xf numFmtId="1" fontId="62" fillId="0" borderId="11" xfId="0" applyNumberFormat="1" applyFont="1" applyFill="1" applyBorder="1" applyAlignment="1">
      <alignment horizontal="center"/>
    </xf>
    <xf numFmtId="1" fontId="62" fillId="0" borderId="55" xfId="0" applyNumberFormat="1" applyFont="1" applyFill="1" applyBorder="1" applyAlignment="1">
      <alignment horizontal="center"/>
    </xf>
    <xf numFmtId="1" fontId="62" fillId="0" borderId="3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23" fillId="0" borderId="55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32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3" fontId="62" fillId="0" borderId="55" xfId="0" applyNumberFormat="1" applyFont="1" applyFill="1" applyBorder="1" applyAlignment="1">
      <alignment horizontal="center"/>
    </xf>
    <xf numFmtId="3" fontId="62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55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3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3" fontId="26" fillId="0" borderId="55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3" fontId="26" fillId="0" borderId="3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3" fontId="8" fillId="0" borderId="55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56" xfId="0" applyNumberFormat="1" applyFont="1" applyFill="1" applyBorder="1" applyAlignment="1">
      <alignment horizontal="center"/>
    </xf>
    <xf numFmtId="3" fontId="8" fillId="0" borderId="57" xfId="0" applyNumberFormat="1" applyFont="1" applyFill="1" applyBorder="1" applyAlignment="1">
      <alignment horizontal="center"/>
    </xf>
    <xf numFmtId="3" fontId="8" fillId="0" borderId="34" xfId="0" applyNumberFormat="1" applyFont="1" applyFill="1" applyBorder="1" applyAlignment="1">
      <alignment horizontal="center"/>
    </xf>
    <xf numFmtId="0" fontId="100" fillId="0" borderId="4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62" fillId="0" borderId="46" xfId="0" applyNumberFormat="1" applyFont="1" applyFill="1" applyBorder="1" applyAlignment="1">
      <alignment horizontal="center"/>
    </xf>
    <xf numFmtId="167" fontId="62" fillId="0" borderId="58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62" fillId="0" borderId="46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 vertical="top"/>
    </xf>
    <xf numFmtId="167" fontId="62" fillId="0" borderId="55" xfId="0" applyNumberFormat="1" applyFont="1" applyFill="1" applyBorder="1" applyAlignment="1">
      <alignment horizontal="center"/>
    </xf>
    <xf numFmtId="3" fontId="20" fillId="0" borderId="55" xfId="0" applyNumberFormat="1" applyFont="1" applyFill="1" applyBorder="1" applyAlignment="1">
      <alignment horizontal="center"/>
    </xf>
    <xf numFmtId="167" fontId="62" fillId="0" borderId="32" xfId="0" applyNumberFormat="1" applyFont="1" applyFill="1" applyBorder="1" applyAlignment="1">
      <alignment horizontal="center"/>
    </xf>
    <xf numFmtId="3" fontId="20" fillId="0" borderId="32" xfId="0" applyNumberFormat="1" applyFont="1" applyFill="1" applyBorder="1" applyAlignment="1">
      <alignment horizontal="center"/>
    </xf>
    <xf numFmtId="2" fontId="62" fillId="0" borderId="59" xfId="0" applyNumberFormat="1" applyFont="1" applyFill="1" applyBorder="1" applyAlignment="1">
      <alignment horizontal="center"/>
    </xf>
    <xf numFmtId="0" fontId="100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67" fontId="1" fillId="0" borderId="60" xfId="0" applyNumberFormat="1" applyFont="1" applyFill="1" applyBorder="1" applyAlignment="1">
      <alignment horizontal="center"/>
    </xf>
    <xf numFmtId="1" fontId="148" fillId="0" borderId="60" xfId="0" applyNumberFormat="1" applyFont="1" applyFill="1" applyBorder="1" applyAlignment="1">
      <alignment horizontal="center"/>
    </xf>
    <xf numFmtId="1" fontId="149" fillId="0" borderId="60" xfId="0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 vertical="top"/>
    </xf>
    <xf numFmtId="3" fontId="62" fillId="0" borderId="60" xfId="0" applyNumberFormat="1" applyFont="1" applyFill="1" applyBorder="1" applyAlignment="1">
      <alignment horizontal="center"/>
    </xf>
    <xf numFmtId="164" fontId="62" fillId="0" borderId="60" xfId="0" applyNumberFormat="1" applyFont="1" applyFill="1" applyBorder="1" applyAlignment="1">
      <alignment horizontal="center"/>
    </xf>
    <xf numFmtId="3" fontId="20" fillId="0" borderId="60" xfId="0" applyNumberFormat="1" applyFont="1" applyFill="1" applyBorder="1" applyAlignment="1">
      <alignment horizontal="center"/>
    </xf>
    <xf numFmtId="4" fontId="62" fillId="0" borderId="60" xfId="0" applyNumberFormat="1" applyFont="1" applyFill="1" applyBorder="1" applyAlignment="1">
      <alignment horizontal="center"/>
    </xf>
    <xf numFmtId="168" fontId="62" fillId="0" borderId="60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top"/>
    </xf>
    <xf numFmtId="3" fontId="1" fillId="0" borderId="60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62" fillId="0" borderId="6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 vertical="top"/>
    </xf>
    <xf numFmtId="3" fontId="26" fillId="0" borderId="60" xfId="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3" fontId="8" fillId="0" borderId="60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167" fontId="8" fillId="0" borderId="29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67" fontId="8" fillId="0" borderId="12" xfId="0" applyNumberFormat="1" applyFont="1" applyFill="1" applyBorder="1" applyAlignment="1">
      <alignment horizontal="center"/>
    </xf>
    <xf numFmtId="167" fontId="8" fillId="0" borderId="52" xfId="0" applyNumberFormat="1" applyFont="1" applyFill="1" applyBorder="1" applyAlignment="1">
      <alignment horizontal="center"/>
    </xf>
    <xf numFmtId="1" fontId="97" fillId="0" borderId="29" xfId="0" applyNumberFormat="1" applyFont="1" applyFill="1" applyBorder="1" applyAlignment="1">
      <alignment horizontal="center"/>
    </xf>
    <xf numFmtId="1" fontId="97" fillId="0" borderId="12" xfId="0" applyNumberFormat="1" applyFont="1" applyFill="1" applyBorder="1" applyAlignment="1">
      <alignment horizontal="center"/>
    </xf>
    <xf numFmtId="0" fontId="97" fillId="0" borderId="10" xfId="0" applyFont="1" applyFill="1" applyBorder="1" applyAlignment="1">
      <alignment horizontal="center"/>
    </xf>
    <xf numFmtId="0" fontId="97" fillId="0" borderId="46" xfId="0" applyFont="1" applyFill="1" applyBorder="1" applyAlignment="1">
      <alignment horizontal="center"/>
    </xf>
    <xf numFmtId="1" fontId="97" fillId="0" borderId="52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46" xfId="0" applyNumberFormat="1" applyFont="1" applyFill="1" applyBorder="1" applyAlignment="1">
      <alignment horizontal="center"/>
    </xf>
    <xf numFmtId="164" fontId="1" fillId="0" borderId="52" xfId="0" applyNumberFormat="1" applyFont="1" applyFill="1" applyBorder="1" applyAlignment="1">
      <alignment horizontal="center"/>
    </xf>
    <xf numFmtId="3" fontId="26" fillId="0" borderId="29" xfId="0" applyNumberFormat="1" applyFont="1" applyBorder="1" applyAlignment="1">
      <alignment horizontal="center"/>
    </xf>
    <xf numFmtId="3" fontId="26" fillId="0" borderId="46" xfId="0" applyNumberFormat="1" applyFont="1" applyFill="1" applyBorder="1" applyAlignment="1">
      <alignment horizontal="center"/>
    </xf>
    <xf numFmtId="3" fontId="26" fillId="0" borderId="51" xfId="0" applyNumberFormat="1" applyFont="1" applyFill="1" applyBorder="1" applyAlignment="1">
      <alignment horizontal="center"/>
    </xf>
    <xf numFmtId="3" fontId="26" fillId="0" borderId="52" xfId="0" applyNumberFormat="1" applyFont="1" applyFill="1" applyBorder="1" applyAlignment="1">
      <alignment horizontal="center"/>
    </xf>
    <xf numFmtId="2" fontId="62" fillId="0" borderId="55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top"/>
    </xf>
    <xf numFmtId="2" fontId="62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top"/>
    </xf>
    <xf numFmtId="1" fontId="62" fillId="0" borderId="50" xfId="0" applyNumberFormat="1" applyFont="1" applyFill="1" applyBorder="1" applyAlignment="1">
      <alignment horizontal="center"/>
    </xf>
    <xf numFmtId="0" fontId="1" fillId="27" borderId="0" xfId="0" applyFont="1" applyFill="1" applyAlignment="1">
      <alignment/>
    </xf>
    <xf numFmtId="0" fontId="1" fillId="25" borderId="0" xfId="0" applyFont="1" applyFill="1" applyAlignment="1">
      <alignment/>
    </xf>
    <xf numFmtId="3" fontId="4" fillId="28" borderId="0" xfId="0" applyNumberFormat="1" applyFont="1" applyFill="1" applyAlignment="1">
      <alignment/>
    </xf>
    <xf numFmtId="0" fontId="1" fillId="11" borderId="0" xfId="0" applyFont="1" applyFill="1" applyAlignment="1">
      <alignment/>
    </xf>
    <xf numFmtId="3" fontId="4" fillId="27" borderId="10" xfId="0" applyNumberFormat="1" applyFont="1" applyFill="1" applyBorder="1" applyAlignment="1">
      <alignment horizontal="left" wrapText="1" indent="1"/>
    </xf>
    <xf numFmtId="3" fontId="4" fillId="27" borderId="10" xfId="0" applyNumberFormat="1" applyFont="1" applyFill="1" applyBorder="1" applyAlignment="1">
      <alignment horizontal="left" indent="1"/>
    </xf>
    <xf numFmtId="0" fontId="4" fillId="25" borderId="13" xfId="0" applyFont="1" applyFill="1" applyBorder="1" applyAlignment="1">
      <alignment horizontal="left" wrapText="1" indent="1"/>
    </xf>
    <xf numFmtId="0" fontId="4" fillId="28" borderId="13" xfId="0" applyFont="1" applyFill="1" applyBorder="1" applyAlignment="1">
      <alignment horizontal="left" wrapText="1" indent="1"/>
    </xf>
    <xf numFmtId="0" fontId="4" fillId="28" borderId="13" xfId="0" applyFont="1" applyFill="1" applyBorder="1" applyAlignment="1">
      <alignment horizontal="left" wrapText="1" indent="3"/>
    </xf>
    <xf numFmtId="0" fontId="12" fillId="11" borderId="13" xfId="0" applyFont="1" applyFill="1" applyBorder="1" applyAlignment="1">
      <alignment horizontal="left" wrapText="1"/>
    </xf>
    <xf numFmtId="0" fontId="4" fillId="11" borderId="13" xfId="0" applyFont="1" applyFill="1" applyBorder="1" applyAlignment="1">
      <alignment horizontal="left" wrapText="1" indent="1"/>
    </xf>
    <xf numFmtId="0" fontId="12" fillId="28" borderId="13" xfId="0" applyFont="1" applyFill="1" applyBorder="1" applyAlignment="1">
      <alignment horizontal="left" wrapText="1"/>
    </xf>
    <xf numFmtId="0" fontId="13" fillId="0" borderId="13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3" fillId="0" borderId="13" xfId="0" applyFont="1" applyBorder="1" applyAlignment="1">
      <alignment horizontal="justify" wrapText="1"/>
    </xf>
    <xf numFmtId="0" fontId="97" fillId="0" borderId="13" xfId="0" applyNumberFormat="1" applyFont="1" applyBorder="1" applyAlignment="1">
      <alignment wrapText="1"/>
    </xf>
    <xf numFmtId="4" fontId="143" fillId="0" borderId="10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top"/>
    </xf>
    <xf numFmtId="1" fontId="97" fillId="0" borderId="51" xfId="0" applyNumberFormat="1" applyFont="1" applyFill="1" applyBorder="1" applyAlignment="1">
      <alignment horizontal="center"/>
    </xf>
    <xf numFmtId="1" fontId="97" fillId="0" borderId="10" xfId="0" applyNumberFormat="1" applyFont="1" applyFill="1" applyBorder="1" applyAlignment="1">
      <alignment horizontal="center"/>
    </xf>
    <xf numFmtId="1" fontId="97" fillId="0" borderId="52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3" fontId="8" fillId="0" borderId="51" xfId="0" applyNumberFormat="1" applyFont="1" applyFill="1" applyBorder="1" applyAlignment="1">
      <alignment horizontal="center"/>
    </xf>
    <xf numFmtId="3" fontId="8" fillId="0" borderId="52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4" fontId="1" fillId="0" borderId="51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vertical="center" wrapText="1"/>
    </xf>
    <xf numFmtId="168" fontId="1" fillId="0" borderId="46" xfId="0" applyNumberFormat="1" applyFont="1" applyFill="1" applyBorder="1" applyAlignment="1">
      <alignment horizontal="center"/>
    </xf>
    <xf numFmtId="168" fontId="8" fillId="0" borderId="46" xfId="0" applyNumberFormat="1" applyFont="1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/>
    </xf>
    <xf numFmtId="9" fontId="1" fillId="0" borderId="46" xfId="0" applyNumberFormat="1" applyFont="1" applyFill="1" applyBorder="1" applyAlignment="1">
      <alignment horizontal="center"/>
    </xf>
    <xf numFmtId="167" fontId="8" fillId="0" borderId="46" xfId="0" applyNumberFormat="1" applyFont="1" applyFill="1" applyBorder="1" applyAlignment="1">
      <alignment horizontal="center"/>
    </xf>
    <xf numFmtId="1" fontId="97" fillId="0" borderId="46" xfId="0" applyNumberFormat="1" applyFont="1" applyFill="1" applyBorder="1" applyAlignment="1">
      <alignment horizontal="center"/>
    </xf>
    <xf numFmtId="2" fontId="1" fillId="0" borderId="46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 vertical="top"/>
    </xf>
    <xf numFmtId="3" fontId="8" fillId="20" borderId="46" xfId="0" applyNumberFormat="1" applyFont="1" applyFill="1" applyBorder="1" applyAlignment="1">
      <alignment horizontal="center"/>
    </xf>
    <xf numFmtId="1" fontId="8" fillId="0" borderId="46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3" fontId="8" fillId="20" borderId="51" xfId="0" applyNumberFormat="1" applyFont="1" applyFill="1" applyBorder="1" applyAlignment="1">
      <alignment horizontal="center"/>
    </xf>
    <xf numFmtId="3" fontId="8" fillId="20" borderId="10" xfId="0" applyNumberFormat="1" applyFont="1" applyFill="1" applyBorder="1" applyAlignment="1">
      <alignment horizontal="center"/>
    </xf>
    <xf numFmtId="3" fontId="8" fillId="20" borderId="52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vertical="top"/>
    </xf>
    <xf numFmtId="0" fontId="1" fillId="0" borderId="64" xfId="0" applyFont="1" applyFill="1" applyBorder="1" applyAlignment="1">
      <alignment horizontal="center" vertical="top"/>
    </xf>
    <xf numFmtId="167" fontId="8" fillId="0" borderId="65" xfId="0" applyNumberFormat="1" applyFont="1" applyFill="1" applyBorder="1" applyAlignment="1">
      <alignment horizontal="center"/>
    </xf>
    <xf numFmtId="167" fontId="8" fillId="0" borderId="66" xfId="0" applyNumberFormat="1" applyFont="1" applyFill="1" applyBorder="1" applyAlignment="1">
      <alignment horizontal="center"/>
    </xf>
    <xf numFmtId="167" fontId="8" fillId="0" borderId="67" xfId="0" applyNumberFormat="1" applyFont="1" applyFill="1" applyBorder="1" applyAlignment="1">
      <alignment horizontal="center"/>
    </xf>
    <xf numFmtId="3" fontId="1" fillId="0" borderId="55" xfId="0" applyNumberFormat="1" applyFont="1" applyFill="1" applyBorder="1" applyAlignment="1">
      <alignment horizontal="center"/>
    </xf>
    <xf numFmtId="3" fontId="8" fillId="20" borderId="59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top"/>
    </xf>
    <xf numFmtId="0" fontId="151" fillId="0" borderId="13" xfId="0" applyFont="1" applyBorder="1" applyAlignment="1">
      <alignment wrapText="1"/>
    </xf>
    <xf numFmtId="3" fontId="27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3" fontId="29" fillId="2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top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top"/>
    </xf>
    <xf numFmtId="0" fontId="12" fillId="0" borderId="10" xfId="0" applyNumberFormat="1" applyFont="1" applyBorder="1" applyAlignment="1">
      <alignment vertical="top"/>
    </xf>
    <xf numFmtId="0" fontId="1" fillId="20" borderId="10" xfId="0" applyFont="1" applyFill="1" applyBorder="1" applyAlignment="1">
      <alignment horizontal="center" vertical="center" wrapText="1"/>
    </xf>
    <xf numFmtId="4" fontId="8" fillId="20" borderId="10" xfId="0" applyNumberFormat="1" applyFont="1" applyFill="1" applyBorder="1" applyAlignment="1">
      <alignment horizontal="center" vertical="center"/>
    </xf>
    <xf numFmtId="4" fontId="1" fillId="20" borderId="10" xfId="0" applyNumberFormat="1" applyFont="1" applyFill="1" applyBorder="1" applyAlignment="1">
      <alignment horizontal="center" vertical="center"/>
    </xf>
    <xf numFmtId="0" fontId="124" fillId="0" borderId="0" xfId="61" applyFont="1" applyAlignment="1">
      <alignment horizontal="center" vertical="center" wrapText="1"/>
      <protection/>
    </xf>
    <xf numFmtId="0" fontId="122" fillId="24" borderId="10" xfId="61" applyFont="1" applyFill="1" applyBorder="1" applyAlignment="1">
      <alignment horizontal="center" vertical="center" wrapText="1"/>
      <protection/>
    </xf>
    <xf numFmtId="0" fontId="25" fillId="0" borderId="59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175" fontId="25" fillId="0" borderId="10" xfId="82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75" fontId="25" fillId="0" borderId="59" xfId="82" applyNumberFormat="1" applyFont="1" applyBorder="1" applyAlignment="1">
      <alignment horizontal="center" vertical="center"/>
    </xf>
    <xf numFmtId="175" fontId="25" fillId="0" borderId="47" xfId="82" applyNumberFormat="1" applyFont="1" applyBorder="1" applyAlignment="1">
      <alignment horizontal="center" vertical="center"/>
    </xf>
    <xf numFmtId="175" fontId="25" fillId="0" borderId="60" xfId="82" applyNumberFormat="1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175" fontId="25" fillId="0" borderId="50" xfId="82" applyNumberFormat="1" applyFont="1" applyBorder="1" applyAlignment="1">
      <alignment horizontal="center" vertical="center"/>
    </xf>
    <xf numFmtId="0" fontId="8" fillId="0" borderId="47" xfId="70" applyFont="1" applyBorder="1" applyAlignment="1">
      <alignment horizontal="left" wrapText="1"/>
      <protection/>
    </xf>
    <xf numFmtId="0" fontId="8" fillId="0" borderId="60" xfId="70" applyFont="1" applyBorder="1" applyAlignment="1">
      <alignment horizontal="left" wrapText="1"/>
      <protection/>
    </xf>
    <xf numFmtId="0" fontId="110" fillId="0" borderId="0" xfId="72" applyFont="1" applyFill="1" applyAlignment="1">
      <alignment horizontal="left"/>
      <protection/>
    </xf>
    <xf numFmtId="0" fontId="18" fillId="0" borderId="35" xfId="72" applyFont="1" applyFill="1" applyBorder="1">
      <alignment/>
      <protection/>
    </xf>
    <xf numFmtId="0" fontId="50" fillId="0" borderId="10" xfId="72" applyFont="1" applyFill="1" applyBorder="1" applyAlignment="1">
      <alignment horizontal="left"/>
      <protection/>
    </xf>
    <xf numFmtId="0" fontId="50" fillId="0" borderId="0" xfId="72" applyFont="1" applyFill="1" applyBorder="1">
      <alignment/>
      <protection/>
    </xf>
    <xf numFmtId="0" fontId="108" fillId="0" borderId="0" xfId="72" applyFont="1" applyFill="1" applyBorder="1" applyAlignment="1">
      <alignment horizontal="center"/>
      <protection/>
    </xf>
    <xf numFmtId="0" fontId="16" fillId="0" borderId="36" xfId="72" applyFont="1" applyFill="1" applyBorder="1" applyAlignment="1">
      <alignment horizontal="right"/>
      <protection/>
    </xf>
    <xf numFmtId="171" fontId="91" fillId="0" borderId="10" xfId="72" applyNumberFormat="1" applyFont="1" applyFill="1" applyBorder="1" applyAlignment="1">
      <alignment horizontal="center"/>
      <protection/>
    </xf>
    <xf numFmtId="0" fontId="91" fillId="0" borderId="0" xfId="72" applyFont="1" applyFill="1" applyBorder="1" applyAlignment="1">
      <alignment horizontal="center"/>
      <protection/>
    </xf>
    <xf numFmtId="0" fontId="110" fillId="0" borderId="0" xfId="61" applyFont="1" applyFill="1" applyBorder="1">
      <alignment/>
      <protection/>
    </xf>
    <xf numFmtId="0" fontId="15" fillId="0" borderId="0" xfId="61" applyFont="1" applyFill="1">
      <alignment/>
      <protection/>
    </xf>
    <xf numFmtId="0" fontId="15" fillId="0" borderId="0" xfId="61" applyFont="1" applyFill="1" applyBorder="1">
      <alignment/>
      <protection/>
    </xf>
    <xf numFmtId="166" fontId="156" fillId="0" borderId="0" xfId="61" applyNumberFormat="1" applyFont="1" applyFill="1" applyBorder="1" applyAlignment="1">
      <alignment horizontal="center"/>
      <protection/>
    </xf>
    <xf numFmtId="0" fontId="14" fillId="0" borderId="0" xfId="61" applyFill="1">
      <alignment/>
      <protection/>
    </xf>
    <xf numFmtId="166" fontId="40" fillId="0" borderId="0" xfId="61" applyNumberFormat="1" applyFont="1" applyFill="1" applyBorder="1" applyAlignment="1">
      <alignment horizontal="center"/>
      <protection/>
    </xf>
    <xf numFmtId="0" fontId="157" fillId="0" borderId="68" xfId="61" applyFont="1" applyFill="1" applyBorder="1" applyAlignment="1">
      <alignment horizontal="center"/>
      <protection/>
    </xf>
    <xf numFmtId="0" fontId="157" fillId="0" borderId="69" xfId="61" applyFont="1" applyFill="1" applyBorder="1" applyAlignment="1">
      <alignment horizontal="center"/>
      <protection/>
    </xf>
    <xf numFmtId="0" fontId="157" fillId="0" borderId="70" xfId="61" applyFont="1" applyFill="1" applyBorder="1" applyAlignment="1">
      <alignment horizontal="center"/>
      <protection/>
    </xf>
    <xf numFmtId="0" fontId="158" fillId="0" borderId="70" xfId="61" applyFont="1" applyFill="1" applyBorder="1" applyAlignment="1">
      <alignment horizontal="center" vertical="center" wrapText="1"/>
      <protection/>
    </xf>
    <xf numFmtId="0" fontId="159" fillId="0" borderId="70" xfId="61" applyFont="1" applyFill="1" applyBorder="1" applyAlignment="1">
      <alignment horizontal="center" vertical="center" wrapText="1"/>
      <protection/>
    </xf>
    <xf numFmtId="0" fontId="160" fillId="0" borderId="71" xfId="61" applyFont="1" applyFill="1" applyBorder="1" applyAlignment="1">
      <alignment horizontal="center"/>
      <protection/>
    </xf>
    <xf numFmtId="0" fontId="162" fillId="0" borderId="72" xfId="61" applyFont="1" applyFill="1" applyBorder="1" applyAlignment="1">
      <alignment horizontal="center"/>
      <protection/>
    </xf>
    <xf numFmtId="0" fontId="160" fillId="0" borderId="73" xfId="61" applyFont="1" applyFill="1" applyBorder="1" applyAlignment="1">
      <alignment horizontal="center"/>
      <protection/>
    </xf>
    <xf numFmtId="0" fontId="158" fillId="0" borderId="73" xfId="61" applyFont="1" applyFill="1" applyBorder="1" applyAlignment="1">
      <alignment horizontal="center" vertical="center" wrapText="1"/>
      <protection/>
    </xf>
    <xf numFmtId="0" fontId="41" fillId="0" borderId="74" xfId="61" applyFont="1" applyFill="1" applyBorder="1" applyAlignment="1">
      <alignment horizontal="center"/>
      <protection/>
    </xf>
    <xf numFmtId="0" fontId="41" fillId="0" borderId="39" xfId="61" applyFont="1" applyFill="1" applyBorder="1">
      <alignment/>
      <protection/>
    </xf>
    <xf numFmtId="168" fontId="18" fillId="0" borderId="39" xfId="61" applyNumberFormat="1" applyFont="1" applyFill="1" applyBorder="1">
      <alignment/>
      <protection/>
    </xf>
    <xf numFmtId="3" fontId="157" fillId="0" borderId="69" xfId="61" applyNumberFormat="1" applyFont="1" applyFill="1" applyBorder="1" applyAlignment="1">
      <alignment horizontal="center"/>
      <protection/>
    </xf>
    <xf numFmtId="166" fontId="157" fillId="0" borderId="74" xfId="61" applyNumberFormat="1" applyFont="1" applyFill="1" applyBorder="1" applyAlignment="1">
      <alignment horizontal="center"/>
      <protection/>
    </xf>
    <xf numFmtId="166" fontId="42" fillId="0" borderId="41" xfId="61" applyNumberFormat="1" applyFont="1" applyFill="1" applyBorder="1" applyAlignment="1">
      <alignment horizontal="center"/>
      <protection/>
    </xf>
    <xf numFmtId="0" fontId="42" fillId="0" borderId="0" xfId="61" applyFont="1" applyFill="1" applyBorder="1" applyAlignment="1">
      <alignment horizontal="center"/>
      <protection/>
    </xf>
    <xf numFmtId="0" fontId="41" fillId="0" borderId="75" xfId="61" applyFont="1" applyFill="1" applyBorder="1">
      <alignment/>
      <protection/>
    </xf>
    <xf numFmtId="168" fontId="41" fillId="0" borderId="39" xfId="61" applyNumberFormat="1" applyFont="1" applyFill="1" applyBorder="1" applyAlignment="1">
      <alignment horizontal="center"/>
      <protection/>
    </xf>
    <xf numFmtId="3" fontId="157" fillId="0" borderId="76" xfId="61" applyNumberFormat="1" applyFont="1" applyFill="1" applyBorder="1" applyAlignment="1">
      <alignment horizontal="center"/>
      <protection/>
    </xf>
    <xf numFmtId="0" fontId="42" fillId="0" borderId="76" xfId="61" applyFont="1" applyFill="1" applyBorder="1" applyAlignment="1">
      <alignment horizontal="center"/>
      <protection/>
    </xf>
    <xf numFmtId="0" fontId="42" fillId="0" borderId="74" xfId="61" applyFont="1" applyFill="1" applyBorder="1" applyAlignment="1">
      <alignment horizontal="center"/>
      <protection/>
    </xf>
    <xf numFmtId="166" fontId="160" fillId="0" borderId="27" xfId="61" applyNumberFormat="1" applyFont="1" applyFill="1" applyBorder="1" applyAlignment="1">
      <alignment horizontal="left"/>
      <protection/>
    </xf>
    <xf numFmtId="1" fontId="160" fillId="0" borderId="27" xfId="61" applyNumberFormat="1" applyFont="1" applyFill="1" applyBorder="1" applyAlignment="1">
      <alignment horizontal="center"/>
      <protection/>
    </xf>
    <xf numFmtId="166" fontId="160" fillId="0" borderId="74" xfId="61" applyNumberFormat="1" applyFont="1" applyFill="1" applyBorder="1" applyAlignment="1">
      <alignment horizontal="center"/>
      <protection/>
    </xf>
    <xf numFmtId="0" fontId="41" fillId="0" borderId="30" xfId="61" applyFont="1" applyFill="1" applyBorder="1" applyAlignment="1">
      <alignment horizontal="center"/>
      <protection/>
    </xf>
    <xf numFmtId="0" fontId="41" fillId="0" borderId="16" xfId="61" applyFont="1" applyFill="1" applyBorder="1">
      <alignment/>
      <protection/>
    </xf>
    <xf numFmtId="168" fontId="41" fillId="0" borderId="55" xfId="61" applyNumberFormat="1" applyFont="1" applyFill="1" applyBorder="1" applyAlignment="1">
      <alignment horizontal="center"/>
      <protection/>
    </xf>
    <xf numFmtId="3" fontId="157" fillId="0" borderId="36" xfId="61" applyNumberFormat="1" applyFont="1" applyFill="1" applyBorder="1" applyAlignment="1">
      <alignment horizontal="center"/>
      <protection/>
    </xf>
    <xf numFmtId="0" fontId="42" fillId="0" borderId="36" xfId="61" applyFont="1" applyFill="1" applyBorder="1" applyAlignment="1">
      <alignment horizontal="center"/>
      <protection/>
    </xf>
    <xf numFmtId="0" fontId="42" fillId="0" borderId="29" xfId="61" applyFont="1" applyFill="1" applyBorder="1" applyAlignment="1">
      <alignment horizontal="center"/>
      <protection/>
    </xf>
    <xf numFmtId="166" fontId="160" fillId="0" borderId="29" xfId="61" applyNumberFormat="1" applyFont="1" applyFill="1" applyBorder="1" applyAlignment="1">
      <alignment horizontal="left"/>
      <protection/>
    </xf>
    <xf numFmtId="1" fontId="160" fillId="0" borderId="29" xfId="61" applyNumberFormat="1" applyFont="1" applyFill="1" applyBorder="1" applyAlignment="1">
      <alignment horizontal="center"/>
      <protection/>
    </xf>
    <xf numFmtId="166" fontId="160" fillId="0" borderId="30" xfId="61" applyNumberFormat="1" applyFont="1" applyFill="1" applyBorder="1" applyAlignment="1">
      <alignment horizontal="center"/>
      <protection/>
    </xf>
    <xf numFmtId="0" fontId="41" fillId="0" borderId="30" xfId="61" applyFont="1" applyFill="1" applyBorder="1">
      <alignment/>
      <protection/>
    </xf>
    <xf numFmtId="168" fontId="41" fillId="0" borderId="77" xfId="61" applyNumberFormat="1" applyFont="1" applyFill="1" applyBorder="1" applyAlignment="1">
      <alignment horizontal="center"/>
      <protection/>
    </xf>
    <xf numFmtId="0" fontId="42" fillId="0" borderId="30" xfId="61" applyFont="1" applyFill="1" applyBorder="1" applyAlignment="1">
      <alignment horizontal="center"/>
      <protection/>
    </xf>
    <xf numFmtId="0" fontId="41" fillId="0" borderId="0" xfId="61" applyFont="1" applyFill="1" applyBorder="1">
      <alignment/>
      <protection/>
    </xf>
    <xf numFmtId="3" fontId="157" fillId="0" borderId="20" xfId="61" applyNumberFormat="1" applyFont="1" applyFill="1" applyBorder="1" applyAlignment="1">
      <alignment horizontal="center"/>
      <protection/>
    </xf>
    <xf numFmtId="0" fontId="42" fillId="0" borderId="20" xfId="61" applyFont="1" applyFill="1" applyBorder="1" applyAlignment="1">
      <alignment horizontal="center"/>
      <protection/>
    </xf>
    <xf numFmtId="0" fontId="42" fillId="0" borderId="37" xfId="61" applyFont="1" applyFill="1" applyBorder="1" applyAlignment="1">
      <alignment horizontal="center"/>
      <protection/>
    </xf>
    <xf numFmtId="166" fontId="160" fillId="0" borderId="37" xfId="61" applyNumberFormat="1" applyFont="1" applyFill="1" applyBorder="1" applyAlignment="1">
      <alignment horizontal="left"/>
      <protection/>
    </xf>
    <xf numFmtId="1" fontId="160" fillId="0" borderId="37" xfId="61" applyNumberFormat="1" applyFont="1" applyFill="1" applyBorder="1" applyAlignment="1">
      <alignment horizontal="center"/>
      <protection/>
    </xf>
    <xf numFmtId="0" fontId="14" fillId="0" borderId="30" xfId="61" applyFont="1" applyFill="1" applyBorder="1">
      <alignment/>
      <protection/>
    </xf>
    <xf numFmtId="0" fontId="16" fillId="0" borderId="13" xfId="61" applyFont="1" applyFill="1" applyBorder="1">
      <alignment/>
      <protection/>
    </xf>
    <xf numFmtId="3" fontId="157" fillId="0" borderId="11" xfId="61" applyNumberFormat="1" applyFont="1" applyFill="1" applyBorder="1" applyAlignment="1">
      <alignment horizontal="center"/>
      <protection/>
    </xf>
    <xf numFmtId="0" fontId="42" fillId="0" borderId="11" xfId="61" applyFont="1" applyFill="1" applyBorder="1" applyAlignment="1">
      <alignment horizontal="center"/>
      <protection/>
    </xf>
    <xf numFmtId="166" fontId="157" fillId="0" borderId="29" xfId="61" applyNumberFormat="1" applyFont="1" applyFill="1" applyBorder="1" applyAlignment="1">
      <alignment horizontal="center"/>
      <protection/>
    </xf>
    <xf numFmtId="166" fontId="165" fillId="0" borderId="32" xfId="61" applyNumberFormat="1" applyFont="1" applyFill="1" applyBorder="1" applyAlignment="1">
      <alignment horizontal="center"/>
      <protection/>
    </xf>
    <xf numFmtId="1" fontId="157" fillId="0" borderId="32" xfId="61" applyNumberFormat="1" applyFont="1" applyFill="1" applyBorder="1" applyAlignment="1">
      <alignment horizontal="center"/>
      <protection/>
    </xf>
    <xf numFmtId="166" fontId="165" fillId="0" borderId="29" xfId="61" applyNumberFormat="1" applyFont="1" applyFill="1" applyBorder="1" applyAlignment="1">
      <alignment horizontal="center"/>
      <protection/>
    </xf>
    <xf numFmtId="0" fontId="52" fillId="0" borderId="26" xfId="61" applyFont="1" applyFill="1" applyBorder="1" applyAlignment="1">
      <alignment horizontal="center"/>
      <protection/>
    </xf>
    <xf numFmtId="0" fontId="41" fillId="0" borderId="78" xfId="61" applyFont="1" applyFill="1" applyBorder="1">
      <alignment/>
      <protection/>
    </xf>
    <xf numFmtId="168" fontId="18" fillId="0" borderId="42" xfId="61" applyNumberFormat="1" applyFont="1" applyFill="1" applyBorder="1" applyAlignment="1">
      <alignment horizontal="center"/>
      <protection/>
    </xf>
    <xf numFmtId="3" fontId="157" fillId="0" borderId="72" xfId="61" applyNumberFormat="1" applyFont="1" applyFill="1" applyBorder="1" applyAlignment="1">
      <alignment horizontal="center"/>
      <protection/>
    </xf>
    <xf numFmtId="0" fontId="42" fillId="0" borderId="72" xfId="61" applyFont="1" applyFill="1" applyBorder="1" applyAlignment="1">
      <alignment horizontal="center"/>
      <protection/>
    </xf>
    <xf numFmtId="166" fontId="157" fillId="0" borderId="26" xfId="61" applyNumberFormat="1" applyFont="1" applyFill="1" applyBorder="1" applyAlignment="1">
      <alignment horizontal="center"/>
      <protection/>
    </xf>
    <xf numFmtId="166" fontId="165" fillId="0" borderId="79" xfId="61" applyNumberFormat="1" applyFont="1" applyFill="1" applyBorder="1" applyAlignment="1">
      <alignment horizontal="center"/>
      <protection/>
    </xf>
    <xf numFmtId="3" fontId="157" fillId="0" borderId="79" xfId="61" applyNumberFormat="1" applyFont="1" applyFill="1" applyBorder="1" applyAlignment="1">
      <alignment horizontal="center"/>
      <protection/>
    </xf>
    <xf numFmtId="166" fontId="165" fillId="0" borderId="26" xfId="61" applyNumberFormat="1" applyFont="1" applyFill="1" applyBorder="1" applyAlignment="1">
      <alignment horizontal="center"/>
      <protection/>
    </xf>
    <xf numFmtId="0" fontId="166" fillId="0" borderId="11" xfId="61" applyFont="1" applyFill="1" applyBorder="1" applyAlignment="1">
      <alignment horizontal="left"/>
      <protection/>
    </xf>
    <xf numFmtId="0" fontId="166" fillId="0" borderId="12" xfId="61" applyFont="1" applyFill="1" applyBorder="1" applyAlignment="1">
      <alignment horizontal="left"/>
      <protection/>
    </xf>
    <xf numFmtId="0" fontId="111" fillId="0" borderId="0" xfId="61" applyFont="1" applyFill="1" applyBorder="1">
      <alignment/>
      <protection/>
    </xf>
    <xf numFmtId="0" fontId="166" fillId="0" borderId="46" xfId="61" applyFont="1" applyFill="1" applyBorder="1" applyAlignment="1">
      <alignment horizontal="left"/>
      <protection/>
    </xf>
    <xf numFmtId="0" fontId="167" fillId="0" borderId="47" xfId="61" applyFont="1" applyFill="1" applyBorder="1">
      <alignment/>
      <protection/>
    </xf>
    <xf numFmtId="0" fontId="167" fillId="0" borderId="60" xfId="61" applyFont="1" applyFill="1" applyBorder="1" applyAlignment="1">
      <alignment horizontal="center"/>
      <protection/>
    </xf>
    <xf numFmtId="166" fontId="167" fillId="0" borderId="0" xfId="61" applyNumberFormat="1" applyFont="1" applyFill="1" applyBorder="1">
      <alignment/>
      <protection/>
    </xf>
    <xf numFmtId="0" fontId="166" fillId="0" borderId="50" xfId="61" applyFont="1" applyFill="1" applyBorder="1" applyAlignment="1">
      <alignment horizontal="left"/>
      <protection/>
    </xf>
    <xf numFmtId="0" fontId="167" fillId="0" borderId="50" xfId="61" applyFont="1" applyFill="1" applyBorder="1" applyAlignment="1">
      <alignment horizontal="left"/>
      <protection/>
    </xf>
    <xf numFmtId="0" fontId="167" fillId="0" borderId="80" xfId="61" applyFont="1" applyFill="1" applyBorder="1" applyAlignment="1">
      <alignment horizontal="center"/>
      <protection/>
    </xf>
    <xf numFmtId="0" fontId="14" fillId="0" borderId="81" xfId="61" applyFill="1" applyBorder="1" applyAlignment="1">
      <alignment horizontal="left"/>
      <protection/>
    </xf>
    <xf numFmtId="0" fontId="14" fillId="0" borderId="82" xfId="61" applyFill="1" applyBorder="1" applyAlignment="1">
      <alignment horizontal="left"/>
      <protection/>
    </xf>
    <xf numFmtId="0" fontId="111" fillId="0" borderId="59" xfId="61" applyFont="1" applyFill="1" applyBorder="1" applyAlignment="1">
      <alignment horizontal="center"/>
      <protection/>
    </xf>
    <xf numFmtId="0" fontId="17" fillId="0" borderId="83" xfId="61" applyFont="1" applyBorder="1" applyAlignment="1">
      <alignment horizontal="left"/>
      <protection/>
    </xf>
    <xf numFmtId="0" fontId="14" fillId="0" borderId="84" xfId="61" applyFont="1" applyBorder="1" applyAlignment="1">
      <alignment horizontal="left"/>
      <protection/>
    </xf>
    <xf numFmtId="0" fontId="111" fillId="0" borderId="85" xfId="61" applyFont="1" applyBorder="1" applyAlignment="1">
      <alignment horizontal="center"/>
      <protection/>
    </xf>
    <xf numFmtId="0" fontId="111" fillId="0" borderId="59" xfId="61" applyFont="1" applyBorder="1" applyAlignment="1">
      <alignment horizontal="center"/>
      <protection/>
    </xf>
    <xf numFmtId="0" fontId="64" fillId="0" borderId="59" xfId="0" applyFont="1" applyBorder="1" applyAlignment="1">
      <alignment horizontal="center"/>
    </xf>
    <xf numFmtId="0" fontId="111" fillId="0" borderId="86" xfId="61" applyFont="1" applyBorder="1" applyAlignment="1">
      <alignment horizontal="left"/>
      <protection/>
    </xf>
    <xf numFmtId="0" fontId="14" fillId="0" borderId="80" xfId="61" applyFont="1" applyBorder="1" applyAlignment="1">
      <alignment horizontal="left"/>
      <protection/>
    </xf>
    <xf numFmtId="0" fontId="111" fillId="0" borderId="50" xfId="61" applyFont="1" applyBorder="1" applyAlignment="1">
      <alignment horizontal="center"/>
      <protection/>
    </xf>
    <xf numFmtId="0" fontId="64" fillId="0" borderId="50" xfId="0" applyFont="1" applyBorder="1" applyAlignment="1">
      <alignment horizontal="center"/>
    </xf>
    <xf numFmtId="0" fontId="14" fillId="0" borderId="10" xfId="61" applyBorder="1">
      <alignment/>
      <protection/>
    </xf>
    <xf numFmtId="0" fontId="41" fillId="0" borderId="10" xfId="61" applyFont="1" applyFill="1" applyBorder="1" applyAlignment="1">
      <alignment horizontal="center"/>
      <protection/>
    </xf>
    <xf numFmtId="0" fontId="17" fillId="0" borderId="10" xfId="61" applyFont="1" applyBorder="1">
      <alignment/>
      <protection/>
    </xf>
    <xf numFmtId="0" fontId="57" fillId="0" borderId="10" xfId="0" applyFont="1" applyBorder="1" applyAlignment="1">
      <alignment/>
    </xf>
    <xf numFmtId="0" fontId="18" fillId="0" borderId="10" xfId="6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68" fillId="0" borderId="10" xfId="61" applyFont="1" applyFill="1" applyBorder="1" applyAlignment="1">
      <alignment horizontal="center"/>
      <protection/>
    </xf>
    <xf numFmtId="0" fontId="14" fillId="0" borderId="46" xfId="61" applyFont="1" applyBorder="1">
      <alignment/>
      <protection/>
    </xf>
    <xf numFmtId="0" fontId="14" fillId="0" borderId="47" xfId="61" applyBorder="1">
      <alignment/>
      <protection/>
    </xf>
    <xf numFmtId="0" fontId="14" fillId="0" borderId="60" xfId="61" applyBorder="1">
      <alignment/>
      <protection/>
    </xf>
    <xf numFmtId="4" fontId="17" fillId="0" borderId="10" xfId="61" applyNumberFormat="1" applyFont="1" applyBorder="1">
      <alignment/>
      <protection/>
    </xf>
    <xf numFmtId="4" fontId="57" fillId="0" borderId="10" xfId="0" applyNumberFormat="1" applyFont="1" applyBorder="1" applyAlignment="1">
      <alignment/>
    </xf>
    <xf numFmtId="4" fontId="17" fillId="0" borderId="0" xfId="61" applyNumberFormat="1" applyFont="1">
      <alignment/>
      <protection/>
    </xf>
    <xf numFmtId="0" fontId="145" fillId="0" borderId="0" xfId="61" applyFont="1" applyFill="1" applyBorder="1" applyAlignment="1">
      <alignment horizontal="center" vertical="center" wrapText="1"/>
      <protection/>
    </xf>
    <xf numFmtId="0" fontId="170" fillId="0" borderId="0" xfId="61" applyFont="1" applyFill="1" applyBorder="1" applyAlignment="1">
      <alignment horizontal="center" vertical="center" wrapText="1"/>
      <protection/>
    </xf>
    <xf numFmtId="0" fontId="170" fillId="0" borderId="15" xfId="61" applyFont="1" applyBorder="1" applyAlignment="1">
      <alignment vertical="center" wrapText="1"/>
      <protection/>
    </xf>
    <xf numFmtId="168" fontId="17" fillId="0" borderId="10" xfId="61" applyNumberFormat="1" applyFont="1" applyBorder="1" applyAlignment="1">
      <alignment horizontal="center"/>
      <protection/>
    </xf>
    <xf numFmtId="0" fontId="17" fillId="0" borderId="10" xfId="61" applyFont="1" applyBorder="1" applyAlignment="1">
      <alignment horizontal="center"/>
      <protection/>
    </xf>
    <xf numFmtId="4" fontId="17" fillId="0" borderId="10" xfId="61" applyNumberFormat="1" applyFont="1" applyBorder="1" applyAlignment="1">
      <alignment horizontal="center"/>
      <protection/>
    </xf>
    <xf numFmtId="4" fontId="57" fillId="0" borderId="10" xfId="0" applyNumberFormat="1" applyFont="1" applyBorder="1" applyAlignment="1">
      <alignment horizontal="center"/>
    </xf>
    <xf numFmtId="0" fontId="170" fillId="0" borderId="11" xfId="61" applyFont="1" applyBorder="1" applyAlignment="1">
      <alignment horizontal="center"/>
      <protection/>
    </xf>
    <xf numFmtId="168" fontId="18" fillId="0" borderId="10" xfId="61" applyNumberFormat="1" applyFont="1" applyFill="1" applyBorder="1" applyAlignment="1">
      <alignment horizontal="center"/>
      <protection/>
    </xf>
    <xf numFmtId="0" fontId="170" fillId="0" borderId="10" xfId="61" applyFont="1" applyBorder="1" applyAlignment="1">
      <alignment horizontal="center"/>
      <protection/>
    </xf>
    <xf numFmtId="4" fontId="171" fillId="0" borderId="10" xfId="61" applyNumberFormat="1" applyFont="1" applyBorder="1" applyAlignment="1">
      <alignment horizontal="center"/>
      <protection/>
    </xf>
    <xf numFmtId="4" fontId="14" fillId="0" borderId="10" xfId="61" applyNumberFormat="1" applyFont="1" applyBorder="1" applyAlignment="1">
      <alignment horizontal="center"/>
      <protection/>
    </xf>
    <xf numFmtId="4" fontId="14" fillId="0" borderId="10" xfId="61" applyNumberFormat="1" applyBorder="1">
      <alignment/>
      <protection/>
    </xf>
    <xf numFmtId="4" fontId="0" fillId="0" borderId="10" xfId="0" applyNumberFormat="1" applyBorder="1" applyAlignment="1">
      <alignment/>
    </xf>
    <xf numFmtId="0" fontId="41" fillId="0" borderId="0" xfId="61" applyFont="1" applyFill="1" applyBorder="1" applyAlignment="1">
      <alignment horizontal="left"/>
      <protection/>
    </xf>
    <xf numFmtId="0" fontId="16" fillId="0" borderId="0" xfId="61" applyFont="1" applyFill="1" applyBorder="1">
      <alignment/>
      <protection/>
    </xf>
    <xf numFmtId="0" fontId="18" fillId="0" borderId="0" xfId="61" applyFont="1" applyFill="1" applyBorder="1">
      <alignment/>
      <protection/>
    </xf>
    <xf numFmtId="0" fontId="41" fillId="0" borderId="0" xfId="61" applyFont="1" applyFill="1" applyBorder="1" applyAlignment="1">
      <alignment horizontal="center"/>
      <protection/>
    </xf>
    <xf numFmtId="0" fontId="18" fillId="0" borderId="0" xfId="61" applyFont="1" applyFill="1" applyBorder="1" applyAlignment="1">
      <alignment horizontal="center"/>
      <protection/>
    </xf>
    <xf numFmtId="166" fontId="41" fillId="0" borderId="0" xfId="61" applyNumberFormat="1" applyFont="1" applyFill="1" applyBorder="1" applyAlignment="1">
      <alignment horizontal="center"/>
      <protection/>
    </xf>
    <xf numFmtId="166" fontId="18" fillId="0" borderId="0" xfId="61" applyNumberFormat="1" applyFont="1" applyFill="1" applyBorder="1" applyAlignment="1">
      <alignment horizontal="center"/>
      <protection/>
    </xf>
    <xf numFmtId="166" fontId="173" fillId="0" borderId="0" xfId="61" applyNumberFormat="1" applyFont="1" applyFill="1" applyBorder="1" applyAlignment="1">
      <alignment horizontal="center"/>
      <protection/>
    </xf>
    <xf numFmtId="0" fontId="18" fillId="0" borderId="0" xfId="61" applyFont="1" applyFill="1" applyBorder="1" applyAlignment="1">
      <alignment horizontal="left"/>
      <protection/>
    </xf>
    <xf numFmtId="166" fontId="174" fillId="0" borderId="0" xfId="61" applyNumberFormat="1" applyFont="1" applyFill="1" applyBorder="1" applyAlignment="1">
      <alignment horizontal="center"/>
      <protection/>
    </xf>
    <xf numFmtId="0" fontId="14" fillId="0" borderId="0" xfId="61" applyFont="1" applyFill="1" applyBorder="1">
      <alignment/>
      <protection/>
    </xf>
    <xf numFmtId="0" fontId="17" fillId="0" borderId="0" xfId="61" applyFont="1" applyFill="1" applyBorder="1">
      <alignment/>
      <protection/>
    </xf>
    <xf numFmtId="0" fontId="168" fillId="0" borderId="0" xfId="61" applyFont="1" applyFill="1" applyBorder="1" applyAlignment="1">
      <alignment horizontal="center"/>
      <protection/>
    </xf>
    <xf numFmtId="4" fontId="168" fillId="0" borderId="0" xfId="61" applyNumberFormat="1" applyFont="1" applyFill="1" applyBorder="1" applyAlignment="1">
      <alignment horizontal="center"/>
      <protection/>
    </xf>
    <xf numFmtId="4" fontId="168" fillId="0" borderId="18" xfId="61" applyNumberFormat="1" applyFont="1" applyFill="1" applyBorder="1" applyAlignment="1">
      <alignment horizontal="center"/>
      <protection/>
    </xf>
    <xf numFmtId="166" fontId="18" fillId="0" borderId="18" xfId="61" applyNumberFormat="1" applyFont="1" applyFill="1" applyBorder="1" applyAlignment="1">
      <alignment horizontal="center"/>
      <protection/>
    </xf>
    <xf numFmtId="166" fontId="18" fillId="0" borderId="14" xfId="61" applyNumberFormat="1" applyFont="1" applyFill="1" applyBorder="1" applyAlignment="1">
      <alignment horizontal="center"/>
      <protection/>
    </xf>
    <xf numFmtId="0" fontId="168" fillId="0" borderId="87" xfId="61" applyFont="1" applyFill="1" applyBorder="1" applyAlignment="1">
      <alignment horizontal="center"/>
      <protection/>
    </xf>
    <xf numFmtId="0" fontId="176" fillId="0" borderId="15" xfId="61" applyFont="1" applyFill="1" applyBorder="1" applyAlignment="1">
      <alignment horizontal="center"/>
      <protection/>
    </xf>
    <xf numFmtId="4" fontId="176" fillId="0" borderId="15" xfId="61" applyNumberFormat="1" applyFont="1" applyFill="1" applyBorder="1" applyAlignment="1">
      <alignment horizontal="center"/>
      <protection/>
    </xf>
    <xf numFmtId="4" fontId="176" fillId="0" borderId="10" xfId="61" applyNumberFormat="1" applyFont="1" applyFill="1" applyBorder="1" applyAlignment="1">
      <alignment horizontal="center"/>
      <protection/>
    </xf>
    <xf numFmtId="0" fontId="168" fillId="0" borderId="10" xfId="61" applyFont="1" applyFill="1" applyBorder="1" applyAlignment="1">
      <alignment horizontal="center"/>
      <protection/>
    </xf>
    <xf numFmtId="4" fontId="168" fillId="0" borderId="10" xfId="61" applyNumberFormat="1" applyFont="1" applyFill="1" applyBorder="1" applyAlignment="1">
      <alignment horizontal="center"/>
      <protection/>
    </xf>
    <xf numFmtId="0" fontId="176" fillId="0" borderId="10" xfId="61" applyFont="1" applyFill="1" applyBorder="1" applyAlignment="1">
      <alignment horizontal="center"/>
      <protection/>
    </xf>
    <xf numFmtId="4" fontId="176" fillId="0" borderId="10" xfId="61" applyNumberFormat="1" applyFont="1" applyFill="1" applyBorder="1" applyAlignment="1">
      <alignment horizontal="center"/>
      <protection/>
    </xf>
    <xf numFmtId="0" fontId="176" fillId="0" borderId="0" xfId="61" applyFont="1" applyFill="1" applyBorder="1" applyAlignment="1">
      <alignment/>
      <protection/>
    </xf>
    <xf numFmtId="0" fontId="168" fillId="0" borderId="0" xfId="61" applyFont="1" applyFill="1" applyBorder="1" applyAlignment="1">
      <alignment/>
      <protection/>
    </xf>
    <xf numFmtId="0" fontId="176" fillId="0" borderId="10" xfId="61" applyFont="1" applyFill="1" applyBorder="1" applyAlignment="1">
      <alignment horizontal="center"/>
      <protection/>
    </xf>
    <xf numFmtId="49" fontId="28" fillId="0" borderId="10" xfId="0" applyNumberFormat="1" applyFont="1" applyBorder="1" applyAlignment="1">
      <alignment horizontal="left" wrapText="1" indent="6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77" fillId="0" borderId="10" xfId="0" applyFont="1" applyFill="1" applyBorder="1" applyAlignment="1">
      <alignment horizontal="center" vertical="top" wrapText="1"/>
    </xf>
    <xf numFmtId="168" fontId="177" fillId="0" borderId="10" xfId="0" applyNumberFormat="1" applyFont="1" applyFill="1" applyBorder="1" applyAlignment="1">
      <alignment horizontal="center" vertical="top" wrapText="1"/>
    </xf>
    <xf numFmtId="4" fontId="177" fillId="0" borderId="10" xfId="0" applyNumberFormat="1" applyFont="1" applyFill="1" applyBorder="1" applyAlignment="1">
      <alignment horizontal="center" vertical="top" wrapText="1"/>
    </xf>
    <xf numFmtId="167" fontId="177" fillId="0" borderId="10" xfId="0" applyNumberFormat="1" applyFont="1" applyFill="1" applyBorder="1" applyAlignment="1">
      <alignment horizontal="center" vertical="top" wrapText="1"/>
    </xf>
    <xf numFmtId="167" fontId="21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/>
    </xf>
    <xf numFmtId="167" fontId="28" fillId="0" borderId="10" xfId="0" applyNumberFormat="1" applyFont="1" applyBorder="1" applyAlignment="1">
      <alignment horizontal="center"/>
    </xf>
    <xf numFmtId="0" fontId="111" fillId="0" borderId="39" xfId="72" applyFont="1" applyFill="1" applyBorder="1">
      <alignment/>
      <protection/>
    </xf>
    <xf numFmtId="0" fontId="40" fillId="0" borderId="0" xfId="72" applyFont="1">
      <alignment/>
      <protection/>
    </xf>
    <xf numFmtId="0" fontId="166" fillId="0" borderId="35" xfId="72" applyFont="1" applyFill="1" applyBorder="1" applyAlignment="1">
      <alignment horizontal="center"/>
      <protection/>
    </xf>
    <xf numFmtId="0" fontId="166" fillId="0" borderId="14" xfId="72" applyFont="1" applyFill="1" applyBorder="1" applyAlignment="1">
      <alignment horizontal="center"/>
      <protection/>
    </xf>
    <xf numFmtId="0" fontId="166" fillId="25" borderId="17" xfId="72" applyFont="1" applyFill="1" applyBorder="1" applyAlignment="1">
      <alignment horizontal="center"/>
      <protection/>
    </xf>
    <xf numFmtId="0" fontId="166" fillId="24" borderId="35" xfId="72" applyFont="1" applyFill="1" applyBorder="1" applyAlignment="1">
      <alignment horizontal="center"/>
      <protection/>
    </xf>
    <xf numFmtId="0" fontId="166" fillId="0" borderId="88" xfId="72" applyFont="1" applyFill="1" applyBorder="1" applyAlignment="1">
      <alignment horizontal="center"/>
      <protection/>
    </xf>
    <xf numFmtId="0" fontId="166" fillId="0" borderId="89" xfId="72" applyFont="1" applyFill="1" applyBorder="1" applyAlignment="1">
      <alignment horizontal="center"/>
      <protection/>
    </xf>
    <xf numFmtId="0" fontId="166" fillId="0" borderId="64" xfId="72" applyFont="1" applyFill="1" applyBorder="1" applyAlignment="1">
      <alignment horizontal="center"/>
      <protection/>
    </xf>
    <xf numFmtId="0" fontId="167" fillId="10" borderId="11" xfId="71" applyFont="1" applyFill="1" applyBorder="1" applyAlignment="1">
      <alignment horizontal="center" vertical="center" wrapText="1"/>
      <protection/>
    </xf>
    <xf numFmtId="0" fontId="167" fillId="10" borderId="13" xfId="71" applyFont="1" applyFill="1" applyBorder="1" applyAlignment="1">
      <alignment horizontal="left" vertical="center"/>
      <protection/>
    </xf>
    <xf numFmtId="0" fontId="167" fillId="10" borderId="13" xfId="71" applyFont="1" applyFill="1" applyBorder="1" applyAlignment="1">
      <alignment horizontal="center" vertical="center" wrapText="1"/>
      <protection/>
    </xf>
    <xf numFmtId="0" fontId="166" fillId="10" borderId="13" xfId="72" applyFont="1" applyFill="1" applyBorder="1" applyAlignment="1">
      <alignment horizontal="center" vertical="center" wrapText="1"/>
      <protection/>
    </xf>
    <xf numFmtId="0" fontId="166" fillId="10" borderId="13" xfId="72" applyFont="1" applyFill="1" applyBorder="1" applyAlignment="1">
      <alignment horizontal="center"/>
      <protection/>
    </xf>
    <xf numFmtId="0" fontId="166" fillId="10" borderId="12" xfId="72" applyFont="1" applyFill="1" applyBorder="1" applyAlignment="1">
      <alignment horizontal="center"/>
      <protection/>
    </xf>
    <xf numFmtId="0" fontId="166" fillId="10" borderId="11" xfId="72" applyFont="1" applyFill="1" applyBorder="1" applyAlignment="1">
      <alignment horizontal="center"/>
      <protection/>
    </xf>
    <xf numFmtId="0" fontId="166" fillId="10" borderId="46" xfId="72" applyFont="1" applyFill="1" applyBorder="1" applyAlignment="1">
      <alignment horizontal="center"/>
      <protection/>
    </xf>
    <xf numFmtId="0" fontId="166" fillId="10" borderId="90" xfId="72" applyFont="1" applyFill="1" applyBorder="1" applyAlignment="1">
      <alignment horizontal="center"/>
      <protection/>
    </xf>
    <xf numFmtId="0" fontId="166" fillId="10" borderId="52" xfId="72" applyFont="1" applyFill="1" applyBorder="1" applyAlignment="1">
      <alignment horizontal="center"/>
      <protection/>
    </xf>
    <xf numFmtId="49" fontId="111" fillId="0" borderId="10" xfId="72" applyNumberFormat="1" applyFont="1" applyFill="1" applyBorder="1" applyAlignment="1">
      <alignment horizontal="center" vertical="center" wrapText="1"/>
      <protection/>
    </xf>
    <xf numFmtId="0" fontId="111" fillId="0" borderId="10" xfId="72" applyFont="1" applyFill="1" applyBorder="1">
      <alignment/>
      <protection/>
    </xf>
    <xf numFmtId="169" fontId="179" fillId="0" borderId="15" xfId="72" applyNumberFormat="1" applyFont="1" applyFill="1" applyBorder="1" applyAlignment="1" applyProtection="1">
      <alignment horizontal="right"/>
      <protection/>
    </xf>
    <xf numFmtId="169" fontId="180" fillId="0" borderId="15" xfId="72" applyNumberFormat="1" applyFont="1" applyFill="1" applyBorder="1" applyAlignment="1" applyProtection="1">
      <alignment horizontal="right"/>
      <protection/>
    </xf>
    <xf numFmtId="169" fontId="181" fillId="25" borderId="15" xfId="72" applyNumberFormat="1" applyFont="1" applyFill="1" applyBorder="1" applyAlignment="1">
      <alignment horizontal="right"/>
      <protection/>
    </xf>
    <xf numFmtId="169" fontId="180" fillId="24" borderId="15" xfId="72" applyNumberFormat="1" applyFont="1" applyFill="1" applyBorder="1" applyAlignment="1">
      <alignment horizontal="right"/>
      <protection/>
    </xf>
    <xf numFmtId="169" fontId="179" fillId="0" borderId="15" xfId="72" applyNumberFormat="1" applyFont="1" applyFill="1" applyBorder="1" applyAlignment="1" applyProtection="1">
      <alignment horizontal="center"/>
      <protection/>
    </xf>
    <xf numFmtId="169" fontId="179" fillId="0" borderId="63" xfId="72" applyNumberFormat="1" applyFont="1" applyFill="1" applyBorder="1" applyAlignment="1" applyProtection="1">
      <alignment horizontal="center"/>
      <protection/>
    </xf>
    <xf numFmtId="169" fontId="179" fillId="0" borderId="54" xfId="72" applyNumberFormat="1" applyFont="1" applyFill="1" applyBorder="1" applyAlignment="1" applyProtection="1">
      <alignment horizontal="right"/>
      <protection/>
    </xf>
    <xf numFmtId="169" fontId="179" fillId="0" borderId="91" xfId="72" applyNumberFormat="1" applyFont="1" applyFill="1" applyBorder="1" applyAlignment="1" applyProtection="1">
      <alignment horizontal="right"/>
      <protection/>
    </xf>
    <xf numFmtId="170" fontId="179" fillId="0" borderId="10" xfId="72" applyNumberFormat="1" applyFont="1" applyFill="1" applyBorder="1" applyAlignment="1" applyProtection="1">
      <alignment horizontal="right"/>
      <protection locked="0"/>
    </xf>
    <xf numFmtId="169" fontId="179" fillId="0" borderId="10" xfId="72" applyNumberFormat="1" applyFont="1" applyFill="1" applyBorder="1" applyAlignment="1" applyProtection="1">
      <alignment horizontal="right"/>
      <protection locked="0"/>
    </xf>
    <xf numFmtId="169" fontId="111" fillId="0" borderId="10" xfId="72" applyNumberFormat="1" applyFont="1" applyFill="1" applyBorder="1" applyAlignment="1" applyProtection="1">
      <alignment horizontal="right"/>
      <protection locked="0"/>
    </xf>
    <xf numFmtId="169" fontId="179" fillId="0" borderId="51" xfId="72" applyNumberFormat="1" applyFont="1" applyFill="1" applyBorder="1" applyAlignment="1" applyProtection="1">
      <alignment horizontal="right"/>
      <protection locked="0"/>
    </xf>
    <xf numFmtId="169" fontId="179" fillId="0" borderId="52" xfId="72" applyNumberFormat="1" applyFont="1" applyFill="1" applyBorder="1" applyAlignment="1" applyProtection="1">
      <alignment horizontal="right"/>
      <protection locked="0"/>
    </xf>
    <xf numFmtId="169" fontId="179" fillId="0" borderId="10" xfId="72" applyNumberFormat="1" applyFont="1" applyFill="1" applyBorder="1" applyAlignment="1" applyProtection="1">
      <alignment horizontal="right"/>
      <protection/>
    </xf>
    <xf numFmtId="169" fontId="180" fillId="0" borderId="10" xfId="72" applyNumberFormat="1" applyFont="1" applyFill="1" applyBorder="1" applyAlignment="1" applyProtection="1">
      <alignment horizontal="right"/>
      <protection/>
    </xf>
    <xf numFmtId="169" fontId="180" fillId="0" borderId="10" xfId="72" applyNumberFormat="1" applyFont="1" applyFill="1" applyBorder="1" applyAlignment="1">
      <alignment horizontal="right"/>
      <protection/>
    </xf>
    <xf numFmtId="169" fontId="111" fillId="0" borderId="55" xfId="72" applyNumberFormat="1" applyFont="1" applyFill="1" applyBorder="1">
      <alignment/>
      <protection/>
    </xf>
    <xf numFmtId="169" fontId="111" fillId="0" borderId="52" xfId="72" applyNumberFormat="1" applyFont="1" applyFill="1" applyBorder="1">
      <alignment/>
      <protection/>
    </xf>
    <xf numFmtId="0" fontId="111" fillId="25" borderId="10" xfId="72" applyFont="1" applyFill="1" applyBorder="1">
      <alignment/>
      <protection/>
    </xf>
    <xf numFmtId="165" fontId="180" fillId="0" borderId="10" xfId="72" applyNumberFormat="1" applyFont="1" applyFill="1" applyBorder="1" applyAlignment="1" applyProtection="1">
      <alignment horizontal="right"/>
      <protection/>
    </xf>
    <xf numFmtId="165" fontId="180" fillId="24" borderId="10" xfId="72" applyNumberFormat="1" applyFont="1" applyFill="1" applyBorder="1" applyAlignment="1" applyProtection="1">
      <alignment horizontal="right"/>
      <protection/>
    </xf>
    <xf numFmtId="165" fontId="181" fillId="0" borderId="10" xfId="72" applyNumberFormat="1" applyFont="1" applyFill="1" applyBorder="1" applyAlignment="1" applyProtection="1">
      <alignment horizontal="right"/>
      <protection/>
    </xf>
    <xf numFmtId="165" fontId="181" fillId="25" borderId="10" xfId="72" applyNumberFormat="1" applyFont="1" applyFill="1" applyBorder="1" applyAlignment="1" applyProtection="1">
      <alignment horizontal="right"/>
      <protection/>
    </xf>
    <xf numFmtId="165" fontId="180" fillId="24" borderId="10" xfId="72" applyNumberFormat="1" applyFont="1" applyFill="1" applyBorder="1" applyAlignment="1">
      <alignment horizontal="right"/>
      <protection/>
    </xf>
    <xf numFmtId="165" fontId="180" fillId="24" borderId="51" xfId="72" applyNumberFormat="1" applyFont="1" applyFill="1" applyBorder="1" applyAlignment="1" applyProtection="1">
      <alignment horizontal="right"/>
      <protection/>
    </xf>
    <xf numFmtId="165" fontId="180" fillId="24" borderId="52" xfId="72" applyNumberFormat="1" applyFont="1" applyFill="1" applyBorder="1" applyAlignment="1" applyProtection="1">
      <alignment horizontal="right"/>
      <protection/>
    </xf>
    <xf numFmtId="0" fontId="111" fillId="0" borderId="10" xfId="72" applyFont="1" applyFill="1" applyBorder="1" applyAlignment="1">
      <alignment horizontal="center"/>
      <protection/>
    </xf>
    <xf numFmtId="169" fontId="111" fillId="0" borderId="10" xfId="72" applyNumberFormat="1" applyFont="1" applyFill="1" applyBorder="1" applyAlignment="1">
      <alignment horizontal="right"/>
      <protection/>
    </xf>
    <xf numFmtId="169" fontId="180" fillId="24" borderId="10" xfId="72" applyNumberFormat="1" applyFont="1" applyFill="1" applyBorder="1" applyAlignment="1">
      <alignment horizontal="right"/>
      <protection/>
    </xf>
    <xf numFmtId="169" fontId="180" fillId="0" borderId="46" xfId="72" applyNumberFormat="1" applyFont="1" applyFill="1" applyBorder="1" applyAlignment="1">
      <alignment horizontal="right"/>
      <protection/>
    </xf>
    <xf numFmtId="49" fontId="111" fillId="24" borderId="10" xfId="72" applyNumberFormat="1" applyFont="1" applyFill="1" applyBorder="1" applyAlignment="1">
      <alignment horizontal="center" vertical="center" wrapText="1"/>
      <protection/>
    </xf>
    <xf numFmtId="0" fontId="166" fillId="25" borderId="10" xfId="72" applyFont="1" applyFill="1" applyBorder="1" applyAlignment="1">
      <alignment horizontal="left"/>
      <protection/>
    </xf>
    <xf numFmtId="169" fontId="166" fillId="6" borderId="10" xfId="72" applyNumberFormat="1" applyFont="1" applyFill="1" applyBorder="1" applyAlignment="1" applyProtection="1">
      <alignment horizontal="right"/>
      <protection locked="0"/>
    </xf>
    <xf numFmtId="169" fontId="181" fillId="6" borderId="15" xfId="72" applyNumberFormat="1" applyFont="1" applyFill="1" applyBorder="1" applyAlignment="1" applyProtection="1">
      <alignment horizontal="right"/>
      <protection/>
    </xf>
    <xf numFmtId="169" fontId="178" fillId="25" borderId="15" xfId="72" applyNumberFormat="1" applyFont="1" applyFill="1" applyBorder="1" applyAlignment="1">
      <alignment horizontal="right"/>
      <protection/>
    </xf>
    <xf numFmtId="169" fontId="181" fillId="24" borderId="15" xfId="72" applyNumberFormat="1" applyFont="1" applyFill="1" applyBorder="1" applyAlignment="1">
      <alignment horizontal="right"/>
      <protection/>
    </xf>
    <xf numFmtId="169" fontId="181" fillId="24" borderId="10" xfId="72" applyNumberFormat="1" applyFont="1" applyFill="1" applyBorder="1" applyAlignment="1">
      <alignment horizontal="right"/>
      <protection/>
    </xf>
    <xf numFmtId="169" fontId="181" fillId="24" borderId="46" xfId="72" applyNumberFormat="1" applyFont="1" applyFill="1" applyBorder="1" applyAlignment="1">
      <alignment horizontal="right"/>
      <protection/>
    </xf>
    <xf numFmtId="0" fontId="111" fillId="24" borderId="10" xfId="72" applyFont="1" applyFill="1" applyBorder="1" applyAlignment="1">
      <alignment horizontal="left"/>
      <protection/>
    </xf>
    <xf numFmtId="169" fontId="180" fillId="24" borderId="10" xfId="72" applyNumberFormat="1" applyFont="1" applyFill="1" applyBorder="1" applyAlignment="1" applyProtection="1">
      <alignment horizontal="right"/>
      <protection/>
    </xf>
    <xf numFmtId="169" fontId="180" fillId="24" borderId="15" xfId="72" applyNumberFormat="1" applyFont="1" applyFill="1" applyBorder="1" applyAlignment="1" applyProtection="1">
      <alignment horizontal="right"/>
      <protection/>
    </xf>
    <xf numFmtId="169" fontId="180" fillId="24" borderId="63" xfId="72" applyNumberFormat="1" applyFont="1" applyFill="1" applyBorder="1" applyAlignment="1">
      <alignment horizontal="right"/>
      <protection/>
    </xf>
    <xf numFmtId="0" fontId="111" fillId="24" borderId="10" xfId="72" applyFont="1" applyFill="1" applyBorder="1" applyAlignment="1">
      <alignment horizontal="center"/>
      <protection/>
    </xf>
    <xf numFmtId="169" fontId="111" fillId="24" borderId="10" xfId="72" applyNumberFormat="1" applyFont="1" applyFill="1" applyBorder="1" applyAlignment="1">
      <alignment horizontal="right"/>
      <protection/>
    </xf>
    <xf numFmtId="169" fontId="180" fillId="24" borderId="46" xfId="72" applyNumberFormat="1" applyFont="1" applyFill="1" applyBorder="1" applyAlignment="1">
      <alignment horizontal="right"/>
      <protection/>
    </xf>
    <xf numFmtId="0" fontId="166" fillId="25" borderId="10" xfId="72" applyFont="1" applyFill="1" applyBorder="1" applyAlignment="1">
      <alignment horizontal="right"/>
      <protection/>
    </xf>
    <xf numFmtId="0" fontId="111" fillId="0" borderId="10" xfId="72" applyFont="1" applyFill="1" applyBorder="1" applyAlignment="1">
      <alignment horizontal="right"/>
      <protection/>
    </xf>
    <xf numFmtId="169" fontId="179" fillId="0" borderId="46" xfId="72" applyNumberFormat="1" applyFont="1" applyFill="1" applyBorder="1" applyAlignment="1" applyProtection="1">
      <alignment horizontal="right"/>
      <protection/>
    </xf>
    <xf numFmtId="169" fontId="179" fillId="0" borderId="51" xfId="72" applyNumberFormat="1" applyFont="1" applyFill="1" applyBorder="1" applyAlignment="1" applyProtection="1">
      <alignment horizontal="right"/>
      <protection/>
    </xf>
    <xf numFmtId="169" fontId="179" fillId="0" borderId="52" xfId="72" applyNumberFormat="1" applyFont="1" applyFill="1" applyBorder="1" applyAlignment="1" applyProtection="1">
      <alignment horizontal="right"/>
      <protection/>
    </xf>
    <xf numFmtId="169" fontId="178" fillId="0" borderId="10" xfId="72" applyNumberFormat="1" applyFont="1" applyFill="1" applyBorder="1" applyAlignment="1" applyProtection="1">
      <alignment horizontal="right"/>
      <protection locked="0"/>
    </xf>
    <xf numFmtId="0" fontId="179" fillId="0" borderId="10" xfId="72" applyFont="1" applyFill="1" applyBorder="1" applyAlignment="1">
      <alignment horizontal="left"/>
      <protection/>
    </xf>
    <xf numFmtId="169" fontId="179" fillId="25" borderId="15" xfId="72" applyNumberFormat="1" applyFont="1" applyFill="1" applyBorder="1" applyAlignment="1">
      <alignment horizontal="right"/>
      <protection/>
    </xf>
    <xf numFmtId="169" fontId="180" fillId="0" borderId="15" xfId="72" applyNumberFormat="1" applyFont="1" applyFill="1" applyBorder="1" applyAlignment="1">
      <alignment horizontal="right"/>
      <protection/>
    </xf>
    <xf numFmtId="170" fontId="111" fillId="0" borderId="10" xfId="72" applyNumberFormat="1" applyFont="1" applyFill="1" applyBorder="1" applyAlignment="1" applyProtection="1">
      <alignment horizontal="right"/>
      <protection locked="0"/>
    </xf>
    <xf numFmtId="170" fontId="180" fillId="0" borderId="15" xfId="72" applyNumberFormat="1" applyFont="1" applyFill="1" applyBorder="1" applyAlignment="1" applyProtection="1">
      <alignment horizontal="right"/>
      <protection/>
    </xf>
    <xf numFmtId="180" fontId="179" fillId="25" borderId="15" xfId="72" applyNumberFormat="1" applyFont="1" applyFill="1" applyBorder="1" applyAlignment="1">
      <alignment horizontal="right"/>
      <protection/>
    </xf>
    <xf numFmtId="0" fontId="111" fillId="0" borderId="10" xfId="72" applyFont="1" applyFill="1" applyBorder="1" applyAlignment="1">
      <alignment horizontal="left" wrapText="1"/>
      <protection/>
    </xf>
    <xf numFmtId="169" fontId="180" fillId="0" borderId="51" xfId="72" applyNumberFormat="1" applyFont="1" applyFill="1" applyBorder="1" applyAlignment="1">
      <alignment horizontal="right"/>
      <protection/>
    </xf>
    <xf numFmtId="169" fontId="180" fillId="0" borderId="52" xfId="72" applyNumberFormat="1" applyFont="1" applyFill="1" applyBorder="1" applyAlignment="1">
      <alignment horizontal="right"/>
      <protection/>
    </xf>
    <xf numFmtId="0" fontId="111" fillId="10" borderId="10" xfId="72" applyFont="1" applyFill="1" applyBorder="1" applyAlignment="1">
      <alignment horizontal="center" wrapText="1"/>
      <protection/>
    </xf>
    <xf numFmtId="0" fontId="111" fillId="10" borderId="14" xfId="72" applyFont="1" applyFill="1" applyBorder="1" applyAlignment="1">
      <alignment horizontal="center" wrapText="1"/>
      <protection/>
    </xf>
    <xf numFmtId="0" fontId="111" fillId="10" borderId="46" xfId="72" applyFont="1" applyFill="1" applyBorder="1" applyAlignment="1">
      <alignment horizontal="center" wrapText="1"/>
      <protection/>
    </xf>
    <xf numFmtId="0" fontId="111" fillId="10" borderId="51" xfId="72" applyFont="1" applyFill="1" applyBorder="1" applyAlignment="1">
      <alignment horizontal="center" wrapText="1"/>
      <protection/>
    </xf>
    <xf numFmtId="0" fontId="111" fillId="10" borderId="52" xfId="72" applyFont="1" applyFill="1" applyBorder="1" applyAlignment="1">
      <alignment horizontal="center" wrapText="1"/>
      <protection/>
    </xf>
    <xf numFmtId="169" fontId="180" fillId="0" borderId="36" xfId="72" applyNumberFormat="1" applyFont="1" applyFill="1" applyBorder="1" applyAlignment="1" applyProtection="1">
      <alignment horizontal="right"/>
      <protection/>
    </xf>
    <xf numFmtId="169" fontId="181" fillId="25" borderId="10" xfId="72" applyNumberFormat="1" applyFont="1" applyFill="1" applyBorder="1" applyAlignment="1">
      <alignment horizontal="right"/>
      <protection/>
    </xf>
    <xf numFmtId="169" fontId="180" fillId="24" borderId="87" xfId="72" applyNumberFormat="1" applyFont="1" applyFill="1" applyBorder="1" applyAlignment="1">
      <alignment horizontal="right"/>
      <protection/>
    </xf>
    <xf numFmtId="165" fontId="180" fillId="0" borderId="51" xfId="72" applyNumberFormat="1" applyFont="1" applyFill="1" applyBorder="1" applyAlignment="1" applyProtection="1">
      <alignment horizontal="right"/>
      <protection/>
    </xf>
    <xf numFmtId="165" fontId="180" fillId="0" borderId="52" xfId="72" applyNumberFormat="1" applyFont="1" applyFill="1" applyBorder="1" applyAlignment="1" applyProtection="1">
      <alignment horizontal="right"/>
      <protection/>
    </xf>
    <xf numFmtId="169" fontId="111" fillId="0" borderId="11" xfId="72" applyNumberFormat="1" applyFont="1" applyFill="1" applyBorder="1" applyAlignment="1">
      <alignment horizontal="right"/>
      <protection/>
    </xf>
    <xf numFmtId="169" fontId="111" fillId="0" borderId="13" xfId="72" applyNumberFormat="1" applyFont="1" applyFill="1" applyBorder="1" applyAlignment="1">
      <alignment horizontal="right"/>
      <protection/>
    </xf>
    <xf numFmtId="169" fontId="111" fillId="0" borderId="12" xfId="72" applyNumberFormat="1" applyFont="1" applyFill="1" applyBorder="1" applyAlignment="1">
      <alignment horizontal="right"/>
      <protection/>
    </xf>
    <xf numFmtId="169" fontId="180" fillId="0" borderId="11" xfId="72" applyNumberFormat="1" applyFont="1" applyFill="1" applyBorder="1" applyAlignment="1">
      <alignment horizontal="right"/>
      <protection/>
    </xf>
    <xf numFmtId="169" fontId="180" fillId="0" borderId="12" xfId="72" applyNumberFormat="1" applyFont="1" applyFill="1" applyBorder="1" applyAlignment="1">
      <alignment horizontal="right"/>
      <protection/>
    </xf>
    <xf numFmtId="0" fontId="166" fillId="25" borderId="11" xfId="72" applyFont="1" applyFill="1" applyBorder="1" applyAlignment="1">
      <alignment horizontal="left"/>
      <protection/>
    </xf>
    <xf numFmtId="169" fontId="166" fillId="8" borderId="10" xfId="72" applyNumberFormat="1" applyFont="1" applyFill="1" applyBorder="1" applyAlignment="1" applyProtection="1">
      <alignment horizontal="right"/>
      <protection locked="0"/>
    </xf>
    <xf numFmtId="169" fontId="166" fillId="8" borderId="13" xfId="72" applyNumberFormat="1" applyFont="1" applyFill="1" applyBorder="1" applyAlignment="1" applyProtection="1">
      <alignment horizontal="right"/>
      <protection locked="0"/>
    </xf>
    <xf numFmtId="169" fontId="181" fillId="8" borderId="10" xfId="72" applyNumberFormat="1" applyFont="1" applyFill="1" applyBorder="1" applyAlignment="1" applyProtection="1">
      <alignment horizontal="right"/>
      <protection/>
    </xf>
    <xf numFmtId="169" fontId="181" fillId="8" borderId="16" xfId="72" applyNumberFormat="1" applyFont="1" applyFill="1" applyBorder="1" applyAlignment="1" applyProtection="1">
      <alignment horizontal="right"/>
      <protection/>
    </xf>
    <xf numFmtId="169" fontId="166" fillId="8" borderId="12" xfId="72" applyNumberFormat="1" applyFont="1" applyFill="1" applyBorder="1" applyAlignment="1" applyProtection="1">
      <alignment horizontal="right"/>
      <protection locked="0"/>
    </xf>
    <xf numFmtId="169" fontId="181" fillId="8" borderId="15" xfId="72" applyNumberFormat="1" applyFont="1" applyFill="1" applyBorder="1" applyAlignment="1" applyProtection="1">
      <alignment horizontal="right"/>
      <protection/>
    </xf>
    <xf numFmtId="169" fontId="181" fillId="8" borderId="36" xfId="72" applyNumberFormat="1" applyFont="1" applyFill="1" applyBorder="1" applyAlignment="1" applyProtection="1">
      <alignment horizontal="right"/>
      <protection/>
    </xf>
    <xf numFmtId="169" fontId="181" fillId="24" borderId="87" xfId="72" applyNumberFormat="1" applyFont="1" applyFill="1" applyBorder="1" applyAlignment="1">
      <alignment horizontal="right"/>
      <protection/>
    </xf>
    <xf numFmtId="169" fontId="181" fillId="24" borderId="11" xfId="72" applyNumberFormat="1" applyFont="1" applyFill="1" applyBorder="1" applyAlignment="1">
      <alignment horizontal="right"/>
      <protection/>
    </xf>
    <xf numFmtId="169" fontId="181" fillId="24" borderId="13" xfId="72" applyNumberFormat="1" applyFont="1" applyFill="1" applyBorder="1" applyAlignment="1">
      <alignment horizontal="right"/>
      <protection/>
    </xf>
    <xf numFmtId="169" fontId="181" fillId="24" borderId="12" xfId="72" applyNumberFormat="1" applyFont="1" applyFill="1" applyBorder="1" applyAlignment="1">
      <alignment horizontal="right"/>
      <protection/>
    </xf>
    <xf numFmtId="0" fontId="111" fillId="24" borderId="11" xfId="72" applyFont="1" applyFill="1" applyBorder="1" applyAlignment="1">
      <alignment horizontal="left"/>
      <protection/>
    </xf>
    <xf numFmtId="169" fontId="180" fillId="24" borderId="13" xfId="72" applyNumberFormat="1" applyFont="1" applyFill="1" applyBorder="1" applyAlignment="1" applyProtection="1">
      <alignment horizontal="right"/>
      <protection/>
    </xf>
    <xf numFmtId="169" fontId="180" fillId="24" borderId="16" xfId="72" applyNumberFormat="1" applyFont="1" applyFill="1" applyBorder="1" applyAlignment="1" applyProtection="1">
      <alignment horizontal="right"/>
      <protection/>
    </xf>
    <xf numFmtId="169" fontId="180" fillId="24" borderId="12" xfId="72" applyNumberFormat="1" applyFont="1" applyFill="1" applyBorder="1" applyAlignment="1" applyProtection="1">
      <alignment horizontal="right"/>
      <protection/>
    </xf>
    <xf numFmtId="169" fontId="180" fillId="24" borderId="36" xfId="72" applyNumberFormat="1" applyFont="1" applyFill="1" applyBorder="1" applyAlignment="1" applyProtection="1">
      <alignment horizontal="right"/>
      <protection/>
    </xf>
    <xf numFmtId="169" fontId="180" fillId="24" borderId="16" xfId="72" applyNumberFormat="1" applyFont="1" applyFill="1" applyBorder="1" applyAlignment="1">
      <alignment horizontal="right"/>
      <protection/>
    </xf>
    <xf numFmtId="169" fontId="180" fillId="24" borderId="13" xfId="72" applyNumberFormat="1" applyFont="1" applyFill="1" applyBorder="1" applyAlignment="1">
      <alignment horizontal="right"/>
      <protection/>
    </xf>
    <xf numFmtId="0" fontId="111" fillId="24" borderId="11" xfId="72" applyFont="1" applyFill="1" applyBorder="1" applyAlignment="1">
      <alignment horizontal="center"/>
      <protection/>
    </xf>
    <xf numFmtId="169" fontId="111" fillId="24" borderId="13" xfId="72" applyNumberFormat="1" applyFont="1" applyFill="1" applyBorder="1" applyAlignment="1">
      <alignment horizontal="right"/>
      <protection/>
    </xf>
    <xf numFmtId="0" fontId="166" fillId="25" borderId="35" xfId="72" applyFont="1" applyFill="1" applyBorder="1" applyAlignment="1">
      <alignment horizontal="right"/>
      <protection/>
    </xf>
    <xf numFmtId="1" fontId="166" fillId="8" borderId="19" xfId="72" applyNumberFormat="1" applyFont="1" applyFill="1" applyBorder="1">
      <alignment/>
      <protection/>
    </xf>
    <xf numFmtId="1" fontId="166" fillId="8" borderId="19" xfId="72" applyNumberFormat="1" applyFont="1" applyFill="1" applyBorder="1" applyAlignment="1">
      <alignment horizontal="center"/>
      <protection/>
    </xf>
    <xf numFmtId="169" fontId="180" fillId="8" borderId="15" xfId="72" applyNumberFormat="1" applyFont="1" applyFill="1" applyBorder="1" applyAlignment="1" applyProtection="1">
      <alignment horizontal="right"/>
      <protection/>
    </xf>
    <xf numFmtId="0" fontId="111" fillId="8" borderId="0" xfId="72" applyFont="1" applyFill="1">
      <alignment/>
      <protection/>
    </xf>
    <xf numFmtId="0" fontId="111" fillId="8" borderId="19" xfId="72" applyFont="1" applyFill="1" applyBorder="1">
      <alignment/>
      <protection/>
    </xf>
    <xf numFmtId="0" fontId="111" fillId="24" borderId="11" xfId="72" applyFont="1" applyFill="1" applyBorder="1" applyAlignment="1">
      <alignment horizontal="right"/>
      <protection/>
    </xf>
    <xf numFmtId="169" fontId="166" fillId="24" borderId="10" xfId="72" applyNumberFormat="1" applyFont="1" applyFill="1" applyBorder="1" applyAlignment="1" applyProtection="1">
      <alignment horizontal="right"/>
      <protection locked="0"/>
    </xf>
    <xf numFmtId="169" fontId="166" fillId="24" borderId="13" xfId="72" applyNumberFormat="1" applyFont="1" applyFill="1" applyBorder="1" applyAlignment="1" applyProtection="1">
      <alignment horizontal="right"/>
      <protection locked="0"/>
    </xf>
    <xf numFmtId="169" fontId="181" fillId="24" borderId="10" xfId="72" applyNumberFormat="1" applyFont="1" applyFill="1" applyBorder="1" applyAlignment="1" applyProtection="1">
      <alignment horizontal="right"/>
      <protection/>
    </xf>
    <xf numFmtId="169" fontId="181" fillId="24" borderId="13" xfId="72" applyNumberFormat="1" applyFont="1" applyFill="1" applyBorder="1" applyAlignment="1" applyProtection="1">
      <alignment horizontal="right"/>
      <protection/>
    </xf>
    <xf numFmtId="169" fontId="178" fillId="25" borderId="10" xfId="72" applyNumberFormat="1" applyFont="1" applyFill="1" applyBorder="1" applyAlignment="1">
      <alignment horizontal="right"/>
      <protection/>
    </xf>
    <xf numFmtId="0" fontId="111" fillId="0" borderId="11" xfId="72" applyFont="1" applyFill="1" applyBorder="1">
      <alignment/>
      <protection/>
    </xf>
    <xf numFmtId="169" fontId="181" fillId="25" borderId="10" xfId="72" applyNumberFormat="1" applyFont="1" applyFill="1" applyBorder="1" applyAlignment="1" applyProtection="1">
      <alignment horizontal="right"/>
      <protection/>
    </xf>
    <xf numFmtId="169" fontId="180" fillId="0" borderId="46" xfId="72" applyNumberFormat="1" applyFont="1" applyFill="1" applyBorder="1" applyAlignment="1" applyProtection="1">
      <alignment horizontal="right"/>
      <protection/>
    </xf>
    <xf numFmtId="169" fontId="180" fillId="0" borderId="51" xfId="72" applyNumberFormat="1" applyFont="1" applyFill="1" applyBorder="1" applyAlignment="1" applyProtection="1">
      <alignment horizontal="right"/>
      <protection/>
    </xf>
    <xf numFmtId="169" fontId="180" fillId="0" borderId="52" xfId="72" applyNumberFormat="1" applyFont="1" applyFill="1" applyBorder="1" applyAlignment="1" applyProtection="1">
      <alignment horizontal="right"/>
      <protection/>
    </xf>
    <xf numFmtId="0" fontId="111" fillId="0" borderId="11" xfId="72" applyFont="1" applyFill="1" applyBorder="1" applyAlignment="1">
      <alignment horizontal="center"/>
      <protection/>
    </xf>
    <xf numFmtId="169" fontId="180" fillId="0" borderId="13" xfId="72" applyNumberFormat="1" applyFont="1" applyFill="1" applyBorder="1" applyAlignment="1">
      <alignment horizontal="right"/>
      <protection/>
    </xf>
    <xf numFmtId="0" fontId="111" fillId="24" borderId="13" xfId="72" applyFont="1" applyFill="1" applyBorder="1" applyAlignment="1">
      <alignment horizontal="center"/>
      <protection/>
    </xf>
    <xf numFmtId="0" fontId="111" fillId="24" borderId="10" xfId="72" applyFont="1" applyFill="1" applyBorder="1">
      <alignment/>
      <protection/>
    </xf>
    <xf numFmtId="0" fontId="111" fillId="24" borderId="13" xfId="72" applyFont="1" applyFill="1" applyBorder="1">
      <alignment/>
      <protection/>
    </xf>
    <xf numFmtId="0" fontId="111" fillId="0" borderId="36" xfId="72" applyFont="1" applyFill="1" applyBorder="1" applyAlignment="1">
      <alignment horizontal="right"/>
      <protection/>
    </xf>
    <xf numFmtId="169" fontId="179" fillId="0" borderId="15" xfId="72" applyNumberFormat="1" applyFont="1" applyFill="1" applyBorder="1" applyAlignment="1" applyProtection="1">
      <alignment horizontal="right"/>
      <protection locked="0"/>
    </xf>
    <xf numFmtId="169" fontId="179" fillId="0" borderId="16" xfId="72" applyNumberFormat="1" applyFont="1" applyFill="1" applyBorder="1" applyAlignment="1" applyProtection="1">
      <alignment horizontal="right"/>
      <protection locked="0"/>
    </xf>
    <xf numFmtId="169" fontId="111" fillId="0" borderId="15" xfId="72" applyNumberFormat="1" applyFont="1" applyFill="1" applyBorder="1" applyAlignment="1" applyProtection="1">
      <alignment horizontal="right"/>
      <protection locked="0"/>
    </xf>
    <xf numFmtId="169" fontId="180" fillId="0" borderId="16" xfId="72" applyNumberFormat="1" applyFont="1" applyFill="1" applyBorder="1" applyAlignment="1" applyProtection="1">
      <alignment horizontal="right"/>
      <protection/>
    </xf>
    <xf numFmtId="169" fontId="111" fillId="0" borderId="16" xfId="72" applyNumberFormat="1" applyFont="1" applyFill="1" applyBorder="1" applyAlignment="1" applyProtection="1">
      <alignment horizontal="right"/>
      <protection locked="0"/>
    </xf>
    <xf numFmtId="169" fontId="40" fillId="0" borderId="0" xfId="72" applyNumberFormat="1" applyFont="1">
      <alignment/>
      <protection/>
    </xf>
    <xf numFmtId="0" fontId="111" fillId="9" borderId="10" xfId="72" applyFont="1" applyFill="1" applyBorder="1" applyAlignment="1">
      <alignment horizontal="center" wrapText="1"/>
      <protection/>
    </xf>
    <xf numFmtId="0" fontId="111" fillId="3" borderId="10" xfId="72" applyFont="1" applyFill="1" applyBorder="1" applyAlignment="1">
      <alignment horizontal="center" wrapText="1"/>
      <protection/>
    </xf>
    <xf numFmtId="0" fontId="111" fillId="9" borderId="46" xfId="72" applyFont="1" applyFill="1" applyBorder="1" applyAlignment="1">
      <alignment horizontal="center" wrapText="1"/>
      <protection/>
    </xf>
    <xf numFmtId="0" fontId="111" fillId="9" borderId="51" xfId="72" applyFont="1" applyFill="1" applyBorder="1" applyAlignment="1">
      <alignment horizontal="center" wrapText="1"/>
      <protection/>
    </xf>
    <xf numFmtId="0" fontId="111" fillId="9" borderId="52" xfId="72" applyFont="1" applyFill="1" applyBorder="1" applyAlignment="1">
      <alignment horizontal="center" wrapText="1"/>
      <protection/>
    </xf>
    <xf numFmtId="0" fontId="111" fillId="0" borderId="19" xfId="72" applyFont="1" applyFill="1" applyBorder="1" applyAlignment="1">
      <alignment horizontal="center" vertical="center" wrapText="1"/>
      <protection/>
    </xf>
    <xf numFmtId="49" fontId="111" fillId="0" borderId="15" xfId="72" applyNumberFormat="1" applyFont="1" applyFill="1" applyBorder="1" applyAlignment="1">
      <alignment horizontal="center" vertical="center" wrapText="1"/>
      <protection/>
    </xf>
    <xf numFmtId="0" fontId="111" fillId="24" borderId="15" xfId="72" applyFont="1" applyFill="1" applyBorder="1">
      <alignment/>
      <protection/>
    </xf>
    <xf numFmtId="169" fontId="180" fillId="0" borderId="15" xfId="72" applyNumberFormat="1" applyFont="1" applyFill="1" applyBorder="1" applyAlignment="1" applyProtection="1">
      <alignment horizontal="center"/>
      <protection/>
    </xf>
    <xf numFmtId="169" fontId="178" fillId="25" borderId="15" xfId="72" applyNumberFormat="1" applyFont="1" applyFill="1" applyBorder="1" applyAlignment="1" applyProtection="1">
      <alignment horizontal="right"/>
      <protection/>
    </xf>
    <xf numFmtId="169" fontId="179" fillId="0" borderId="63" xfId="72" applyNumberFormat="1" applyFont="1" applyFill="1" applyBorder="1" applyAlignment="1" applyProtection="1">
      <alignment horizontal="right"/>
      <protection/>
    </xf>
    <xf numFmtId="180" fontId="179" fillId="0" borderId="15" xfId="72" applyNumberFormat="1" applyFont="1" applyFill="1" applyBorder="1" applyAlignment="1" applyProtection="1">
      <alignment horizontal="right"/>
      <protection/>
    </xf>
    <xf numFmtId="165" fontId="180" fillId="0" borderId="10" xfId="72" applyNumberFormat="1" applyFont="1" applyFill="1" applyBorder="1" applyAlignment="1" applyProtection="1">
      <alignment horizontal="center"/>
      <protection/>
    </xf>
    <xf numFmtId="165" fontId="180" fillId="0" borderId="46" xfId="72" applyNumberFormat="1" applyFont="1" applyFill="1" applyBorder="1" applyAlignment="1" applyProtection="1">
      <alignment horizontal="right"/>
      <protection/>
    </xf>
    <xf numFmtId="0" fontId="111" fillId="0" borderId="10" xfId="72" applyFont="1" applyFill="1" applyBorder="1" applyAlignment="1">
      <alignment horizontal="left"/>
      <protection/>
    </xf>
    <xf numFmtId="0" fontId="111" fillId="10" borderId="42" xfId="72" applyFont="1" applyFill="1" applyBorder="1">
      <alignment/>
      <protection/>
    </xf>
    <xf numFmtId="0" fontId="111" fillId="10" borderId="79" xfId="72" applyFont="1" applyFill="1" applyBorder="1">
      <alignment/>
      <protection/>
    </xf>
    <xf numFmtId="1" fontId="111" fillId="0" borderId="0" xfId="72" applyNumberFormat="1" applyFont="1" applyFill="1">
      <alignment/>
      <protection/>
    </xf>
    <xf numFmtId="170" fontId="111" fillId="0" borderId="0" xfId="72" applyNumberFormat="1" applyFont="1" applyFill="1">
      <alignment/>
      <protection/>
    </xf>
    <xf numFmtId="0" fontId="111" fillId="0" borderId="0" xfId="72" applyFont="1" applyFill="1">
      <alignment/>
      <protection/>
    </xf>
    <xf numFmtId="0" fontId="111" fillId="0" borderId="74" xfId="72" applyFont="1" applyFill="1" applyBorder="1">
      <alignment/>
      <protection/>
    </xf>
    <xf numFmtId="164" fontId="60" fillId="0" borderId="14" xfId="0" applyNumberFormat="1" applyFont="1" applyFill="1" applyBorder="1" applyAlignment="1">
      <alignment horizontal="center"/>
    </xf>
    <xf numFmtId="164" fontId="92" fillId="0" borderId="10" xfId="0" applyNumberFormat="1" applyFont="1" applyFill="1" applyBorder="1" applyAlignment="1">
      <alignment horizontal="right"/>
    </xf>
    <xf numFmtId="168" fontId="25" fillId="0" borderId="10" xfId="0" applyNumberFormat="1" applyFont="1" applyBorder="1" applyAlignment="1">
      <alignment horizontal="center"/>
    </xf>
    <xf numFmtId="168" fontId="92" fillId="0" borderId="10" xfId="0" applyNumberFormat="1" applyFont="1" applyBorder="1" applyAlignment="1">
      <alignment horizontal="center"/>
    </xf>
    <xf numFmtId="0" fontId="1" fillId="0" borderId="60" xfId="70" applyFont="1" applyBorder="1" applyAlignment="1">
      <alignment horizontal="center"/>
      <protection/>
    </xf>
    <xf numFmtId="0" fontId="1" fillId="0" borderId="60" xfId="70" applyFont="1" applyBorder="1" applyAlignment="1">
      <alignment horizontal="center" wrapText="1"/>
      <protection/>
    </xf>
    <xf numFmtId="164" fontId="1" fillId="0" borderId="10" xfId="70" applyNumberFormat="1" applyFont="1" applyBorder="1" applyAlignment="1">
      <alignment horizontal="center"/>
      <protection/>
    </xf>
    <xf numFmtId="164" fontId="8" fillId="0" borderId="10" xfId="70" applyNumberFormat="1" applyFont="1" applyBorder="1" applyAlignment="1">
      <alignment horizontal="center"/>
      <protection/>
    </xf>
    <xf numFmtId="0" fontId="1" fillId="0" borderId="0" xfId="70" applyFont="1" applyBorder="1">
      <alignment/>
      <protection/>
    </xf>
    <xf numFmtId="0" fontId="1" fillId="0" borderId="0" xfId="70" applyFont="1" applyBorder="1" applyAlignment="1">
      <alignment horizontal="left"/>
      <protection/>
    </xf>
    <xf numFmtId="4" fontId="1" fillId="0" borderId="0" xfId="70" applyNumberFormat="1" applyFont="1" applyBorder="1">
      <alignment/>
      <protection/>
    </xf>
    <xf numFmtId="0" fontId="1" fillId="0" borderId="0" xfId="70" applyFont="1" applyBorder="1">
      <alignment/>
      <protection/>
    </xf>
    <xf numFmtId="0" fontId="1" fillId="0" borderId="0" xfId="70" applyFont="1" applyBorder="1" applyAlignment="1">
      <alignment horizontal="left"/>
      <protection/>
    </xf>
    <xf numFmtId="164" fontId="8" fillId="20" borderId="10" xfId="70" applyNumberFormat="1" applyFont="1" applyFill="1" applyBorder="1" applyAlignment="1">
      <alignment horizontal="center"/>
      <protection/>
    </xf>
    <xf numFmtId="4" fontId="8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38" fillId="0" borderId="20" xfId="69" applyFont="1" applyBorder="1" applyAlignment="1">
      <alignment/>
      <protection/>
    </xf>
    <xf numFmtId="0" fontId="38" fillId="0" borderId="0" xfId="69" applyFont="1" applyBorder="1" applyAlignment="1">
      <alignment/>
      <protection/>
    </xf>
    <xf numFmtId="1" fontId="38" fillId="0" borderId="0" xfId="69" applyNumberFormat="1" applyFont="1" applyBorder="1" applyAlignment="1">
      <alignment/>
      <protection/>
    </xf>
    <xf numFmtId="1" fontId="38" fillId="0" borderId="0" xfId="69" applyNumberFormat="1" applyFont="1" applyBorder="1" applyAlignment="1">
      <alignment horizontal="center"/>
      <protection/>
    </xf>
    <xf numFmtId="0" fontId="39" fillId="0" borderId="0" xfId="69" applyFont="1" applyBorder="1" applyAlignment="1">
      <alignment horizontal="center"/>
      <protection/>
    </xf>
    <xf numFmtId="1" fontId="39" fillId="0" borderId="0" xfId="69" applyNumberFormat="1" applyFont="1" applyBorder="1" applyAlignment="1">
      <alignment horizontal="center"/>
      <protection/>
    </xf>
    <xf numFmtId="0" fontId="18" fillId="0" borderId="0" xfId="69">
      <alignment/>
      <protection/>
    </xf>
    <xf numFmtId="1" fontId="18" fillId="0" borderId="0" xfId="69" applyNumberFormat="1" applyAlignment="1">
      <alignment horizontal="center"/>
      <protection/>
    </xf>
    <xf numFmtId="0" fontId="37" fillId="0" borderId="10" xfId="69" applyFont="1" applyBorder="1" applyAlignment="1">
      <alignment horizontal="center" vertical="center"/>
      <protection/>
    </xf>
    <xf numFmtId="0" fontId="37" fillId="0" borderId="10" xfId="69" applyFont="1" applyBorder="1" applyAlignment="1">
      <alignment horizontal="center" vertical="center" wrapText="1"/>
      <protection/>
    </xf>
    <xf numFmtId="1" fontId="37" fillId="0" borderId="10" xfId="69" applyNumberFormat="1" applyFont="1" applyBorder="1" applyAlignment="1">
      <alignment horizontal="center" vertical="center" wrapText="1"/>
      <protection/>
    </xf>
    <xf numFmtId="49" fontId="37" fillId="0" borderId="10" xfId="69" applyNumberFormat="1" applyFont="1" applyBorder="1" applyAlignment="1">
      <alignment horizontal="center" vertical="center" wrapText="1"/>
      <protection/>
    </xf>
    <xf numFmtId="1" fontId="18" fillId="0" borderId="0" xfId="69" applyNumberFormat="1">
      <alignment/>
      <protection/>
    </xf>
    <xf numFmtId="0" fontId="1" fillId="0" borderId="0" xfId="69" applyFont="1" applyFill="1" applyBorder="1" applyAlignment="1">
      <alignment horizontal="justify" vertical="center" wrapText="1"/>
      <protection/>
    </xf>
    <xf numFmtId="0" fontId="1" fillId="0" borderId="0" xfId="69" applyFont="1" applyFill="1" applyBorder="1" applyAlignment="1">
      <alignment horizontal="center" vertical="center"/>
      <protection/>
    </xf>
    <xf numFmtId="1" fontId="182" fillId="0" borderId="10" xfId="69" applyNumberFormat="1" applyFont="1" applyBorder="1" applyAlignment="1">
      <alignment horizontal="center" vertical="center" wrapText="1"/>
      <protection/>
    </xf>
    <xf numFmtId="1" fontId="37" fillId="0" borderId="11" xfId="69" applyNumberFormat="1" applyFont="1" applyFill="1" applyBorder="1" applyAlignment="1">
      <alignment horizontal="center" vertical="center" wrapText="1"/>
      <protection/>
    </xf>
    <xf numFmtId="0" fontId="37" fillId="0" borderId="11" xfId="69" applyFont="1" applyBorder="1" applyAlignment="1">
      <alignment horizontal="center" vertical="center" wrapText="1"/>
      <protection/>
    </xf>
    <xf numFmtId="0" fontId="182" fillId="0" borderId="10" xfId="69" applyFont="1" applyFill="1" applyBorder="1" applyAlignment="1">
      <alignment horizontal="center" vertical="center"/>
      <protection/>
    </xf>
    <xf numFmtId="1" fontId="182" fillId="0" borderId="10" xfId="69" applyNumberFormat="1" applyFont="1" applyFill="1" applyBorder="1" applyAlignment="1">
      <alignment horizontal="center" vertical="center"/>
      <protection/>
    </xf>
    <xf numFmtId="3" fontId="182" fillId="0" borderId="10" xfId="69" applyNumberFormat="1" applyFont="1" applyFill="1" applyBorder="1" applyAlignment="1">
      <alignment horizontal="center" vertical="center"/>
      <protection/>
    </xf>
    <xf numFmtId="3" fontId="183" fillId="0" borderId="10" xfId="69" applyNumberFormat="1" applyFont="1" applyFill="1" applyBorder="1" applyAlignment="1">
      <alignment horizontal="center" vertical="center" wrapText="1"/>
      <protection/>
    </xf>
    <xf numFmtId="0" fontId="37" fillId="24" borderId="10" xfId="69" applyFont="1" applyFill="1" applyBorder="1" applyAlignment="1">
      <alignment horizontal="center" vertical="center"/>
      <protection/>
    </xf>
    <xf numFmtId="0" fontId="37" fillId="0" borderId="10" xfId="69" applyFont="1" applyFill="1" applyBorder="1" applyAlignment="1">
      <alignment horizontal="justify" vertical="center" wrapText="1"/>
      <protection/>
    </xf>
    <xf numFmtId="0" fontId="136" fillId="0" borderId="10" xfId="69" applyFont="1" applyFill="1" applyBorder="1" applyAlignment="1">
      <alignment vertical="center" wrapText="1"/>
      <protection/>
    </xf>
    <xf numFmtId="0" fontId="184" fillId="0" borderId="10" xfId="69" applyFont="1" applyBorder="1" applyAlignment="1">
      <alignment horizontal="center" vertical="center" wrapText="1"/>
      <protection/>
    </xf>
    <xf numFmtId="49" fontId="37" fillId="24" borderId="10" xfId="69" applyNumberFormat="1" applyFont="1" applyFill="1" applyBorder="1" applyAlignment="1">
      <alignment horizontal="center" vertical="center"/>
      <protection/>
    </xf>
    <xf numFmtId="3" fontId="184" fillId="24" borderId="10" xfId="69" applyNumberFormat="1" applyFont="1" applyFill="1" applyBorder="1" applyAlignment="1">
      <alignment horizontal="center" vertical="center"/>
      <protection/>
    </xf>
    <xf numFmtId="10" fontId="37" fillId="24" borderId="10" xfId="69" applyNumberFormat="1" applyFont="1" applyFill="1" applyBorder="1" applyAlignment="1">
      <alignment horizontal="center" vertical="center"/>
      <protection/>
    </xf>
    <xf numFmtId="3" fontId="37" fillId="24" borderId="10" xfId="69" applyNumberFormat="1" applyFont="1" applyFill="1" applyBorder="1" applyAlignment="1">
      <alignment horizontal="center" vertical="center"/>
      <protection/>
    </xf>
    <xf numFmtId="3" fontId="136" fillId="24" borderId="10" xfId="69" applyNumberFormat="1" applyFont="1" applyFill="1" applyBorder="1" applyAlignment="1">
      <alignment horizontal="center" vertical="center"/>
      <protection/>
    </xf>
    <xf numFmtId="1" fontId="40" fillId="0" borderId="10" xfId="69" applyNumberFormat="1" applyFont="1" applyBorder="1" applyAlignment="1">
      <alignment horizontal="center"/>
      <protection/>
    </xf>
    <xf numFmtId="0" fontId="37" fillId="0" borderId="10" xfId="69" applyFont="1" applyFill="1" applyBorder="1" applyAlignment="1">
      <alignment horizontal="center" vertical="center"/>
      <protection/>
    </xf>
    <xf numFmtId="0" fontId="184" fillId="0" borderId="10" xfId="69" applyFont="1" applyFill="1" applyBorder="1" applyAlignment="1">
      <alignment horizontal="center" vertical="center" wrapText="1"/>
      <protection/>
    </xf>
    <xf numFmtId="49" fontId="37" fillId="0" borderId="10" xfId="69" applyNumberFormat="1" applyFont="1" applyFill="1" applyBorder="1" applyAlignment="1">
      <alignment horizontal="center" vertical="center"/>
      <protection/>
    </xf>
    <xf numFmtId="3" fontId="184" fillId="0" borderId="10" xfId="69" applyNumberFormat="1" applyFont="1" applyFill="1" applyBorder="1" applyAlignment="1">
      <alignment horizontal="center" vertical="center"/>
      <protection/>
    </xf>
    <xf numFmtId="49" fontId="182" fillId="0" borderId="10" xfId="69" applyNumberFormat="1" applyFont="1" applyFill="1" applyBorder="1" applyAlignment="1">
      <alignment horizontal="center" vertical="center"/>
      <protection/>
    </xf>
    <xf numFmtId="10" fontId="182" fillId="0" borderId="10" xfId="69" applyNumberFormat="1" applyFont="1" applyFill="1" applyBorder="1" applyAlignment="1">
      <alignment horizontal="center" vertical="center"/>
      <protection/>
    </xf>
    <xf numFmtId="0" fontId="39" fillId="0" borderId="92" xfId="69" applyFont="1" applyBorder="1" applyAlignment="1">
      <alignment horizontal="center"/>
      <protection/>
    </xf>
    <xf numFmtId="0" fontId="22" fillId="0" borderId="0" xfId="69" applyFont="1" applyFill="1" applyBorder="1" applyAlignment="1">
      <alignment horizontal="center"/>
      <protection/>
    </xf>
    <xf numFmtId="1" fontId="22" fillId="0" borderId="0" xfId="69" applyNumberFormat="1" applyFont="1" applyFill="1" applyBorder="1" applyAlignment="1">
      <alignment horizontal="center"/>
      <protection/>
    </xf>
    <xf numFmtId="0" fontId="100" fillId="0" borderId="11" xfId="0" applyFont="1" applyFill="1" applyBorder="1" applyAlignment="1">
      <alignment horizontal="center" vertical="center" wrapText="1"/>
    </xf>
    <xf numFmtId="0" fontId="37" fillId="0" borderId="10" xfId="69" applyFont="1" applyFill="1" applyBorder="1" applyAlignment="1">
      <alignment horizontal="center" vertical="center" wrapText="1"/>
      <protection/>
    </xf>
    <xf numFmtId="3" fontId="40" fillId="0" borderId="10" xfId="69" applyNumberFormat="1" applyFont="1" applyBorder="1" applyAlignment="1">
      <alignment horizontal="center" vertical="center"/>
      <protection/>
    </xf>
    <xf numFmtId="0" fontId="18" fillId="0" borderId="0" xfId="69" applyFont="1">
      <alignment/>
      <protection/>
    </xf>
    <xf numFmtId="0" fontId="136" fillId="0" borderId="59" xfId="69" applyFont="1" applyFill="1" applyBorder="1" applyAlignment="1">
      <alignment vertical="center" wrapText="1"/>
      <protection/>
    </xf>
    <xf numFmtId="3" fontId="23" fillId="0" borderId="50" xfId="69" applyNumberFormat="1" applyFont="1" applyFill="1" applyBorder="1" applyAlignment="1">
      <alignment horizontal="left" vertical="center" wrapText="1"/>
      <protection/>
    </xf>
    <xf numFmtId="0" fontId="40" fillId="0" borderId="59" xfId="69" applyFont="1" applyBorder="1">
      <alignment/>
      <protection/>
    </xf>
    <xf numFmtId="3" fontId="23" fillId="0" borderId="50" xfId="69" applyNumberFormat="1" applyFont="1" applyFill="1" applyBorder="1" applyAlignment="1">
      <alignment horizontal="center" vertical="center" wrapText="1"/>
      <protection/>
    </xf>
    <xf numFmtId="0" fontId="185" fillId="0" borderId="0" xfId="0" applyFont="1" applyAlignment="1">
      <alignment/>
    </xf>
    <xf numFmtId="3" fontId="185" fillId="0" borderId="0" xfId="0" applyNumberFormat="1" applyFont="1" applyAlignment="1">
      <alignment horizontal="center"/>
    </xf>
    <xf numFmtId="0" fontId="100" fillId="0" borderId="60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7" fontId="62" fillId="0" borderId="60" xfId="0" applyNumberFormat="1" applyFont="1" applyFill="1" applyBorder="1" applyAlignment="1">
      <alignment horizontal="center"/>
    </xf>
    <xf numFmtId="167" fontId="62" fillId="0" borderId="11" xfId="0" applyNumberFormat="1" applyFont="1" applyFill="1" applyBorder="1" applyAlignment="1">
      <alignment horizontal="center"/>
    </xf>
    <xf numFmtId="1" fontId="8" fillId="0" borderId="6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97" fillId="0" borderId="60" xfId="0" applyNumberFormat="1" applyFont="1" applyFill="1" applyBorder="1" applyAlignment="1">
      <alignment horizontal="center"/>
    </xf>
    <xf numFmtId="1" fontId="97" fillId="0" borderId="11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3" fontId="26" fillId="0" borderId="60" xfId="0" applyNumberFormat="1" applyFont="1" applyFill="1" applyBorder="1" applyAlignment="1">
      <alignment horizontal="center"/>
    </xf>
    <xf numFmtId="3" fontId="26" fillId="0" borderId="29" xfId="0" applyNumberFormat="1" applyFont="1" applyFill="1" applyBorder="1" applyAlignment="1">
      <alignment horizontal="center"/>
    </xf>
    <xf numFmtId="164" fontId="1" fillId="0" borderId="60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3" fontId="20" fillId="0" borderId="60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2" fontId="62" fillId="0" borderId="60" xfId="0" applyNumberFormat="1" applyFont="1" applyFill="1" applyBorder="1" applyAlignment="1">
      <alignment horizontal="center"/>
    </xf>
    <xf numFmtId="2" fontId="62" fillId="0" borderId="11" xfId="0" applyNumberFormat="1" applyFont="1" applyFill="1" applyBorder="1" applyAlignment="1">
      <alignment horizontal="center"/>
    </xf>
    <xf numFmtId="2" fontId="62" fillId="0" borderId="29" xfId="0" applyNumberFormat="1" applyFont="1" applyFill="1" applyBorder="1" applyAlignment="1">
      <alignment horizontal="center"/>
    </xf>
    <xf numFmtId="167" fontId="62" fillId="0" borderId="29" xfId="0" applyNumberFormat="1" applyFont="1" applyFill="1" applyBorder="1" applyAlignment="1">
      <alignment horizontal="center"/>
    </xf>
    <xf numFmtId="1" fontId="62" fillId="0" borderId="60" xfId="0" applyNumberFormat="1" applyFont="1" applyFill="1" applyBorder="1" applyAlignment="1">
      <alignment horizontal="center"/>
    </xf>
    <xf numFmtId="1" fontId="62" fillId="0" borderId="11" xfId="0" applyNumberFormat="1" applyFont="1" applyFill="1" applyBorder="1" applyAlignment="1">
      <alignment horizontal="center"/>
    </xf>
    <xf numFmtId="1" fontId="62" fillId="0" borderId="29" xfId="0" applyNumberFormat="1" applyFont="1" applyFill="1" applyBorder="1" applyAlignment="1">
      <alignment horizontal="center"/>
    </xf>
    <xf numFmtId="3" fontId="1" fillId="0" borderId="6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3" fillId="0" borderId="29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3" fontId="62" fillId="0" borderId="29" xfId="0" applyNumberFormat="1" applyFont="1" applyFill="1" applyBorder="1" applyAlignment="1">
      <alignment horizontal="center"/>
    </xf>
    <xf numFmtId="1" fontId="62" fillId="0" borderId="93" xfId="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62" fillId="0" borderId="60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 horizontal="center"/>
    </xf>
    <xf numFmtId="3" fontId="62" fillId="0" borderId="60" xfId="0" applyNumberFormat="1" applyFont="1" applyFill="1" applyBorder="1" applyAlignment="1">
      <alignment horizontal="center"/>
    </xf>
    <xf numFmtId="3" fontId="62" fillId="0" borderId="11" xfId="0" applyNumberFormat="1" applyFont="1" applyFill="1" applyBorder="1" applyAlignment="1">
      <alignment horizontal="center"/>
    </xf>
    <xf numFmtId="3" fontId="8" fillId="0" borderId="60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0" fontId="101" fillId="0" borderId="27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37" fillId="0" borderId="0" xfId="0" applyFont="1" applyAlignment="1">
      <alignment horizontal="left"/>
    </xf>
    <xf numFmtId="3" fontId="148" fillId="0" borderId="10" xfId="0" applyNumberFormat="1" applyFont="1" applyBorder="1" applyAlignment="1">
      <alignment horizontal="center"/>
    </xf>
    <xf numFmtId="3" fontId="148" fillId="0" borderId="10" xfId="0" applyNumberFormat="1" applyFont="1" applyFill="1" applyBorder="1" applyAlignment="1">
      <alignment horizontal="center"/>
    </xf>
    <xf numFmtId="49" fontId="37" fillId="0" borderId="0" xfId="0" applyNumberFormat="1" applyFont="1" applyAlignment="1">
      <alignment/>
    </xf>
    <xf numFmtId="0" fontId="1" fillId="0" borderId="13" xfId="0" applyFont="1" applyBorder="1" applyAlignment="1">
      <alignment horizontal="left" wrapText="1" indent="3"/>
    </xf>
    <xf numFmtId="165" fontId="8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left" wrapText="1" indent="2"/>
    </xf>
    <xf numFmtId="0" fontId="186" fillId="24" borderId="0" xfId="0" applyFont="1" applyFill="1" applyAlignment="1">
      <alignment/>
    </xf>
    <xf numFmtId="165" fontId="8" fillId="0" borderId="10" xfId="0" applyNumberFormat="1" applyFont="1" applyFill="1" applyBorder="1" applyAlignment="1">
      <alignment horizontal="center"/>
    </xf>
    <xf numFmtId="0" fontId="39" fillId="0" borderId="0" xfId="69" applyFont="1" applyBorder="1" applyAlignment="1">
      <alignment horizontal="center"/>
      <protection/>
    </xf>
    <xf numFmtId="0" fontId="39" fillId="0" borderId="0" xfId="69" applyFont="1" applyBorder="1" applyAlignment="1">
      <alignment horizontal="center"/>
      <protection/>
    </xf>
    <xf numFmtId="0" fontId="136" fillId="0" borderId="0" xfId="69" applyFont="1" applyFill="1" applyBorder="1" applyAlignment="1">
      <alignment vertical="justify"/>
      <protection/>
    </xf>
    <xf numFmtId="0" fontId="1" fillId="0" borderId="82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justify" vertical="top" wrapText="1"/>
    </xf>
    <xf numFmtId="0" fontId="1" fillId="0" borderId="81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/>
    </xf>
    <xf numFmtId="168" fontId="1" fillId="0" borderId="52" xfId="0" applyNumberFormat="1" applyFont="1" applyFill="1" applyBorder="1" applyAlignment="1">
      <alignment horizontal="center"/>
    </xf>
    <xf numFmtId="168" fontId="8" fillId="0" borderId="52" xfId="0" applyNumberFormat="1" applyFont="1" applyFill="1" applyBorder="1" applyAlignment="1">
      <alignment horizontal="center"/>
    </xf>
    <xf numFmtId="1" fontId="1" fillId="0" borderId="52" xfId="0" applyNumberFormat="1" applyFont="1" applyFill="1" applyBorder="1" applyAlignment="1">
      <alignment horizontal="center"/>
    </xf>
    <xf numFmtId="9" fontId="1" fillId="0" borderId="52" xfId="0" applyNumberFormat="1" applyFont="1" applyFill="1" applyBorder="1" applyAlignment="1">
      <alignment horizontal="center"/>
    </xf>
    <xf numFmtId="2" fontId="1" fillId="0" borderId="52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 wrapText="1"/>
    </xf>
    <xf numFmtId="3" fontId="8" fillId="20" borderId="52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8" fillId="0" borderId="55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164" fontId="1" fillId="0" borderId="52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0" fontId="1" fillId="0" borderId="96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1" fontId="111" fillId="8" borderId="0" xfId="72" applyNumberFormat="1" applyFont="1" applyFill="1">
      <alignment/>
      <protection/>
    </xf>
    <xf numFmtId="169" fontId="179" fillId="0" borderId="97" xfId="72" applyNumberFormat="1" applyFont="1" applyFill="1" applyBorder="1" applyAlignment="1" applyProtection="1">
      <alignment horizontal="right"/>
      <protection locked="0"/>
    </xf>
    <xf numFmtId="169" fontId="111" fillId="24" borderId="93" xfId="72" applyNumberFormat="1" applyFont="1" applyFill="1" applyBorder="1" applyAlignment="1">
      <alignment horizontal="right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2" wrapText="1"/>
    </xf>
    <xf numFmtId="0" fontId="1" fillId="0" borderId="15" xfId="0" applyFont="1" applyBorder="1" applyAlignment="1">
      <alignment horizontal="center" vertical="center" textRotation="92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1" wrapText="1"/>
    </xf>
    <xf numFmtId="0" fontId="1" fillId="0" borderId="15" xfId="0" applyFont="1" applyBorder="1" applyAlignment="1">
      <alignment horizontal="center" vertical="center" textRotation="1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175" fontId="23" fillId="0" borderId="10" xfId="82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179" fontId="23" fillId="0" borderId="0" xfId="82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167" fillId="0" borderId="14" xfId="71" applyFont="1" applyFill="1" applyBorder="1" applyAlignment="1">
      <alignment horizontal="center" vertical="center" wrapText="1"/>
      <protection/>
    </xf>
    <xf numFmtId="0" fontId="167" fillId="0" borderId="19" xfId="71" applyFont="1" applyFill="1" applyBorder="1" applyAlignment="1">
      <alignment horizontal="center" vertical="center" wrapText="1"/>
      <protection/>
    </xf>
    <xf numFmtId="0" fontId="167" fillId="0" borderId="14" xfId="71" applyFont="1" applyFill="1" applyBorder="1" applyAlignment="1">
      <alignment horizontal="left" vertical="center" textRotation="90" wrapText="1"/>
      <protection/>
    </xf>
    <xf numFmtId="0" fontId="167" fillId="0" borderId="15" xfId="71" applyFont="1" applyFill="1" applyBorder="1" applyAlignment="1">
      <alignment horizontal="left" vertical="center" textRotation="90" wrapText="1"/>
      <protection/>
    </xf>
    <xf numFmtId="0" fontId="167" fillId="0" borderId="14" xfId="71" applyFont="1" applyFill="1" applyBorder="1" applyAlignment="1">
      <alignment horizontal="center" vertical="center" textRotation="90" wrapText="1"/>
      <protection/>
    </xf>
    <xf numFmtId="0" fontId="167" fillId="0" borderId="15" xfId="71" applyFont="1" applyFill="1" applyBorder="1" applyAlignment="1">
      <alignment horizontal="center" vertical="center" textRotation="90" wrapText="1"/>
      <protection/>
    </xf>
    <xf numFmtId="0" fontId="166" fillId="0" borderId="11" xfId="68" applyFont="1" applyFill="1" applyBorder="1" applyAlignment="1">
      <alignment horizontal="center" vertical="center" wrapText="1"/>
      <protection/>
    </xf>
    <xf numFmtId="0" fontId="166" fillId="0" borderId="13" xfId="68" applyFont="1" applyFill="1" applyBorder="1" applyAlignment="1">
      <alignment horizontal="center" vertical="center" wrapText="1"/>
      <protection/>
    </xf>
    <xf numFmtId="0" fontId="166" fillId="0" borderId="14" xfId="72" applyFont="1" applyFill="1" applyBorder="1" applyAlignment="1">
      <alignment horizontal="center" vertical="center" wrapText="1"/>
      <protection/>
    </xf>
    <xf numFmtId="0" fontId="166" fillId="0" borderId="19" xfId="72" applyFont="1" applyFill="1" applyBorder="1" applyAlignment="1">
      <alignment horizontal="center" vertical="center" wrapText="1"/>
      <protection/>
    </xf>
    <xf numFmtId="0" fontId="167" fillId="0" borderId="18" xfId="71" applyFont="1" applyFill="1" applyBorder="1" applyAlignment="1">
      <alignment horizontal="center" vertical="center" wrapText="1"/>
      <protection/>
    </xf>
    <xf numFmtId="0" fontId="167" fillId="0" borderId="21" xfId="71" applyFont="1" applyFill="1" applyBorder="1" applyAlignment="1">
      <alignment horizontal="center" vertical="center" wrapText="1"/>
      <protection/>
    </xf>
    <xf numFmtId="0" fontId="166" fillId="0" borderId="58" xfId="68" applyFont="1" applyFill="1" applyBorder="1" applyAlignment="1">
      <alignment horizontal="center" vertical="center" wrapText="1"/>
      <protection/>
    </xf>
    <xf numFmtId="0" fontId="166" fillId="0" borderId="12" xfId="68" applyFont="1" applyFill="1" applyBorder="1" applyAlignment="1">
      <alignment horizontal="center" vertical="center" wrapText="1"/>
      <protection/>
    </xf>
    <xf numFmtId="0" fontId="166" fillId="24" borderId="11" xfId="68" applyFont="1" applyFill="1" applyBorder="1" applyAlignment="1">
      <alignment horizontal="center" vertical="center" wrapText="1"/>
      <protection/>
    </xf>
    <xf numFmtId="0" fontId="166" fillId="24" borderId="13" xfId="68" applyFont="1" applyFill="1" applyBorder="1" applyAlignment="1">
      <alignment horizontal="center" vertical="center" wrapText="1"/>
      <protection/>
    </xf>
    <xf numFmtId="0" fontId="166" fillId="24" borderId="12" xfId="68" applyFont="1" applyFill="1" applyBorder="1" applyAlignment="1">
      <alignment horizontal="center" vertical="center" wrapText="1"/>
      <protection/>
    </xf>
    <xf numFmtId="0" fontId="178" fillId="0" borderId="14" xfId="72" applyFont="1" applyFill="1" applyBorder="1" applyAlignment="1">
      <alignment horizontal="center" vertical="top" wrapText="1"/>
      <protection/>
    </xf>
    <xf numFmtId="0" fontId="178" fillId="0" borderId="19" xfId="72" applyFont="1" applyFill="1" applyBorder="1" applyAlignment="1">
      <alignment horizontal="center" vertical="top" wrapText="1"/>
      <protection/>
    </xf>
    <xf numFmtId="0" fontId="178" fillId="0" borderId="15" xfId="72" applyFont="1" applyFill="1" applyBorder="1" applyAlignment="1">
      <alignment horizontal="center" vertical="top" wrapText="1"/>
      <protection/>
    </xf>
    <xf numFmtId="0" fontId="166" fillId="9" borderId="14" xfId="72" applyFont="1" applyFill="1" applyBorder="1" applyAlignment="1">
      <alignment horizontal="center" vertical="top" wrapText="1"/>
      <protection/>
    </xf>
    <xf numFmtId="0" fontId="166" fillId="9" borderId="19" xfId="72" applyFont="1" applyFill="1" applyBorder="1" applyAlignment="1">
      <alignment horizontal="center" vertical="top" wrapText="1"/>
      <protection/>
    </xf>
    <xf numFmtId="0" fontId="166" fillId="9" borderId="15" xfId="72" applyFont="1" applyFill="1" applyBorder="1" applyAlignment="1">
      <alignment horizontal="center" vertical="top" wrapText="1"/>
      <protection/>
    </xf>
    <xf numFmtId="0" fontId="33" fillId="0" borderId="0" xfId="0" applyFont="1" applyAlignment="1">
      <alignment horizontal="center"/>
    </xf>
    <xf numFmtId="0" fontId="1" fillId="0" borderId="87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top"/>
    </xf>
    <xf numFmtId="0" fontId="12" fillId="20" borderId="13" xfId="0" applyFont="1" applyFill="1" applyBorder="1" applyAlignment="1">
      <alignment horizontal="center" vertical="top"/>
    </xf>
    <xf numFmtId="0" fontId="12" fillId="20" borderId="12" xfId="0" applyFont="1" applyFill="1" applyBorder="1" applyAlignment="1">
      <alignment horizontal="center" vertical="top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36" fillId="0" borderId="83" xfId="69" applyFont="1" applyFill="1" applyBorder="1" applyAlignment="1">
      <alignment horizontal="left" vertical="center"/>
      <protection/>
    </xf>
    <xf numFmtId="0" fontId="136" fillId="0" borderId="0" xfId="69" applyFont="1" applyFill="1" applyBorder="1" applyAlignment="1">
      <alignment horizontal="left" vertical="center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4" xfId="56" applyFont="1" applyBorder="1" applyAlignment="1">
      <alignment horizontal="center" vertical="center" wrapText="1"/>
      <protection/>
    </xf>
    <xf numFmtId="0" fontId="1" fillId="0" borderId="15" xfId="56" applyFont="1" applyBorder="1" applyAlignment="1">
      <alignment horizontal="center" vertical="center" wrapText="1"/>
      <protection/>
    </xf>
    <xf numFmtId="0" fontId="22" fillId="5" borderId="10" xfId="56" applyFont="1" applyFill="1" applyBorder="1" applyAlignment="1">
      <alignment horizontal="center"/>
      <protection/>
    </xf>
    <xf numFmtId="0" fontId="1" fillId="0" borderId="14" xfId="56" applyFont="1" applyBorder="1" applyAlignment="1">
      <alignment horizontal="center" vertical="center"/>
      <protection/>
    </xf>
    <xf numFmtId="0" fontId="1" fillId="0" borderId="15" xfId="56" applyFont="1" applyBorder="1" applyAlignment="1">
      <alignment horizontal="center" vertical="center"/>
      <protection/>
    </xf>
    <xf numFmtId="0" fontId="38" fillId="0" borderId="11" xfId="56" applyFont="1" applyBorder="1" applyAlignment="1">
      <alignment horizontal="center"/>
      <protection/>
    </xf>
    <xf numFmtId="0" fontId="38" fillId="0" borderId="13" xfId="56" applyFont="1" applyBorder="1" applyAlignment="1">
      <alignment horizontal="center"/>
      <protection/>
    </xf>
    <xf numFmtId="0" fontId="38" fillId="0" borderId="12" xfId="56" applyFont="1" applyBorder="1" applyAlignment="1">
      <alignment horizontal="center"/>
      <protection/>
    </xf>
    <xf numFmtId="0" fontId="8" fillId="3" borderId="10" xfId="56" applyFont="1" applyFill="1" applyBorder="1" applyAlignment="1">
      <alignment horizontal="center" vertical="center"/>
      <protection/>
    </xf>
    <xf numFmtId="0" fontId="25" fillId="3" borderId="10" xfId="56" applyFont="1" applyFill="1" applyBorder="1" applyAlignment="1">
      <alignment horizontal="center" vertical="center" wrapText="1"/>
      <protection/>
    </xf>
    <xf numFmtId="0" fontId="25" fillId="3" borderId="11" xfId="56" applyFont="1" applyFill="1" applyBorder="1" applyAlignment="1">
      <alignment horizontal="center" vertical="center" wrapText="1"/>
      <protection/>
    </xf>
    <xf numFmtId="0" fontId="25" fillId="3" borderId="13" xfId="56" applyFont="1" applyFill="1" applyBorder="1" applyAlignment="1">
      <alignment horizontal="center" vertical="center" wrapText="1"/>
      <protection/>
    </xf>
    <xf numFmtId="0" fontId="1" fillId="0" borderId="35" xfId="56" applyFont="1" applyFill="1" applyBorder="1" applyAlignment="1">
      <alignment horizontal="center" vertical="center" wrapText="1"/>
      <protection/>
    </xf>
    <xf numFmtId="0" fontId="1" fillId="0" borderId="36" xfId="56" applyFont="1" applyFill="1" applyBorder="1" applyAlignment="1">
      <alignment horizontal="center" vertical="center" wrapText="1"/>
      <protection/>
    </xf>
    <xf numFmtId="1" fontId="1" fillId="0" borderId="11" xfId="56" applyNumberFormat="1" applyFont="1" applyBorder="1" applyAlignment="1">
      <alignment horizontal="center" vertical="center" wrapText="1"/>
      <protection/>
    </xf>
    <xf numFmtId="1" fontId="1" fillId="0" borderId="12" xfId="56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left" vertical="top"/>
    </xf>
    <xf numFmtId="0" fontId="2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20" borderId="11" xfId="0" applyFont="1" applyFill="1" applyBorder="1" applyAlignment="1">
      <alignment horizontal="center"/>
    </xf>
    <xf numFmtId="0" fontId="12" fillId="20" borderId="13" xfId="0" applyFont="1" applyFill="1" applyBorder="1" applyAlignment="1">
      <alignment horizontal="center"/>
    </xf>
    <xf numFmtId="0" fontId="12" fillId="2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8" fillId="20" borderId="11" xfId="0" applyFont="1" applyFill="1" applyBorder="1" applyAlignment="1">
      <alignment horizontal="center"/>
    </xf>
    <xf numFmtId="0" fontId="8" fillId="20" borderId="13" xfId="0" applyFont="1" applyFill="1" applyBorder="1" applyAlignment="1">
      <alignment horizontal="center"/>
    </xf>
    <xf numFmtId="0" fontId="8" fillId="20" borderId="12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 vertical="top"/>
    </xf>
    <xf numFmtId="0" fontId="8" fillId="20" borderId="13" xfId="0" applyFont="1" applyFill="1" applyBorder="1" applyAlignment="1">
      <alignment horizontal="center" vertical="top"/>
    </xf>
    <xf numFmtId="0" fontId="8" fillId="20" borderId="12" xfId="0" applyFont="1" applyFill="1" applyBorder="1" applyAlignment="1">
      <alignment horizontal="center" vertical="top"/>
    </xf>
    <xf numFmtId="0" fontId="98" fillId="0" borderId="0" xfId="70" applyFont="1" applyAlignment="1">
      <alignment horizontal="left" wrapText="1"/>
      <protection/>
    </xf>
    <xf numFmtId="0" fontId="0" fillId="0" borderId="0" xfId="70" applyAlignment="1">
      <alignment wrapText="1"/>
      <protection/>
    </xf>
    <xf numFmtId="0" fontId="0" fillId="0" borderId="0" xfId="70" applyAlignment="1">
      <alignment/>
      <protection/>
    </xf>
    <xf numFmtId="0" fontId="8" fillId="0" borderId="11" xfId="70" applyFont="1" applyBorder="1" applyAlignment="1">
      <alignment horizontal="left" wrapText="1"/>
      <protection/>
    </xf>
    <xf numFmtId="0" fontId="8" fillId="0" borderId="13" xfId="70" applyFont="1" applyBorder="1" applyAlignment="1">
      <alignment horizontal="left" wrapText="1"/>
      <protection/>
    </xf>
    <xf numFmtId="0" fontId="8" fillId="0" borderId="12" xfId="70" applyFont="1" applyBorder="1" applyAlignment="1">
      <alignment horizontal="left" wrapText="1"/>
      <protection/>
    </xf>
    <xf numFmtId="0" fontId="1" fillId="0" borderId="11" xfId="70" applyFont="1" applyBorder="1" applyAlignment="1">
      <alignment horizontal="left" wrapText="1"/>
      <protection/>
    </xf>
    <xf numFmtId="0" fontId="1" fillId="0" borderId="13" xfId="70" applyFont="1" applyBorder="1" applyAlignment="1">
      <alignment horizontal="left" wrapText="1"/>
      <protection/>
    </xf>
    <xf numFmtId="0" fontId="1" fillId="0" borderId="12" xfId="70" applyFont="1" applyBorder="1" applyAlignment="1">
      <alignment horizontal="left" wrapText="1"/>
      <protection/>
    </xf>
    <xf numFmtId="0" fontId="2" fillId="0" borderId="0" xfId="70" applyFont="1" applyAlignment="1">
      <alignment horizontal="center"/>
      <protection/>
    </xf>
    <xf numFmtId="0" fontId="8" fillId="0" borderId="46" xfId="70" applyFont="1" applyBorder="1" applyAlignment="1">
      <alignment horizontal="center"/>
      <protection/>
    </xf>
    <xf numFmtId="0" fontId="8" fillId="0" borderId="47" xfId="70" applyFont="1" applyBorder="1" applyAlignment="1">
      <alignment horizontal="center"/>
      <protection/>
    </xf>
    <xf numFmtId="0" fontId="8" fillId="0" borderId="60" xfId="70" applyFont="1" applyBorder="1" applyAlignment="1">
      <alignment horizontal="center"/>
      <protection/>
    </xf>
    <xf numFmtId="0" fontId="8" fillId="0" borderId="46" xfId="70" applyFont="1" applyBorder="1" applyAlignment="1">
      <alignment horizontal="left" wrapText="1"/>
      <protection/>
    </xf>
    <xf numFmtId="0" fontId="8" fillId="0" borderId="47" xfId="70" applyFont="1" applyBorder="1" applyAlignment="1">
      <alignment horizontal="left" wrapText="1"/>
      <protection/>
    </xf>
    <xf numFmtId="0" fontId="8" fillId="0" borderId="60" xfId="70" applyFont="1" applyBorder="1" applyAlignment="1">
      <alignment horizontal="left" wrapText="1"/>
      <protection/>
    </xf>
    <xf numFmtId="0" fontId="1" fillId="0" borderId="5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68" fillId="0" borderId="0" xfId="58" applyFont="1" applyAlignment="1">
      <alignment horizontal="center"/>
      <protection/>
    </xf>
    <xf numFmtId="0" fontId="21" fillId="0" borderId="0" xfId="58" applyFont="1" applyAlignment="1">
      <alignment horizontal="left" wrapText="1"/>
      <protection/>
    </xf>
    <xf numFmtId="0" fontId="21" fillId="0" borderId="0" xfId="58" applyFont="1" applyAlignment="1">
      <alignment horizontal="left" wrapText="1"/>
      <protection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58" xfId="0" applyFont="1" applyFill="1" applyBorder="1" applyAlignment="1">
      <alignment horizontal="center" vertical="center" wrapText="1"/>
    </xf>
    <xf numFmtId="0" fontId="101" fillId="0" borderId="99" xfId="0" applyFont="1" applyFill="1" applyBorder="1" applyAlignment="1">
      <alignment horizontal="center" vertical="center" wrapText="1"/>
    </xf>
    <xf numFmtId="0" fontId="101" fillId="0" borderId="100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0" fillId="0" borderId="55" xfId="0" applyFont="1" applyFill="1" applyBorder="1" applyAlignment="1">
      <alignment horizontal="center" vertical="center" wrapText="1"/>
    </xf>
    <xf numFmtId="0" fontId="100" fillId="0" borderId="47" xfId="0" applyFont="1" applyFill="1" applyBorder="1" applyAlignment="1">
      <alignment horizontal="center" vertical="center" wrapText="1"/>
    </xf>
    <xf numFmtId="0" fontId="100" fillId="0" borderId="6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100" fillId="0" borderId="93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 wrapText="1"/>
    </xf>
    <xf numFmtId="0" fontId="101" fillId="0" borderId="99" xfId="0" applyFont="1" applyFill="1" applyBorder="1" applyAlignment="1">
      <alignment horizontal="center" vertical="center" wrapText="1"/>
    </xf>
    <xf numFmtId="0" fontId="101" fillId="0" borderId="100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82" fillId="0" borderId="59" xfId="69" applyFont="1" applyBorder="1" applyAlignment="1">
      <alignment horizontal="center" vertical="center" wrapText="1"/>
      <protection/>
    </xf>
    <xf numFmtId="0" fontId="182" fillId="0" borderId="50" xfId="69" applyFont="1" applyBorder="1" applyAlignment="1">
      <alignment horizontal="center" vertical="center" wrapText="1"/>
      <protection/>
    </xf>
    <xf numFmtId="0" fontId="182" fillId="0" borderId="14" xfId="69" applyFont="1" applyBorder="1" applyAlignment="1">
      <alignment horizontal="center" vertical="center" wrapText="1"/>
      <protection/>
    </xf>
    <xf numFmtId="0" fontId="182" fillId="0" borderId="15" xfId="69" applyFont="1" applyBorder="1" applyAlignment="1">
      <alignment horizontal="center" vertical="center" wrapText="1"/>
      <protection/>
    </xf>
    <xf numFmtId="0" fontId="182" fillId="0" borderId="10" xfId="69" applyFont="1" applyFill="1" applyBorder="1" applyAlignment="1">
      <alignment horizontal="center" vertical="center"/>
      <protection/>
    </xf>
    <xf numFmtId="1" fontId="182" fillId="0" borderId="11" xfId="69" applyNumberFormat="1" applyFont="1" applyBorder="1" applyAlignment="1">
      <alignment horizontal="center" vertical="center" wrapText="1"/>
      <protection/>
    </xf>
    <xf numFmtId="1" fontId="182" fillId="0" borderId="12" xfId="69" applyNumberFormat="1" applyFont="1" applyBorder="1" applyAlignment="1">
      <alignment horizontal="center" vertical="center" wrapText="1"/>
      <protection/>
    </xf>
    <xf numFmtId="0" fontId="22" fillId="0" borderId="0" xfId="69" applyFont="1" applyFill="1" applyBorder="1" applyAlignment="1">
      <alignment horizontal="left"/>
      <protection/>
    </xf>
    <xf numFmtId="0" fontId="37" fillId="0" borderId="59" xfId="69" applyFont="1" applyBorder="1" applyAlignment="1">
      <alignment horizontal="center" vertical="center" wrapText="1"/>
      <protection/>
    </xf>
    <xf numFmtId="0" fontId="37" fillId="0" borderId="50" xfId="69" applyFont="1" applyBorder="1" applyAlignment="1">
      <alignment horizontal="center" vertical="center" wrapText="1"/>
      <protection/>
    </xf>
    <xf numFmtId="0" fontId="40" fillId="0" borderId="59" xfId="69" applyFont="1" applyBorder="1" applyAlignment="1">
      <alignment horizontal="center" vertical="center"/>
      <protection/>
    </xf>
    <xf numFmtId="0" fontId="64" fillId="0" borderId="50" xfId="0" applyFont="1" applyBorder="1" applyAlignment="1">
      <alignment horizontal="center" vertical="center"/>
    </xf>
    <xf numFmtId="10" fontId="40" fillId="0" borderId="59" xfId="69" applyNumberFormat="1" applyFont="1" applyBorder="1" applyAlignment="1">
      <alignment horizontal="center" vertical="center"/>
      <protection/>
    </xf>
    <xf numFmtId="10" fontId="40" fillId="0" borderId="50" xfId="69" applyNumberFormat="1" applyFont="1" applyBorder="1" applyAlignment="1">
      <alignment horizontal="center" vertical="center"/>
      <protection/>
    </xf>
    <xf numFmtId="3" fontId="40" fillId="0" borderId="59" xfId="69" applyNumberFormat="1" applyFont="1" applyBorder="1" applyAlignment="1">
      <alignment horizontal="center" vertical="center"/>
      <protection/>
    </xf>
    <xf numFmtId="3" fontId="64" fillId="0" borderId="50" xfId="0" applyNumberFormat="1" applyFont="1" applyBorder="1" applyAlignment="1">
      <alignment horizontal="center" vertical="center"/>
    </xf>
    <xf numFmtId="0" fontId="53" fillId="0" borderId="0" xfId="56" applyFont="1" applyAlignment="1">
      <alignment horizontal="center" wrapText="1"/>
      <protection/>
    </xf>
    <xf numFmtId="0" fontId="67" fillId="0" borderId="0" xfId="56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wrapText="1"/>
    </xf>
    <xf numFmtId="0" fontId="55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NumberFormat="1" applyFont="1" applyBorder="1" applyAlignment="1">
      <alignment horizontal="center" vertical="top" wrapText="1"/>
    </xf>
    <xf numFmtId="0" fontId="12" fillId="0" borderId="46" xfId="0" applyNumberFormat="1" applyFont="1" applyBorder="1" applyAlignment="1">
      <alignment horizontal="center" vertical="top"/>
    </xf>
    <xf numFmtId="0" fontId="12" fillId="0" borderId="47" xfId="0" applyNumberFormat="1" applyFont="1" applyBorder="1" applyAlignment="1">
      <alignment horizontal="center" vertical="top"/>
    </xf>
    <xf numFmtId="0" fontId="12" fillId="0" borderId="6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" wrapText="1"/>
    </xf>
    <xf numFmtId="0" fontId="4" fillId="0" borderId="88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12" fillId="0" borderId="6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1" fillId="0" borderId="59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20" borderId="11" xfId="61" applyFont="1" applyFill="1" applyBorder="1" applyAlignment="1">
      <alignment horizontal="center"/>
      <protection/>
    </xf>
    <xf numFmtId="0" fontId="0" fillId="20" borderId="13" xfId="61" applyFont="1" applyFill="1" applyBorder="1" applyAlignment="1">
      <alignment horizontal="center"/>
      <protection/>
    </xf>
    <xf numFmtId="0" fontId="0" fillId="20" borderId="12" xfId="61" applyFont="1" applyFill="1" applyBorder="1" applyAlignment="1">
      <alignment horizontal="center"/>
      <protection/>
    </xf>
    <xf numFmtId="0" fontId="122" fillId="0" borderId="19" xfId="61" applyFont="1" applyBorder="1" applyAlignment="1">
      <alignment horizontal="center" vertical="center" wrapText="1"/>
      <protection/>
    </xf>
    <xf numFmtId="0" fontId="122" fillId="0" borderId="15" xfId="61" applyFont="1" applyBorder="1" applyAlignment="1">
      <alignment horizontal="center" vertical="center" wrapText="1"/>
      <protection/>
    </xf>
    <xf numFmtId="0" fontId="122" fillId="0" borderId="11" xfId="61" applyFont="1" applyBorder="1" applyAlignment="1">
      <alignment horizontal="center" wrapText="1"/>
      <protection/>
    </xf>
    <xf numFmtId="0" fontId="122" fillId="0" borderId="13" xfId="61" applyFont="1" applyBorder="1" applyAlignment="1">
      <alignment horizontal="center" wrapText="1"/>
      <protection/>
    </xf>
    <xf numFmtId="0" fontId="122" fillId="0" borderId="12" xfId="61" applyFont="1" applyBorder="1" applyAlignment="1">
      <alignment horizontal="center" wrapText="1"/>
      <protection/>
    </xf>
    <xf numFmtId="0" fontId="33" fillId="0" borderId="0" xfId="61" applyFont="1" applyAlignment="1">
      <alignment horizontal="center"/>
      <protection/>
    </xf>
    <xf numFmtId="0" fontId="122" fillId="0" borderId="14" xfId="61" applyFont="1" applyBorder="1" applyAlignment="1">
      <alignment horizontal="center" vertical="center"/>
      <protection/>
    </xf>
    <xf numFmtId="0" fontId="122" fillId="0" borderId="19" xfId="61" applyFont="1" applyBorder="1" applyAlignment="1">
      <alignment horizontal="center" vertical="center"/>
      <protection/>
    </xf>
    <xf numFmtId="0" fontId="122" fillId="0" borderId="15" xfId="61" applyFont="1" applyBorder="1" applyAlignment="1">
      <alignment horizontal="center" vertical="center"/>
      <protection/>
    </xf>
    <xf numFmtId="0" fontId="122" fillId="0" borderId="14" xfId="61" applyFont="1" applyBorder="1" applyAlignment="1">
      <alignment horizontal="center" vertical="center" wrapText="1"/>
      <protection/>
    </xf>
    <xf numFmtId="0" fontId="123" fillId="0" borderId="46" xfId="61" applyFont="1" applyBorder="1" applyAlignment="1">
      <alignment horizontal="center" vertical="center" wrapText="1"/>
      <protection/>
    </xf>
    <xf numFmtId="0" fontId="123" fillId="0" borderId="47" xfId="61" applyFont="1" applyBorder="1" applyAlignment="1">
      <alignment horizontal="center" vertical="center" wrapText="1"/>
      <protection/>
    </xf>
    <xf numFmtId="0" fontId="123" fillId="0" borderId="60" xfId="61" applyFont="1" applyBorder="1" applyAlignment="1">
      <alignment horizontal="center" vertical="center" wrapText="1"/>
      <protection/>
    </xf>
    <xf numFmtId="0" fontId="123" fillId="0" borderId="10" xfId="61" applyFont="1" applyBorder="1" applyAlignment="1">
      <alignment horizontal="center" vertical="center" wrapText="1"/>
      <protection/>
    </xf>
    <xf numFmtId="0" fontId="137" fillId="0" borderId="0" xfId="61" applyFont="1" applyFill="1" applyAlignment="1">
      <alignment horizontal="left" vertical="top"/>
      <protection/>
    </xf>
    <xf numFmtId="0" fontId="137" fillId="0" borderId="0" xfId="61" applyFont="1" applyAlignment="1">
      <alignment horizontal="left"/>
      <protection/>
    </xf>
    <xf numFmtId="0" fontId="137" fillId="0" borderId="0" xfId="61" applyFont="1" applyAlignment="1">
      <alignment horizontal="left" wrapText="1"/>
      <protection/>
    </xf>
    <xf numFmtId="0" fontId="123" fillId="20" borderId="10" xfId="61" applyFont="1" applyFill="1" applyBorder="1" applyAlignment="1">
      <alignment horizontal="center"/>
      <protection/>
    </xf>
    <xf numFmtId="0" fontId="131" fillId="20" borderId="15" xfId="61" applyFont="1" applyFill="1" applyBorder="1" applyAlignment="1">
      <alignment horizontal="center"/>
      <protection/>
    </xf>
    <xf numFmtId="0" fontId="131" fillId="20" borderId="10" xfId="61" applyFont="1" applyFill="1" applyBorder="1" applyAlignment="1">
      <alignment horizontal="center"/>
      <protection/>
    </xf>
    <xf numFmtId="0" fontId="131" fillId="20" borderId="14" xfId="61" applyFont="1" applyFill="1" applyBorder="1" applyAlignment="1">
      <alignment horizontal="center"/>
      <protection/>
    </xf>
    <xf numFmtId="0" fontId="170" fillId="0" borderId="46" xfId="61" applyFont="1" applyBorder="1" applyAlignment="1">
      <alignment horizontal="left"/>
      <protection/>
    </xf>
    <xf numFmtId="0" fontId="170" fillId="0" borderId="47" xfId="61" applyFont="1" applyBorder="1" applyAlignment="1">
      <alignment horizontal="left"/>
      <protection/>
    </xf>
    <xf numFmtId="0" fontId="170" fillId="0" borderId="60" xfId="61" applyFont="1" applyBorder="1" applyAlignment="1">
      <alignment horizontal="left"/>
      <protection/>
    </xf>
    <xf numFmtId="0" fontId="17" fillId="0" borderId="46" xfId="61" applyFont="1" applyBorder="1" applyAlignment="1">
      <alignment horizontal="center"/>
      <protection/>
    </xf>
    <xf numFmtId="0" fontId="17" fillId="0" borderId="47" xfId="61" applyFont="1" applyBorder="1" applyAlignment="1">
      <alignment horizontal="center"/>
      <protection/>
    </xf>
    <xf numFmtId="0" fontId="17" fillId="0" borderId="60" xfId="61" applyFont="1" applyBorder="1" applyAlignment="1">
      <alignment horizontal="center"/>
      <protection/>
    </xf>
    <xf numFmtId="0" fontId="175" fillId="0" borderId="81" xfId="61" applyFont="1" applyFill="1" applyBorder="1" applyAlignment="1">
      <alignment horizontal="center" vertical="center"/>
      <protection/>
    </xf>
    <xf numFmtId="0" fontId="175" fillId="0" borderId="82" xfId="61" applyFont="1" applyFill="1" applyBorder="1" applyAlignment="1">
      <alignment horizontal="center" vertical="center"/>
      <protection/>
    </xf>
    <xf numFmtId="0" fontId="175" fillId="0" borderId="86" xfId="61" applyFont="1" applyFill="1" applyBorder="1" applyAlignment="1">
      <alignment horizontal="center" vertical="center"/>
      <protection/>
    </xf>
    <xf numFmtId="0" fontId="175" fillId="0" borderId="80" xfId="61" applyFont="1" applyFill="1" applyBorder="1" applyAlignment="1">
      <alignment horizontal="center" vertical="center"/>
      <protection/>
    </xf>
    <xf numFmtId="0" fontId="170" fillId="0" borderId="46" xfId="61" applyFont="1" applyBorder="1" applyAlignment="1">
      <alignment/>
      <protection/>
    </xf>
    <xf numFmtId="0" fontId="170" fillId="0" borderId="47" xfId="61" applyFont="1" applyBorder="1" applyAlignment="1">
      <alignment/>
      <protection/>
    </xf>
    <xf numFmtId="0" fontId="170" fillId="0" borderId="60" xfId="61" applyFont="1" applyBorder="1" applyAlignment="1">
      <alignment/>
      <protection/>
    </xf>
    <xf numFmtId="0" fontId="17" fillId="0" borderId="10" xfId="61" applyFont="1" applyFill="1" applyBorder="1" applyAlignment="1">
      <alignment horizontal="center"/>
      <protection/>
    </xf>
    <xf numFmtId="0" fontId="172" fillId="0" borderId="46" xfId="61" applyFont="1" applyBorder="1" applyAlignment="1">
      <alignment horizontal="left"/>
      <protection/>
    </xf>
    <xf numFmtId="0" fontId="172" fillId="0" borderId="47" xfId="61" applyFont="1" applyBorder="1" applyAlignment="1">
      <alignment horizontal="left"/>
      <protection/>
    </xf>
    <xf numFmtId="0" fontId="172" fillId="0" borderId="60" xfId="61" applyFont="1" applyBorder="1" applyAlignment="1">
      <alignment horizontal="left"/>
      <protection/>
    </xf>
    <xf numFmtId="0" fontId="145" fillId="0" borderId="10" xfId="61" applyFont="1" applyFill="1" applyBorder="1" applyAlignment="1">
      <alignment horizontal="center" vertical="center" wrapText="1"/>
      <protection/>
    </xf>
    <xf numFmtId="0" fontId="170" fillId="0" borderId="10" xfId="61" applyFont="1" applyFill="1" applyBorder="1" applyAlignment="1">
      <alignment horizontal="center" vertical="center" wrapText="1"/>
      <protection/>
    </xf>
    <xf numFmtId="0" fontId="170" fillId="0" borderId="14" xfId="61" applyFont="1" applyFill="1" applyBorder="1" applyAlignment="1">
      <alignment horizontal="center" vertical="center" wrapText="1"/>
      <protection/>
    </xf>
    <xf numFmtId="0" fontId="170" fillId="0" borderId="19" xfId="61" applyFont="1" applyFill="1" applyBorder="1" applyAlignment="1">
      <alignment horizontal="center" vertical="center" wrapText="1"/>
      <protection/>
    </xf>
    <xf numFmtId="0" fontId="170" fillId="0" borderId="15" xfId="61" applyFont="1" applyFill="1" applyBorder="1" applyAlignment="1">
      <alignment horizontal="center" vertical="center" wrapText="1"/>
      <protection/>
    </xf>
    <xf numFmtId="0" fontId="169" fillId="0" borderId="81" xfId="61" applyFont="1" applyBorder="1" applyAlignment="1">
      <alignment horizontal="center" vertical="center"/>
      <protection/>
    </xf>
    <xf numFmtId="0" fontId="169" fillId="0" borderId="82" xfId="61" applyFont="1" applyBorder="1" applyAlignment="1">
      <alignment horizontal="center" vertical="center"/>
      <protection/>
    </xf>
    <xf numFmtId="0" fontId="169" fillId="0" borderId="83" xfId="61" applyFont="1" applyBorder="1" applyAlignment="1">
      <alignment horizontal="center" vertical="center"/>
      <protection/>
    </xf>
    <xf numFmtId="0" fontId="169" fillId="0" borderId="84" xfId="61" applyFont="1" applyBorder="1" applyAlignment="1">
      <alignment horizontal="center" vertical="center"/>
      <protection/>
    </xf>
    <xf numFmtId="0" fontId="169" fillId="0" borderId="86" xfId="61" applyFont="1" applyBorder="1" applyAlignment="1">
      <alignment horizontal="center" vertical="center"/>
      <protection/>
    </xf>
    <xf numFmtId="0" fontId="169" fillId="0" borderId="80" xfId="61" applyFont="1" applyBorder="1" applyAlignment="1">
      <alignment horizontal="center" vertical="center"/>
      <protection/>
    </xf>
    <xf numFmtId="0" fontId="170" fillId="0" borderId="10" xfId="61" applyFont="1" applyBorder="1" applyAlignment="1">
      <alignment horizontal="center" vertical="center" wrapText="1"/>
      <protection/>
    </xf>
    <xf numFmtId="0" fontId="145" fillId="0" borderId="14" xfId="61" applyFont="1" applyBorder="1" applyAlignment="1">
      <alignment horizontal="center" vertical="center" wrapText="1"/>
      <protection/>
    </xf>
    <xf numFmtId="0" fontId="145" fillId="0" borderId="19" xfId="61" applyFont="1" applyBorder="1" applyAlignment="1">
      <alignment horizontal="center" vertical="center" wrapText="1"/>
      <protection/>
    </xf>
    <xf numFmtId="0" fontId="170" fillId="0" borderId="19" xfId="61" applyFont="1" applyBorder="1" applyAlignment="1">
      <alignment horizontal="center" vertical="center" wrapText="1"/>
      <protection/>
    </xf>
    <xf numFmtId="0" fontId="157" fillId="0" borderId="74" xfId="61" applyFont="1" applyFill="1" applyBorder="1" applyAlignment="1">
      <alignment horizontal="center" vertical="center" wrapText="1"/>
      <protection/>
    </xf>
    <xf numFmtId="0" fontId="157" fillId="0" borderId="101" xfId="61" applyFont="1" applyFill="1" applyBorder="1" applyAlignment="1">
      <alignment horizontal="center" vertical="center" wrapText="1"/>
      <protection/>
    </xf>
    <xf numFmtId="0" fontId="166" fillId="0" borderId="46" xfId="61" applyFont="1" applyFill="1" applyBorder="1" applyAlignment="1">
      <alignment horizontal="center"/>
      <protection/>
    </xf>
    <xf numFmtId="0" fontId="166" fillId="0" borderId="47" xfId="61" applyFont="1" applyFill="1" applyBorder="1" applyAlignment="1">
      <alignment horizontal="center"/>
      <protection/>
    </xf>
    <xf numFmtId="0" fontId="166" fillId="0" borderId="60" xfId="61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58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87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73" fillId="0" borderId="10" xfId="44" applyBorder="1" applyAlignment="1" applyProtection="1" quotePrefix="1">
      <alignment horizontal="center" vertical="center"/>
      <protection/>
    </xf>
    <xf numFmtId="0" fontId="73" fillId="0" borderId="10" xfId="44" applyBorder="1" applyAlignment="1" quotePrefix="1">
      <alignment horizontal="center" vertic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вод_ИНТЭКО утв. РСТ 2016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_Амортизация НОРД ФИШ 2015" xfId="59"/>
    <cellStyle name="Обычный 2_ИНТЭКО с ГВС на 2014" xfId="60"/>
    <cellStyle name="Обычный 3" xfId="61"/>
    <cellStyle name="Обычный 3 2" xfId="62"/>
    <cellStyle name="Обычный 4" xfId="63"/>
    <cellStyle name="Обычный 4 2" xfId="64"/>
    <cellStyle name="Обычный 4_1 Тарифная заявка ТЭ с. Пахачи 2016" xfId="65"/>
    <cellStyle name="Обычный 5" xfId="66"/>
    <cellStyle name="Обычный 6" xfId="67"/>
    <cellStyle name="Обычный_2008расчетОТОПЛ дог 1 3энр" xfId="68"/>
    <cellStyle name="Обычный_Амортизация Строй-Альянс 2015" xfId="69"/>
    <cellStyle name="Обычный_Интэко  2015 долгосрочный тариф" xfId="70"/>
    <cellStyle name="Обычный_котельная №4" xfId="71"/>
    <cellStyle name="Обычный_Тариы индексная модель(Строй...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Процентный 3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[0] 2" xfId="84"/>
    <cellStyle name="Финансовый 2" xfId="85"/>
    <cellStyle name="Финансовый 3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externalLink" Target="externalLinks/externalLink6.xml" /><Relationship Id="rId53" Type="http://schemas.openxmlformats.org/officeDocument/2006/relationships/externalLink" Target="externalLinks/externalLink7.xml" /><Relationship Id="rId5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209550" cy="1362075"/>
    <xdr:sp>
      <xdr:nvSpPr>
        <xdr:cNvPr id="1" name="Text Box 15"/>
        <xdr:cNvSpPr txBox="1">
          <a:spLocks noChangeArrowheads="1"/>
        </xdr:cNvSpPr>
      </xdr:nvSpPr>
      <xdr:spPr>
        <a:xfrm>
          <a:off x="0" y="3038475"/>
          <a:ext cx="20955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"Строй-Альянс"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4;&#1056;&#1044;%20&#1060;&#1048;&#1064;%20&#1064;&#1072;&#1073;&#1083;&#1086;&#1085;%20&#1085;&#1072;%20&#1058;&#1069;%20&#1080;%20&#1043;&#1042;&#1057;%20&#1085;&#1072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4;&#1056;&#1044;%20&#1060;&#1048;&#1064;%20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&#1099;%20&#1080;&#1085;\&#1044;&#1086;&#1083;&#1075;&#1086;&#1089;&#1088;&#1086;&#1095;&#1082;&#1072;%20(&#1085;&#1086;&#1074;&#1072;&#1103;)%202016-2018%20&#1075;.&#1075;.%20&#1048;&#1053;&#1058;&#1045;&#1050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6-2018%20%20&#1053;&#1054;&#1056;&#1044;%20&#1060;&#1048;&#1064;%20&#1082;&#1086;&#1085;&#1089;&#1077;&#1089;&#1089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9;&#1082;&#1086;&#1085;&#1086;&#1084;&#1080;&#1089;&#1090;\&#1058;&#1072;&#1088;&#1080;&#1092;&#1099;\&#1059;&#1090;&#1074;&#1077;&#1088;&#1078;&#1076;&#1077;&#1085;&#1085;&#1099;&#1077;%20&#1090;&#1072;&#1088;&#1080;&#1092;&#1099;%202016\&#1048;&#1053;&#1058;&#1069;&#1050;&#1054;%20&#1091;&#1090;&#1074;.%20&#1056;&#1057;&#1058;%20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&#1099;%20&#1057;&#1090;&#1088;-&#1040;&#1083;&#1100;&#1103;&#1085;&#1089;%202017-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86;&#1081;-&#1040;&#1083;&#1100;&#1103;&#1085;&#1089;%20%20&#1091;&#1090;&#1074;.%20&#1056;&#1057;&#1058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3.1"/>
      <sheetName val="4.1"/>
      <sheetName val="4.2"/>
      <sheetName val="4.3"/>
      <sheetName val="4.4"/>
      <sheetName val="4.5"/>
      <sheetName val="4.6 Смета"/>
      <sheetName val="Аренда машины"/>
      <sheetName val="4.7"/>
      <sheetName val="ЭЭ-расчет"/>
      <sheetName val="4.8"/>
      <sheetName val="4.9"/>
      <sheetName val="Расшиф. 4.9"/>
      <sheetName val="4.10"/>
      <sheetName val="Прилож 4.10"/>
      <sheetName val="6.1"/>
      <sheetName val="6.2"/>
      <sheetName val="6.3"/>
      <sheetName val="6.4"/>
      <sheetName val="6.5"/>
      <sheetName val="6.6"/>
      <sheetName val="6.7"/>
      <sheetName val="6.8"/>
      <sheetName val="Произ.пррог"/>
      <sheetName val="Расчет ГВС"/>
      <sheetName val="Объекты НОРД ФИШ"/>
      <sheetName val="Перечень строений"/>
      <sheetName val="Т-график"/>
    </sheetNames>
    <sheetDataSet>
      <sheetData sheetId="2">
        <row r="37">
          <cell r="B37" t="str">
            <v>Генеральный директор ____________________С.Г. Бобряшов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3.1"/>
      <sheetName val="прил 4.1. (ПП)"/>
      <sheetName val="прил 4.1. (отопл)"/>
      <sheetName val="прил 4.1. (ГВС м3)"/>
      <sheetName val="прил 4.1. (ГВС)"/>
      <sheetName val="прил 4.1. СВОД"/>
      <sheetName val="4.1"/>
      <sheetName val="4.2"/>
      <sheetName val="4.3"/>
      <sheetName val="4.4"/>
      <sheetName val="4.5"/>
      <sheetName val="Амортизация по лизингу"/>
      <sheetName val="4.11"/>
      <sheetName val="4.12"/>
      <sheetName val="4.13"/>
      <sheetName val="4.14"/>
      <sheetName val="4.15"/>
      <sheetName val="6.1"/>
      <sheetName val="6.2"/>
      <sheetName val="6.3"/>
      <sheetName val="4.6 Смета"/>
      <sheetName val="4.7"/>
      <sheetName val="ЭЭ-расчет"/>
      <sheetName val="4.8"/>
      <sheetName val="4.9"/>
      <sheetName val="Расшиф. 4.9"/>
      <sheetName val="4.10"/>
      <sheetName val="4.12-1"/>
      <sheetName val="5.1"/>
      <sheetName val="5.2"/>
      <sheetName val="5.3"/>
      <sheetName val="5.4"/>
      <sheetName val="5.5"/>
      <sheetName val="5.6"/>
      <sheetName val="5.7"/>
      <sheetName val="5.9"/>
      <sheetName val="6.1-1"/>
      <sheetName val="6.2-1"/>
      <sheetName val="6.3-1"/>
      <sheetName val="6.4"/>
      <sheetName val="6.5"/>
      <sheetName val="6.5-1"/>
      <sheetName val="6.6"/>
      <sheetName val="6.7"/>
      <sheetName val="6.8"/>
      <sheetName val="Расчет гвс"/>
      <sheetName val="Т-график"/>
      <sheetName val="Перечень строений"/>
    </sheetNames>
    <sheetDataSet>
      <sheetData sheetId="7">
        <row r="6">
          <cell r="B6" t="str">
            <v>Усть-Камчатское сельское поселение Усть-Камчатского муниципального района</v>
          </cell>
        </row>
        <row r="30">
          <cell r="L30">
            <v>0</v>
          </cell>
          <cell r="M30">
            <v>0</v>
          </cell>
        </row>
      </sheetData>
      <sheetData sheetId="8">
        <row r="14">
          <cell r="G14">
            <v>0</v>
          </cell>
          <cell r="H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3.1"/>
      <sheetName val="Произв прогр"/>
      <sheetName val="4.1"/>
      <sheetName val="4.2"/>
      <sheetName val="4.3"/>
      <sheetName val="4.4"/>
      <sheetName val="4.5"/>
      <sheetName val="Амортизация по лизингу"/>
      <sheetName val="4.11"/>
      <sheetName val="4.12"/>
      <sheetName val="4.13"/>
      <sheetName val="4.14"/>
      <sheetName val="4.15"/>
      <sheetName val="6.1"/>
      <sheetName val="6.2"/>
      <sheetName val="6.3"/>
      <sheetName val="4.12-1"/>
      <sheetName val="5.1"/>
      <sheetName val="5.2"/>
      <sheetName val="5.3"/>
      <sheetName val="5.4"/>
      <sheetName val="5.5"/>
      <sheetName val="5.6"/>
      <sheetName val="5.7"/>
      <sheetName val="5.9"/>
      <sheetName val="6.5"/>
      <sheetName val="Расчет гвс"/>
      <sheetName val="Т-график"/>
      <sheetName val="Перечень строений"/>
    </sheetNames>
    <sheetDataSet>
      <sheetData sheetId="1">
        <row r="5">
          <cell r="A5" t="str">
            <v>Наименование    Усть - Камчатское муниципальное образование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роизв прогр"/>
      <sheetName val="3.1"/>
      <sheetName val="4.1"/>
      <sheetName val="4.2"/>
      <sheetName val="4.3"/>
      <sheetName val="4.4"/>
      <sheetName val="4.5"/>
      <sheetName val="4.6 Смета"/>
      <sheetName val="Амортизация по лизингу"/>
      <sheetName val="4.11"/>
      <sheetName val="4.12"/>
      <sheetName val="4.13"/>
      <sheetName val="4.14"/>
      <sheetName val="4.15"/>
      <sheetName val="6.1"/>
      <sheetName val="6.2"/>
      <sheetName val="6.3"/>
      <sheetName val="4.7"/>
      <sheetName val="ЭЭ-расчет"/>
      <sheetName val="4.8"/>
      <sheetName val="4.9"/>
      <sheetName val="Расшиф. 4.9 НФ"/>
      <sheetName val="4.10"/>
      <sheetName val="Аморт. НОРД ФИШ"/>
      <sheetName val="4.12-1"/>
      <sheetName val="5.1"/>
      <sheetName val="5.2"/>
      <sheetName val="5.3"/>
      <sheetName val="5.4"/>
      <sheetName val="5.5"/>
      <sheetName val="5.6"/>
      <sheetName val="5.7"/>
      <sheetName val="5.9"/>
      <sheetName val="6.5"/>
      <sheetName val="6.4"/>
      <sheetName val="6.6"/>
      <sheetName val="6.7"/>
      <sheetName val="6.8"/>
      <sheetName val="Расчет гвс"/>
      <sheetName val="Т-график"/>
      <sheetName val="Перечень строений"/>
      <sheetName val="i-d"/>
    </sheetNames>
    <sheetDataSet>
      <sheetData sheetId="3">
        <row r="30">
          <cell r="L30">
            <v>1.445</v>
          </cell>
        </row>
      </sheetData>
      <sheetData sheetId="4">
        <row r="26">
          <cell r="G26">
            <v>2.588</v>
          </cell>
        </row>
      </sheetData>
      <sheetData sheetId="20">
        <row r="12">
          <cell r="M12">
            <v>0.04802</v>
          </cell>
        </row>
      </sheetData>
      <sheetData sheetId="35">
        <row r="36">
          <cell r="J36">
            <v>11572.77</v>
          </cell>
          <cell r="M36" t="e">
            <v>#REF!</v>
          </cell>
          <cell r="S36" t="e">
            <v>#REF!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3.1"/>
      <sheetName val="4.1"/>
      <sheetName val="4.2"/>
      <sheetName val="4.3"/>
      <sheetName val="4.4"/>
      <sheetName val="4.5"/>
      <sheetName val="4.6 Смета"/>
      <sheetName val="4.7"/>
      <sheetName val="4.7 расшиф.-ээ"/>
      <sheetName val="4.8"/>
      <sheetName val="4.9"/>
      <sheetName val="Расшиф. 4.9"/>
      <sheetName val="Амортизация по лизингу"/>
      <sheetName val="i-d"/>
      <sheetName val="4.10"/>
      <sheetName val="4.11"/>
      <sheetName val="4.12"/>
      <sheetName val="4.13"/>
      <sheetName val="4.14"/>
      <sheetName val="4.15"/>
      <sheetName val="6.1"/>
      <sheetName val="6.2"/>
      <sheetName val="6.3"/>
      <sheetName val="Амортизация"/>
      <sheetName val="6.4"/>
      <sheetName val="6.5"/>
      <sheetName val="6.6"/>
      <sheetName val="6.7"/>
      <sheetName val="6.8"/>
      <sheetName val="Расчет ГВС"/>
      <sheetName val="перечень строений"/>
      <sheetName val="Т-график"/>
      <sheetName val="Произ.пррог"/>
    </sheetNames>
    <sheetDataSet>
      <sheetData sheetId="2">
        <row r="6">
          <cell r="B6" t="str">
            <v>Усть-Камчатское муниципальное образование</v>
          </cell>
        </row>
      </sheetData>
      <sheetData sheetId="12">
        <row r="10">
          <cell r="S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K11">
            <v>8.5</v>
          </cell>
        </row>
        <row r="12">
          <cell r="S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M14">
            <v>4590</v>
          </cell>
          <cell r="N14">
            <v>4590</v>
          </cell>
        </row>
        <row r="15">
          <cell r="M15">
            <v>1.056</v>
          </cell>
          <cell r="N15">
            <v>1.056</v>
          </cell>
        </row>
        <row r="17">
          <cell r="G17">
            <v>6.18</v>
          </cell>
        </row>
        <row r="18">
          <cell r="G18">
            <v>1.74</v>
          </cell>
          <cell r="K18">
            <v>1.74</v>
          </cell>
        </row>
        <row r="19">
          <cell r="G19">
            <v>1.2</v>
          </cell>
          <cell r="S19">
            <v>1</v>
          </cell>
        </row>
        <row r="20">
          <cell r="G20">
            <v>10138</v>
          </cell>
          <cell r="K20">
            <v>10120.536</v>
          </cell>
        </row>
        <row r="22">
          <cell r="K22">
            <v>21</v>
          </cell>
          <cell r="AC22">
            <v>22.005518512099677</v>
          </cell>
        </row>
        <row r="23">
          <cell r="G23">
            <v>2081</v>
          </cell>
          <cell r="K23">
            <v>2125.31256</v>
          </cell>
        </row>
        <row r="25">
          <cell r="K25">
            <v>30</v>
          </cell>
          <cell r="L25">
            <v>30</v>
          </cell>
          <cell r="S25">
            <v>30</v>
          </cell>
        </row>
        <row r="28">
          <cell r="K28">
            <v>0</v>
          </cell>
          <cell r="S28">
            <v>0</v>
          </cell>
          <cell r="AC28">
            <v>0</v>
          </cell>
          <cell r="AD28">
            <v>0</v>
          </cell>
          <cell r="AE28">
            <v>0</v>
          </cell>
        </row>
        <row r="34">
          <cell r="K34">
            <v>160</v>
          </cell>
          <cell r="O34">
            <v>160</v>
          </cell>
          <cell r="S34">
            <v>160</v>
          </cell>
        </row>
        <row r="37">
          <cell r="K37">
            <v>4205</v>
          </cell>
        </row>
        <row r="38">
          <cell r="G38">
            <v>73</v>
          </cell>
        </row>
        <row r="40">
          <cell r="G40">
            <v>1272</v>
          </cell>
          <cell r="K40">
            <v>1269</v>
          </cell>
        </row>
        <row r="48">
          <cell r="AE48" t="str">
            <v>Расчет отчислений на социальные нужды на 2016 год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3.1"/>
      <sheetName val="Произ прог"/>
      <sheetName val="4.1"/>
      <sheetName val="4.2"/>
      <sheetName val="4.3"/>
      <sheetName val="4.4"/>
      <sheetName val="4.5"/>
      <sheetName val="4.6 Смета"/>
      <sheetName val="Амортизация по лизингу"/>
      <sheetName val="4.11"/>
      <sheetName val="4.12"/>
      <sheetName val="4.13"/>
      <sheetName val="4.14"/>
      <sheetName val="4.15"/>
      <sheetName val="6.1"/>
      <sheetName val="6.2"/>
      <sheetName val="6.3"/>
      <sheetName val="4.7"/>
      <sheetName val="ЭЭ-расчет"/>
      <sheetName val="4.8"/>
      <sheetName val="4.9"/>
      <sheetName val="Расшиф. 4.9"/>
      <sheetName val="4.10"/>
      <sheetName val="Аморт. НОРД ФИШ"/>
      <sheetName val="4.12-1"/>
      <sheetName val="i-d (2)"/>
      <sheetName val="5.1"/>
      <sheetName val="5.2"/>
      <sheetName val="5.3"/>
      <sheetName val="5.4"/>
      <sheetName val="5.5"/>
      <sheetName val="5.6"/>
      <sheetName val="5.7"/>
      <sheetName val="5.9"/>
      <sheetName val="6.5"/>
      <sheetName val="6.4"/>
      <sheetName val="6.6"/>
      <sheetName val="6.7"/>
      <sheetName val="6.8"/>
      <sheetName val="Расчет гвс"/>
      <sheetName val="Перечень строений"/>
      <sheetName val="Т-график"/>
      <sheetName val="i-d"/>
    </sheetNames>
    <sheetDataSet>
      <sheetData sheetId="0">
        <row r="5">
          <cell r="A5" t="str">
            <v>Усть-Камчатское сельское поселение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3.1"/>
      <sheetName val="4.1"/>
      <sheetName val="4.2"/>
      <sheetName val="4.3"/>
      <sheetName val="4.4"/>
      <sheetName val="4.5"/>
      <sheetName val="4.6 Смета"/>
      <sheetName val="4.7"/>
      <sheetName val="прил 4.7."/>
      <sheetName val="4.8"/>
      <sheetName val="4.9"/>
      <sheetName val="Расшиф. 4.9"/>
      <sheetName val="Амортизация по лизингу"/>
      <sheetName val="4.10"/>
      <sheetName val="4.11"/>
      <sheetName val="4.12"/>
      <sheetName val="4.13"/>
      <sheetName val="4.14"/>
      <sheetName val="4.15"/>
      <sheetName val="6.1"/>
      <sheetName val="6.2"/>
      <sheetName val="6.3"/>
      <sheetName val="Прил 4.10"/>
      <sheetName val="6.4"/>
      <sheetName val="6.5"/>
      <sheetName val="6.6"/>
      <sheetName val="6.7"/>
      <sheetName val="6.8"/>
      <sheetName val="Произ.прог"/>
      <sheetName val="ГВС"/>
      <sheetName val="Объекты Строй-Альянс"/>
      <sheetName val="Т-график "/>
      <sheetName val="i-d"/>
    </sheetNames>
    <sheetDataSet>
      <sheetData sheetId="2">
        <row r="6">
          <cell r="B6" t="str">
            <v>Усть - Камчатское муниципальное образование</v>
          </cell>
        </row>
      </sheetData>
      <sheetData sheetId="23">
        <row r="9">
          <cell r="I9">
            <v>360</v>
          </cell>
        </row>
        <row r="10">
          <cell r="I10">
            <v>350</v>
          </cell>
        </row>
        <row r="11">
          <cell r="I11">
            <v>252</v>
          </cell>
        </row>
        <row r="12">
          <cell r="I12">
            <v>41</v>
          </cell>
        </row>
        <row r="13">
          <cell r="I13">
            <v>108</v>
          </cell>
        </row>
        <row r="14">
          <cell r="I14">
            <v>80</v>
          </cell>
        </row>
        <row r="15">
          <cell r="I15">
            <v>100</v>
          </cell>
        </row>
        <row r="16">
          <cell r="I16">
            <v>192</v>
          </cell>
        </row>
        <row r="17">
          <cell r="I17">
            <v>125</v>
          </cell>
        </row>
        <row r="18">
          <cell r="I18">
            <v>170</v>
          </cell>
        </row>
        <row r="19">
          <cell r="I19">
            <v>70</v>
          </cell>
        </row>
        <row r="20">
          <cell r="I20">
            <v>100</v>
          </cell>
        </row>
        <row r="21">
          <cell r="I21">
            <v>48</v>
          </cell>
        </row>
        <row r="22">
          <cell r="I22">
            <v>43</v>
          </cell>
        </row>
        <row r="23">
          <cell r="I23">
            <v>510</v>
          </cell>
        </row>
        <row r="24">
          <cell r="I2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20">
      <selection activeCell="E30" sqref="E30"/>
    </sheetView>
  </sheetViews>
  <sheetFormatPr defaultColWidth="9.140625" defaultRowHeight="15" outlineLevelRow="1"/>
  <cols>
    <col min="1" max="1" width="7.421875" style="146" customWidth="1"/>
    <col min="2" max="2" width="63.421875" style="145" customWidth="1"/>
    <col min="3" max="3" width="15.57421875" style="144" customWidth="1"/>
    <col min="4" max="4" width="21.57421875" style="144" customWidth="1"/>
    <col min="5" max="16384" width="9.140625" style="146" customWidth="1"/>
  </cols>
  <sheetData>
    <row r="1" spans="1:5" ht="14.25">
      <c r="A1" s="7" t="str">
        <f>'4.1'!B2</f>
        <v>Теплоснабжающая организация: ООО "Строй-Альянс"</v>
      </c>
      <c r="C1" s="2054"/>
      <c r="D1" s="2054"/>
      <c r="E1" s="84"/>
    </row>
    <row r="2" ht="14.25">
      <c r="A2" s="1" t="str">
        <f>'4.1'!B3</f>
        <v>Базовый период/Период регулирования:2016/2017-2019 г.г.</v>
      </c>
    </row>
    <row r="4" spans="1:4" ht="14.25">
      <c r="A4" s="2055" t="s">
        <v>72</v>
      </c>
      <c r="B4" s="2055"/>
      <c r="C4" s="2055"/>
      <c r="D4" s="2055"/>
    </row>
    <row r="5" ht="14.25">
      <c r="A5" s="308" t="s">
        <v>466</v>
      </c>
    </row>
    <row r="6" spans="1:4" ht="14.25">
      <c r="A6" s="62" t="s">
        <v>652</v>
      </c>
      <c r="B6" s="147" t="s">
        <v>73</v>
      </c>
      <c r="C6" s="63" t="s">
        <v>74</v>
      </c>
      <c r="D6" s="63" t="s">
        <v>75</v>
      </c>
    </row>
    <row r="7" spans="1:4" ht="14.25">
      <c r="A7" s="148">
        <v>1</v>
      </c>
      <c r="B7" s="65" t="s">
        <v>659</v>
      </c>
      <c r="C7" s="101" t="s">
        <v>1014</v>
      </c>
      <c r="D7" s="2382" t="s">
        <v>439</v>
      </c>
    </row>
    <row r="8" spans="1:4" ht="27.75">
      <c r="A8" s="149">
        <v>2</v>
      </c>
      <c r="B8" s="150" t="s">
        <v>1462</v>
      </c>
      <c r="C8" s="151"/>
      <c r="D8" s="133"/>
    </row>
    <row r="9" spans="1:4" ht="14.25">
      <c r="A9" s="101" t="s">
        <v>1011</v>
      </c>
      <c r="B9" s="65" t="s">
        <v>195</v>
      </c>
      <c r="C9" s="101" t="s">
        <v>602</v>
      </c>
      <c r="D9" s="2382" t="s">
        <v>440</v>
      </c>
    </row>
    <row r="10" spans="1:4" ht="14.25">
      <c r="A10" s="101" t="s">
        <v>686</v>
      </c>
      <c r="B10" s="65" t="s">
        <v>709</v>
      </c>
      <c r="C10" s="101" t="s">
        <v>604</v>
      </c>
      <c r="D10" s="2382" t="s">
        <v>441</v>
      </c>
    </row>
    <row r="11" spans="1:4" ht="14.25">
      <c r="A11" s="101" t="s">
        <v>1003</v>
      </c>
      <c r="B11" s="65" t="s">
        <v>671</v>
      </c>
      <c r="C11" s="101" t="s">
        <v>606</v>
      </c>
      <c r="D11" s="2382" t="s">
        <v>442</v>
      </c>
    </row>
    <row r="12" spans="1:4" ht="14.25">
      <c r="A12" s="101" t="s">
        <v>861</v>
      </c>
      <c r="B12" s="65" t="s">
        <v>386</v>
      </c>
      <c r="C12" s="101" t="s">
        <v>613</v>
      </c>
      <c r="D12" s="2382" t="s">
        <v>443</v>
      </c>
    </row>
    <row r="13" spans="1:4" ht="14.25">
      <c r="A13" s="101" t="s">
        <v>863</v>
      </c>
      <c r="B13" s="65" t="s">
        <v>379</v>
      </c>
      <c r="C13" s="101" t="s">
        <v>614</v>
      </c>
      <c r="D13" s="2382" t="s">
        <v>444</v>
      </c>
    </row>
    <row r="14" spans="1:4" ht="14.25">
      <c r="A14" s="101" t="s">
        <v>865</v>
      </c>
      <c r="B14" s="65" t="s">
        <v>1183</v>
      </c>
      <c r="C14" s="101" t="s">
        <v>802</v>
      </c>
      <c r="D14" s="2382" t="s">
        <v>445</v>
      </c>
    </row>
    <row r="15" spans="1:4" ht="14.25">
      <c r="A15" s="101" t="s">
        <v>867</v>
      </c>
      <c r="B15" s="65" t="s">
        <v>71</v>
      </c>
      <c r="C15" s="101" t="s">
        <v>803</v>
      </c>
      <c r="D15" s="2382" t="s">
        <v>446</v>
      </c>
    </row>
    <row r="16" spans="1:4" ht="27.75">
      <c r="A16" s="101" t="s">
        <v>136</v>
      </c>
      <c r="B16" s="215" t="s">
        <v>368</v>
      </c>
      <c r="C16" s="214" t="s">
        <v>803</v>
      </c>
      <c r="D16" s="2382" t="s">
        <v>447</v>
      </c>
    </row>
    <row r="17" spans="1:4" ht="14.25">
      <c r="A17" s="101" t="s">
        <v>138</v>
      </c>
      <c r="B17" s="65" t="s">
        <v>855</v>
      </c>
      <c r="C17" s="101" t="s">
        <v>804</v>
      </c>
      <c r="D17" s="2382" t="s">
        <v>448</v>
      </c>
    </row>
    <row r="18" spans="1:4" ht="14.25">
      <c r="A18" s="101" t="s">
        <v>140</v>
      </c>
      <c r="B18" s="65" t="s">
        <v>1184</v>
      </c>
      <c r="C18" s="101" t="s">
        <v>1053</v>
      </c>
      <c r="D18" s="2382" t="s">
        <v>449</v>
      </c>
    </row>
    <row r="19" spans="1:4" ht="14.25" hidden="1">
      <c r="A19" s="101" t="s">
        <v>611</v>
      </c>
      <c r="B19" s="215" t="s">
        <v>1612</v>
      </c>
      <c r="C19" s="214"/>
      <c r="D19" s="2382"/>
    </row>
    <row r="20" spans="1:4" ht="27.75">
      <c r="A20" s="101" t="s">
        <v>612</v>
      </c>
      <c r="B20" s="65" t="s">
        <v>1552</v>
      </c>
      <c r="C20" s="101" t="s">
        <v>1054</v>
      </c>
      <c r="D20" s="2382" t="s">
        <v>450</v>
      </c>
    </row>
    <row r="21" spans="1:4" ht="14.25" hidden="1">
      <c r="A21" s="101" t="s">
        <v>1761</v>
      </c>
      <c r="B21" s="65" t="s">
        <v>680</v>
      </c>
      <c r="C21" s="101"/>
      <c r="D21" s="2382"/>
    </row>
    <row r="22" spans="1:4" ht="14.25" hidden="1">
      <c r="A22" s="101" t="s">
        <v>1762</v>
      </c>
      <c r="B22" s="65" t="s">
        <v>1763</v>
      </c>
      <c r="C22" s="101"/>
      <c r="D22" s="2382"/>
    </row>
    <row r="23" spans="1:4" ht="14.25" hidden="1">
      <c r="A23" s="101" t="s">
        <v>589</v>
      </c>
      <c r="B23" s="65" t="s">
        <v>1768</v>
      </c>
      <c r="C23" s="101"/>
      <c r="D23" s="2382"/>
    </row>
    <row r="24" spans="1:4" ht="14.25" hidden="1">
      <c r="A24" s="101" t="s">
        <v>919</v>
      </c>
      <c r="B24" s="65" t="s">
        <v>548</v>
      </c>
      <c r="C24" s="101"/>
      <c r="D24" s="2382"/>
    </row>
    <row r="25" spans="1:4" ht="42" hidden="1">
      <c r="A25" s="101" t="s">
        <v>920</v>
      </c>
      <c r="B25" s="65" t="s">
        <v>25</v>
      </c>
      <c r="C25" s="101"/>
      <c r="D25" s="2382"/>
    </row>
    <row r="26" spans="1:4" ht="14.25" outlineLevel="1">
      <c r="A26" s="101" t="s">
        <v>1761</v>
      </c>
      <c r="B26" s="2044" t="s">
        <v>1763</v>
      </c>
      <c r="C26" s="199" t="s">
        <v>1469</v>
      </c>
      <c r="D26" s="2383" t="s">
        <v>451</v>
      </c>
    </row>
    <row r="27" spans="1:4" ht="14.25" outlineLevel="1">
      <c r="A27" s="101" t="s">
        <v>1762</v>
      </c>
      <c r="B27" s="65" t="s">
        <v>1470</v>
      </c>
      <c r="C27" s="101" t="s">
        <v>1308</v>
      </c>
      <c r="D27" s="2383" t="s">
        <v>452</v>
      </c>
    </row>
    <row r="28" spans="1:4" ht="14.25" outlineLevel="1">
      <c r="A28" s="101" t="s">
        <v>589</v>
      </c>
      <c r="B28" s="65" t="s">
        <v>1471</v>
      </c>
      <c r="C28" s="101" t="s">
        <v>1309</v>
      </c>
      <c r="D28" s="2383" t="s">
        <v>453</v>
      </c>
    </row>
    <row r="29" spans="1:4" ht="14.25" outlineLevel="1">
      <c r="A29" s="101" t="s">
        <v>919</v>
      </c>
      <c r="B29" s="65" t="s">
        <v>1590</v>
      </c>
      <c r="C29" s="101" t="s">
        <v>1310</v>
      </c>
      <c r="D29" s="2383" t="s">
        <v>454</v>
      </c>
    </row>
    <row r="30" spans="1:4" ht="27.75" outlineLevel="1">
      <c r="A30" s="101" t="s">
        <v>920</v>
      </c>
      <c r="B30" s="65" t="s">
        <v>1472</v>
      </c>
      <c r="C30" s="101" t="s">
        <v>748</v>
      </c>
      <c r="D30" s="2383" t="s">
        <v>455</v>
      </c>
    </row>
    <row r="31" spans="1:4" ht="14.25" outlineLevel="1">
      <c r="A31" s="101" t="s">
        <v>1463</v>
      </c>
      <c r="B31" s="65" t="s">
        <v>1591</v>
      </c>
      <c r="C31" s="101" t="s">
        <v>749</v>
      </c>
      <c r="D31" s="2383" t="s">
        <v>456</v>
      </c>
    </row>
    <row r="32" spans="1:4" ht="14.25" outlineLevel="1">
      <c r="A32" s="101" t="s">
        <v>1464</v>
      </c>
      <c r="B32" s="65" t="s">
        <v>1768</v>
      </c>
      <c r="C32" s="101" t="s">
        <v>1615</v>
      </c>
      <c r="D32" s="2383" t="s">
        <v>457</v>
      </c>
    </row>
    <row r="33" spans="1:4" ht="27.75" outlineLevel="1">
      <c r="A33" s="101" t="s">
        <v>1465</v>
      </c>
      <c r="B33" s="65" t="s">
        <v>1473</v>
      </c>
      <c r="C33" s="101" t="s">
        <v>988</v>
      </c>
      <c r="D33" s="2383" t="s">
        <v>458</v>
      </c>
    </row>
    <row r="34" spans="1:4" ht="27.75" outlineLevel="1">
      <c r="A34" s="101" t="s">
        <v>1466</v>
      </c>
      <c r="B34" s="65" t="s">
        <v>1474</v>
      </c>
      <c r="C34" s="101" t="s">
        <v>1475</v>
      </c>
      <c r="D34" s="2383" t="s">
        <v>459</v>
      </c>
    </row>
    <row r="35" spans="1:4" ht="14.25" hidden="1" outlineLevel="1">
      <c r="A35" s="101" t="s">
        <v>1467</v>
      </c>
      <c r="B35" s="65"/>
      <c r="C35" s="101"/>
      <c r="D35" s="62"/>
    </row>
    <row r="36" spans="1:4" ht="14.25" hidden="1" outlineLevel="1">
      <c r="A36" s="101" t="s">
        <v>1468</v>
      </c>
      <c r="B36" s="65"/>
      <c r="C36" s="101"/>
      <c r="D36" s="62"/>
    </row>
    <row r="37" spans="1:4" ht="27.75" collapsed="1">
      <c r="A37" s="149">
        <v>3</v>
      </c>
      <c r="B37" s="150" t="s">
        <v>590</v>
      </c>
      <c r="C37" s="151"/>
      <c r="D37" s="62"/>
    </row>
    <row r="38" spans="1:4" ht="27.75" hidden="1">
      <c r="A38" s="101" t="s">
        <v>602</v>
      </c>
      <c r="B38" s="65" t="s">
        <v>27</v>
      </c>
      <c r="C38" s="101"/>
      <c r="D38" s="2382"/>
    </row>
    <row r="39" spans="1:4" ht="27.75" hidden="1">
      <c r="A39" s="101" t="s">
        <v>604</v>
      </c>
      <c r="B39" s="65" t="s">
        <v>1686</v>
      </c>
      <c r="C39" s="101"/>
      <c r="D39" s="2382"/>
    </row>
    <row r="40" spans="1:4" ht="69" hidden="1">
      <c r="A40" s="101" t="s">
        <v>606</v>
      </c>
      <c r="B40" s="65" t="s">
        <v>1696</v>
      </c>
      <c r="C40" s="101"/>
      <c r="D40" s="2382"/>
    </row>
    <row r="41" spans="1:4" ht="27.75">
      <c r="A41" s="101" t="s">
        <v>613</v>
      </c>
      <c r="B41" s="65" t="s">
        <v>1697</v>
      </c>
      <c r="C41" s="101" t="s">
        <v>1513</v>
      </c>
      <c r="D41" s="2382" t="s">
        <v>460</v>
      </c>
    </row>
    <row r="42" spans="1:4" ht="27.75" hidden="1">
      <c r="A42" s="101" t="s">
        <v>614</v>
      </c>
      <c r="B42" s="65" t="s">
        <v>1171</v>
      </c>
      <c r="C42" s="101"/>
      <c r="D42" s="2382"/>
    </row>
    <row r="43" spans="1:4" ht="42">
      <c r="A43" s="101" t="s">
        <v>802</v>
      </c>
      <c r="B43" s="65" t="s">
        <v>1185</v>
      </c>
      <c r="C43" s="101" t="s">
        <v>1240</v>
      </c>
      <c r="D43" s="2382" t="s">
        <v>461</v>
      </c>
    </row>
    <row r="44" spans="1:4" ht="14.25">
      <c r="A44" s="101" t="s">
        <v>803</v>
      </c>
      <c r="B44" s="65" t="s">
        <v>1186</v>
      </c>
      <c r="C44" s="101" t="s">
        <v>1476</v>
      </c>
      <c r="D44" s="2382" t="s">
        <v>462</v>
      </c>
    </row>
    <row r="45" spans="1:4" ht="55.5">
      <c r="A45" s="101" t="s">
        <v>804</v>
      </c>
      <c r="B45" s="65" t="s">
        <v>1551</v>
      </c>
      <c r="C45" s="101" t="s">
        <v>1052</v>
      </c>
      <c r="D45" s="2382" t="s">
        <v>463</v>
      </c>
    </row>
    <row r="47" ht="14.25">
      <c r="B47" s="40" t="s">
        <v>1477</v>
      </c>
    </row>
  </sheetData>
  <sheetProtection/>
  <mergeCells count="2">
    <mergeCell ref="C1:D1"/>
    <mergeCell ref="A4:D4"/>
  </mergeCells>
  <hyperlinks>
    <hyperlink ref="D7" location="'3.1'!A1" display="'3.1'!A1"/>
    <hyperlink ref="D9" location="'4.1'!A1" display="'4.1'!A1"/>
    <hyperlink ref="D10" location="'4.2'!A1" display="'4.2'!A1"/>
    <hyperlink ref="D11" location="'4.3'!A1" display="'4.3'!A1"/>
    <hyperlink ref="D12" location="'4.4'!A1" display="'4.4'!A1"/>
    <hyperlink ref="D13" location="'4.5'!A1" display="'4.5'!A1"/>
    <hyperlink ref="D14" location="'4.6 Смета'!A1" display="'4.6 Смета'!A1"/>
    <hyperlink ref="D15" location="'4.7 '!A1" display="'4.7 '!A1"/>
    <hyperlink ref="D16" location="'4.7 расшиф.-ээ'!A1" display="'4.7 расшиф.-ээ'!A1"/>
    <hyperlink ref="D17" location="'4.8'!A1" display="'4.8'!A1"/>
    <hyperlink ref="D18" location="'4.9 '!A1" display="'4.9 '!A1"/>
    <hyperlink ref="D20" location="'4.10'!A1" display="'4.10'!A1"/>
    <hyperlink ref="D20:D26" location="'4.12-1'!A1" display="4.10'!A1"/>
    <hyperlink ref="D26" location="'4.12-1'!A1" display="'4.12-1'!A1"/>
    <hyperlink ref="D27" location="'5.1'!A1" display="'5.1'!A1"/>
    <hyperlink ref="D28" location="'5.2'!A1" display="'5.2'!A1"/>
    <hyperlink ref="D29" location="'5.3'!A1" display="'5.3'!A1"/>
    <hyperlink ref="D30" location="'5.4'!A1" display="'5.4'!A1"/>
    <hyperlink ref="D31" location="'5.5'!A1" display="'5.5'!A1"/>
    <hyperlink ref="D32" location="'5.6'!A1" display="'5.6'!A1"/>
    <hyperlink ref="D33" location="'5.7'!A1" display="'5.7'!A1"/>
    <hyperlink ref="D34" location="'5.9'!A1" display="'5.9'!A1"/>
    <hyperlink ref="D41" location="'6.4'!A1" display="'6.4'!A1"/>
    <hyperlink ref="D43" location="'6.6'!A1" display="'6.6'!A1"/>
    <hyperlink ref="D44" location="'6.7'!A1" display="'6.7'!A1"/>
    <hyperlink ref="D45" location="'6.8'!A1" display="'6.8'!A1"/>
  </hyperlinks>
  <printOptions/>
  <pageMargins left="0.7" right="0.7" top="0.16" bottom="0.24" header="0.3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53"/>
  <sheetViews>
    <sheetView view="pageBreakPreview" zoomScaleSheetLayoutView="100" zoomScalePageLayoutView="0" workbookViewId="0" topLeftCell="A13">
      <selection activeCell="H41" sqref="H41:I41"/>
    </sheetView>
  </sheetViews>
  <sheetFormatPr defaultColWidth="9.140625" defaultRowHeight="15"/>
  <cols>
    <col min="1" max="1" width="9.7109375" style="306" customWidth="1"/>
    <col min="2" max="2" width="26.57421875" style="306" customWidth="1"/>
    <col min="3" max="3" width="25.8515625" style="306" hidden="1" customWidth="1"/>
    <col min="4" max="4" width="11.140625" style="306" hidden="1" customWidth="1"/>
    <col min="5" max="5" width="20.8515625" style="306" customWidth="1"/>
    <col min="6" max="7" width="9.140625" style="306" customWidth="1"/>
    <col min="8" max="8" width="11.57421875" style="306" bestFit="1" customWidth="1"/>
    <col min="9" max="9" width="11.7109375" style="306" customWidth="1"/>
    <col min="10" max="11" width="11.7109375" style="307" customWidth="1"/>
    <col min="12" max="16" width="11.7109375" style="306" customWidth="1"/>
    <col min="17" max="17" width="21.421875" style="306" customWidth="1"/>
    <col min="18" max="18" width="10.00390625" style="221" bestFit="1" customWidth="1"/>
    <col min="19" max="19" width="10.8515625" style="226" customWidth="1"/>
    <col min="20" max="20" width="10.00390625" style="221" hidden="1" customWidth="1"/>
    <col min="21" max="21" width="11.7109375" style="306" customWidth="1"/>
    <col min="22" max="22" width="13.28125" style="221" customWidth="1"/>
    <col min="23" max="23" width="15.8515625" style="220" customWidth="1"/>
    <col min="24" max="25" width="49.57421875" style="221" customWidth="1"/>
    <col min="26" max="16384" width="9.140625" style="221" customWidth="1"/>
  </cols>
  <sheetData>
    <row r="1" spans="1:22" ht="15.75">
      <c r="A1" s="216" t="s">
        <v>922</v>
      </c>
      <c r="B1" s="217"/>
      <c r="C1" s="217"/>
      <c r="D1" s="217"/>
      <c r="E1" s="217"/>
      <c r="F1" s="217"/>
      <c r="G1" s="217"/>
      <c r="H1" s="217"/>
      <c r="I1" s="217"/>
      <c r="J1" s="218"/>
      <c r="K1" s="218"/>
      <c r="L1" s="217"/>
      <c r="M1" s="217"/>
      <c r="N1" s="217"/>
      <c r="O1" s="217"/>
      <c r="P1" s="217"/>
      <c r="Q1" s="217"/>
      <c r="R1" s="217"/>
      <c r="S1" s="219"/>
      <c r="T1" s="217"/>
      <c r="U1" s="217"/>
      <c r="V1" s="217"/>
    </row>
    <row r="2" spans="1:21" ht="13.5">
      <c r="A2" s="222"/>
      <c r="B2" s="223"/>
      <c r="C2" s="223"/>
      <c r="D2" s="223"/>
      <c r="E2" s="223"/>
      <c r="F2" s="223"/>
      <c r="G2" s="223"/>
      <c r="H2" s="223"/>
      <c r="I2" s="223"/>
      <c r="J2" s="224"/>
      <c r="K2" s="224"/>
      <c r="L2" s="223"/>
      <c r="M2" s="223"/>
      <c r="N2" s="225"/>
      <c r="O2" s="223"/>
      <c r="P2" s="225"/>
      <c r="Q2" s="223"/>
      <c r="U2" s="223"/>
    </row>
    <row r="3" spans="1:23" ht="13.5" customHeight="1">
      <c r="A3" s="2127" t="s">
        <v>1611</v>
      </c>
      <c r="B3" s="2127"/>
      <c r="C3" s="2127"/>
      <c r="D3" s="2127"/>
      <c r="E3" s="2127"/>
      <c r="F3" s="2127"/>
      <c r="G3" s="227"/>
      <c r="H3" s="227"/>
      <c r="I3" s="227"/>
      <c r="J3" s="228"/>
      <c r="K3" s="228"/>
      <c r="L3" s="227"/>
      <c r="M3" s="227"/>
      <c r="N3" s="227"/>
      <c r="O3" s="227"/>
      <c r="P3" s="227"/>
      <c r="Q3" s="227"/>
      <c r="R3" s="227"/>
      <c r="S3" s="228"/>
      <c r="T3" s="227"/>
      <c r="U3" s="227"/>
      <c r="V3" s="227" t="s">
        <v>923</v>
      </c>
      <c r="W3" s="227"/>
    </row>
    <row r="4" spans="1:23" ht="76.5" customHeight="1">
      <c r="A4" s="2128" t="s">
        <v>652</v>
      </c>
      <c r="B4" s="2128" t="s">
        <v>924</v>
      </c>
      <c r="C4" s="229" t="s">
        <v>925</v>
      </c>
      <c r="D4" s="230" t="s">
        <v>926</v>
      </c>
      <c r="E4" s="2125" t="s">
        <v>927</v>
      </c>
      <c r="F4" s="2125" t="s">
        <v>928</v>
      </c>
      <c r="G4" s="2125" t="s">
        <v>929</v>
      </c>
      <c r="H4" s="2125" t="s">
        <v>930</v>
      </c>
      <c r="I4" s="2125" t="s">
        <v>931</v>
      </c>
      <c r="J4" s="2139" t="s">
        <v>932</v>
      </c>
      <c r="K4" s="2140"/>
      <c r="L4" s="2125" t="s">
        <v>933</v>
      </c>
      <c r="M4" s="2125" t="s">
        <v>934</v>
      </c>
      <c r="N4" s="2125" t="s">
        <v>935</v>
      </c>
      <c r="O4" s="2125" t="s">
        <v>936</v>
      </c>
      <c r="P4" s="2125" t="s">
        <v>937</v>
      </c>
      <c r="Q4" s="2125" t="s">
        <v>938</v>
      </c>
      <c r="R4" s="2124" t="s">
        <v>939</v>
      </c>
      <c r="S4" s="2124"/>
      <c r="T4" s="2124"/>
      <c r="U4" s="2125" t="s">
        <v>940</v>
      </c>
      <c r="V4" s="2125" t="s">
        <v>941</v>
      </c>
      <c r="W4" s="2137" t="s">
        <v>1538</v>
      </c>
    </row>
    <row r="5" spans="1:23" ht="25.5">
      <c r="A5" s="2129"/>
      <c r="B5" s="2129"/>
      <c r="C5" s="229"/>
      <c r="D5" s="230"/>
      <c r="E5" s="2126"/>
      <c r="F5" s="2126"/>
      <c r="G5" s="2126"/>
      <c r="H5" s="2126"/>
      <c r="I5" s="2126"/>
      <c r="J5" s="231" t="s">
        <v>1539</v>
      </c>
      <c r="K5" s="231" t="s">
        <v>1540</v>
      </c>
      <c r="L5" s="2126"/>
      <c r="M5" s="2126"/>
      <c r="N5" s="2126"/>
      <c r="O5" s="2126"/>
      <c r="P5" s="2126"/>
      <c r="Q5" s="2126"/>
      <c r="R5" s="230" t="s">
        <v>1541</v>
      </c>
      <c r="S5" s="231" t="s">
        <v>78</v>
      </c>
      <c r="T5" s="230" t="s">
        <v>79</v>
      </c>
      <c r="U5" s="2126"/>
      <c r="V5" s="2126"/>
      <c r="W5" s="2138"/>
    </row>
    <row r="6" spans="1:23" s="220" customFormat="1" ht="12.75">
      <c r="A6" s="229">
        <v>1</v>
      </c>
      <c r="B6" s="229">
        <v>2</v>
      </c>
      <c r="C6" s="229">
        <v>3</v>
      </c>
      <c r="D6" s="230"/>
      <c r="E6" s="230">
        <v>3</v>
      </c>
      <c r="F6" s="230">
        <v>4</v>
      </c>
      <c r="G6" s="230">
        <v>5</v>
      </c>
      <c r="H6" s="230">
        <v>6</v>
      </c>
      <c r="I6" s="230">
        <v>7</v>
      </c>
      <c r="J6" s="231">
        <v>8</v>
      </c>
      <c r="K6" s="231">
        <v>9</v>
      </c>
      <c r="L6" s="230">
        <v>10</v>
      </c>
      <c r="M6" s="230">
        <v>11</v>
      </c>
      <c r="N6" s="230">
        <v>12</v>
      </c>
      <c r="O6" s="230">
        <v>13</v>
      </c>
      <c r="P6" s="230">
        <v>14</v>
      </c>
      <c r="Q6" s="230">
        <v>15</v>
      </c>
      <c r="R6" s="230">
        <v>16</v>
      </c>
      <c r="S6" s="232">
        <v>17</v>
      </c>
      <c r="T6" s="233">
        <v>18</v>
      </c>
      <c r="U6" s="234">
        <v>18</v>
      </c>
      <c r="V6" s="233">
        <v>19</v>
      </c>
      <c r="W6" s="234">
        <v>20</v>
      </c>
    </row>
    <row r="7" spans="1:23" s="241" customFormat="1" ht="22.5">
      <c r="A7" s="235"/>
      <c r="B7" s="235"/>
      <c r="C7" s="235"/>
      <c r="D7" s="236"/>
      <c r="E7" s="236"/>
      <c r="F7" s="236"/>
      <c r="G7" s="236"/>
      <c r="H7" s="236"/>
      <c r="I7" s="236"/>
      <c r="J7" s="237"/>
      <c r="K7" s="237"/>
      <c r="L7" s="236"/>
      <c r="M7" s="236"/>
      <c r="N7" s="236"/>
      <c r="O7" s="236"/>
      <c r="P7" s="236"/>
      <c r="Q7" s="238" t="s">
        <v>80</v>
      </c>
      <c r="R7" s="238" t="s">
        <v>81</v>
      </c>
      <c r="S7" s="237" t="s">
        <v>82</v>
      </c>
      <c r="T7" s="238"/>
      <c r="U7" s="236"/>
      <c r="V7" s="239"/>
      <c r="W7" s="240"/>
    </row>
    <row r="8" spans="1:23" s="247" customFormat="1" ht="12.75">
      <c r="A8" s="2133" t="s">
        <v>83</v>
      </c>
      <c r="B8" s="2133"/>
      <c r="C8" s="2133"/>
      <c r="D8" s="2133"/>
      <c r="E8" s="2133"/>
      <c r="F8" s="2133"/>
      <c r="G8" s="242"/>
      <c r="H8" s="242"/>
      <c r="I8" s="242"/>
      <c r="J8" s="243"/>
      <c r="K8" s="243"/>
      <c r="L8" s="242"/>
      <c r="M8" s="244">
        <f>SUM(M9:M13)</f>
        <v>1759.788640032284</v>
      </c>
      <c r="N8" s="244">
        <f>SUM(N9:N13)</f>
        <v>14352.832425343018</v>
      </c>
      <c r="O8" s="244">
        <f>SUM(O9:O13)</f>
        <v>2466.7978208232444</v>
      </c>
      <c r="P8" s="244">
        <f>SUM(P9:P13)</f>
        <v>11886.034604519775</v>
      </c>
      <c r="Q8" s="245"/>
      <c r="R8" s="245"/>
      <c r="S8" s="243">
        <f>SUM(S9:S13)</f>
        <v>298.79379113405315</v>
      </c>
      <c r="T8" s="243">
        <f>S8/12</f>
        <v>24.89948259450443</v>
      </c>
      <c r="U8" s="243">
        <f>SUM(U9:U13)</f>
        <v>2765.591611957298</v>
      </c>
      <c r="V8" s="246">
        <v>5435.55973</v>
      </c>
      <c r="W8" s="243">
        <f aca="true" t="shared" si="0" ref="W8:W13">U8</f>
        <v>2765.591611957298</v>
      </c>
    </row>
    <row r="9" spans="1:23" ht="38.25">
      <c r="A9" s="248">
        <v>1</v>
      </c>
      <c r="B9" s="249" t="s">
        <v>84</v>
      </c>
      <c r="C9" s="250" t="s">
        <v>569</v>
      </c>
      <c r="D9" s="248">
        <v>6</v>
      </c>
      <c r="E9" s="251" t="s">
        <v>570</v>
      </c>
      <c r="F9" s="252">
        <v>4</v>
      </c>
      <c r="G9" s="252">
        <v>84</v>
      </c>
      <c r="H9" s="253" t="s">
        <v>571</v>
      </c>
      <c r="I9" s="254">
        <f>2045*2/1.18</f>
        <v>3466.1016949152545</v>
      </c>
      <c r="J9" s="255">
        <f>100/G9/12</f>
        <v>0.0992063492063492</v>
      </c>
      <c r="K9" s="255">
        <f>J9/12</f>
        <v>0.008267195767195767</v>
      </c>
      <c r="L9" s="254">
        <f>I9/G9</f>
        <v>41.26311541565779</v>
      </c>
      <c r="M9" s="254">
        <f>L9*12</f>
        <v>495.1573849878935</v>
      </c>
      <c r="N9" s="254">
        <f>I9-M9-L9*6-L9*12</f>
        <v>2228.2082324455205</v>
      </c>
      <c r="O9" s="256">
        <f>L9*12</f>
        <v>495.1573849878935</v>
      </c>
      <c r="P9" s="254">
        <f>N9-O9</f>
        <v>1733.050847457627</v>
      </c>
      <c r="Q9" s="255">
        <f>0.011917*J9</f>
        <v>0.0011822420634920634</v>
      </c>
      <c r="R9" s="257">
        <f>2.2%-Q9</f>
        <v>0.02081775793650794</v>
      </c>
      <c r="S9" s="258">
        <f>N9*R9</f>
        <v>46.38629961518506</v>
      </c>
      <c r="T9" s="259"/>
      <c r="U9" s="256">
        <f>O9+S9</f>
        <v>541.5436846030785</v>
      </c>
      <c r="V9" s="260"/>
      <c r="W9" s="261">
        <f t="shared" si="0"/>
        <v>541.5436846030785</v>
      </c>
    </row>
    <row r="10" spans="1:23" ht="38.25">
      <c r="A10" s="248">
        <v>2</v>
      </c>
      <c r="B10" s="249" t="s">
        <v>84</v>
      </c>
      <c r="C10" s="250"/>
      <c r="D10" s="248"/>
      <c r="E10" s="251" t="s">
        <v>572</v>
      </c>
      <c r="F10" s="252">
        <v>4</v>
      </c>
      <c r="G10" s="252">
        <v>84</v>
      </c>
      <c r="H10" s="253" t="s">
        <v>571</v>
      </c>
      <c r="I10" s="254">
        <f>2270/1.18</f>
        <v>1923.7288135593221</v>
      </c>
      <c r="J10" s="255">
        <f aca="true" t="shared" si="1" ref="J10:J29">100/G10/12</f>
        <v>0.0992063492063492</v>
      </c>
      <c r="K10" s="255">
        <f aca="true" t="shared" si="2" ref="K10:K29">J10/12</f>
        <v>0.008267195767195767</v>
      </c>
      <c r="L10" s="254">
        <f>I10/G10</f>
        <v>22.901533494753835</v>
      </c>
      <c r="M10" s="254">
        <f>L10*12</f>
        <v>274.818401937046</v>
      </c>
      <c r="N10" s="254">
        <f>I10-M10-L10*6-L10*12</f>
        <v>1236.682808716707</v>
      </c>
      <c r="O10" s="256">
        <f>L10*12</f>
        <v>274.818401937046</v>
      </c>
      <c r="P10" s="254">
        <f>N10-O10</f>
        <v>961.8644067796611</v>
      </c>
      <c r="Q10" s="255">
        <f aca="true" t="shared" si="3" ref="Q10:Q31">0.011917*J10</f>
        <v>0.0011822420634920634</v>
      </c>
      <c r="R10" s="257">
        <f aca="true" t="shared" si="4" ref="R10:R31">2.2%-Q10</f>
        <v>0.02081775793650794</v>
      </c>
      <c r="S10" s="258">
        <f>N10*R10</f>
        <v>25.74496335610516</v>
      </c>
      <c r="T10" s="259"/>
      <c r="U10" s="256">
        <f aca="true" t="shared" si="5" ref="U10:U31">O10+S10</f>
        <v>300.56336529315115</v>
      </c>
      <c r="V10" s="260"/>
      <c r="W10" s="261">
        <f t="shared" si="0"/>
        <v>300.56336529315115</v>
      </c>
    </row>
    <row r="11" spans="1:23" ht="38.25">
      <c r="A11" s="248">
        <v>3</v>
      </c>
      <c r="B11" s="262" t="s">
        <v>573</v>
      </c>
      <c r="C11" s="263" t="s">
        <v>569</v>
      </c>
      <c r="D11" s="264">
        <v>12</v>
      </c>
      <c r="E11" s="251" t="s">
        <v>574</v>
      </c>
      <c r="F11" s="252">
        <v>4</v>
      </c>
      <c r="G11" s="252">
        <v>84</v>
      </c>
      <c r="H11" s="256" t="s">
        <v>575</v>
      </c>
      <c r="I11" s="256">
        <f>3717.5/1.18</f>
        <v>3150.4237288135596</v>
      </c>
      <c r="J11" s="255">
        <f t="shared" si="1"/>
        <v>0.0992063492063492</v>
      </c>
      <c r="K11" s="255">
        <f t="shared" si="2"/>
        <v>0.008267195767195767</v>
      </c>
      <c r="L11" s="254">
        <f>I11/G11</f>
        <v>37.505044390637615</v>
      </c>
      <c r="M11" s="256">
        <f>L11*7</f>
        <v>262.5353107344633</v>
      </c>
      <c r="N11" s="254">
        <f>I11-M11</f>
        <v>2887.8884180790965</v>
      </c>
      <c r="O11" s="256">
        <f>L11*12</f>
        <v>450.0605326876514</v>
      </c>
      <c r="P11" s="254">
        <f>N11-O11</f>
        <v>2437.8278853914453</v>
      </c>
      <c r="Q11" s="255">
        <f t="shared" si="3"/>
        <v>0.0011822420634920634</v>
      </c>
      <c r="R11" s="257">
        <f t="shared" si="4"/>
        <v>0.02081775793650794</v>
      </c>
      <c r="S11" s="258">
        <f>N11*R11</f>
        <v>60.119362035215474</v>
      </c>
      <c r="T11" s="259"/>
      <c r="U11" s="256">
        <f t="shared" si="5"/>
        <v>510.1798947228669</v>
      </c>
      <c r="V11" s="260"/>
      <c r="W11" s="261">
        <f t="shared" si="0"/>
        <v>510.1798947228669</v>
      </c>
    </row>
    <row r="12" spans="1:23" ht="38.25">
      <c r="A12" s="248">
        <v>4</v>
      </c>
      <c r="B12" s="262" t="s">
        <v>576</v>
      </c>
      <c r="C12" s="263" t="s">
        <v>569</v>
      </c>
      <c r="D12" s="264">
        <v>12</v>
      </c>
      <c r="E12" s="251" t="s">
        <v>577</v>
      </c>
      <c r="F12" s="252">
        <v>4</v>
      </c>
      <c r="G12" s="252">
        <v>84</v>
      </c>
      <c r="H12" s="256" t="s">
        <v>575</v>
      </c>
      <c r="I12" s="256">
        <f>2932.75*3/1.18</f>
        <v>7456.14406779661</v>
      </c>
      <c r="J12" s="255">
        <f t="shared" si="1"/>
        <v>0.0992063492063492</v>
      </c>
      <c r="K12" s="255">
        <f t="shared" si="2"/>
        <v>0.008267195767195767</v>
      </c>
      <c r="L12" s="254">
        <f>I12/G12</f>
        <v>88.76361985472155</v>
      </c>
      <c r="M12" s="256">
        <f>L12*7</f>
        <v>621.3453389830509</v>
      </c>
      <c r="N12" s="254">
        <f>I12-M12</f>
        <v>6834.798728813559</v>
      </c>
      <c r="O12" s="256">
        <f>L12*12</f>
        <v>1065.1634382566585</v>
      </c>
      <c r="P12" s="254">
        <f>N12-O12</f>
        <v>5769.6352905569</v>
      </c>
      <c r="Q12" s="255">
        <f t="shared" si="3"/>
        <v>0.0011822420634920634</v>
      </c>
      <c r="R12" s="257">
        <f t="shared" si="4"/>
        <v>0.02081775793650794</v>
      </c>
      <c r="S12" s="258">
        <f>N12*R12</f>
        <v>142.28518548119285</v>
      </c>
      <c r="T12" s="259"/>
      <c r="U12" s="256">
        <f t="shared" si="5"/>
        <v>1207.4486237378514</v>
      </c>
      <c r="V12" s="260"/>
      <c r="W12" s="261">
        <f t="shared" si="0"/>
        <v>1207.4486237378514</v>
      </c>
    </row>
    <row r="13" spans="1:23" ht="38.25">
      <c r="A13" s="248">
        <v>5</v>
      </c>
      <c r="B13" s="262" t="s">
        <v>578</v>
      </c>
      <c r="C13" s="263" t="s">
        <v>569</v>
      </c>
      <c r="D13" s="264">
        <v>12</v>
      </c>
      <c r="E13" s="251" t="s">
        <v>579</v>
      </c>
      <c r="F13" s="252">
        <v>4</v>
      </c>
      <c r="G13" s="252">
        <v>84</v>
      </c>
      <c r="H13" s="256" t="s">
        <v>575</v>
      </c>
      <c r="I13" s="256">
        <f>1500/1.18</f>
        <v>1271.1864406779662</v>
      </c>
      <c r="J13" s="255">
        <f t="shared" si="1"/>
        <v>0.0992063492063492</v>
      </c>
      <c r="K13" s="255">
        <f t="shared" si="2"/>
        <v>0.008267195767195767</v>
      </c>
      <c r="L13" s="254">
        <f>I13/G13</f>
        <v>15.13317191283293</v>
      </c>
      <c r="M13" s="256">
        <f>L13*7</f>
        <v>105.9322033898305</v>
      </c>
      <c r="N13" s="254">
        <f>I13-M13</f>
        <v>1165.2542372881358</v>
      </c>
      <c r="O13" s="256">
        <f>L13*12</f>
        <v>181.59806295399517</v>
      </c>
      <c r="P13" s="254">
        <f>N13-O13</f>
        <v>983.6561743341406</v>
      </c>
      <c r="Q13" s="255">
        <f t="shared" si="3"/>
        <v>0.0011822420634920634</v>
      </c>
      <c r="R13" s="257">
        <f t="shared" si="4"/>
        <v>0.02081775793650794</v>
      </c>
      <c r="S13" s="258">
        <f>N13*R13</f>
        <v>24.257980646354593</v>
      </c>
      <c r="T13" s="259"/>
      <c r="U13" s="256">
        <f t="shared" si="5"/>
        <v>205.85604360034975</v>
      </c>
      <c r="V13" s="260"/>
      <c r="W13" s="261">
        <f t="shared" si="0"/>
        <v>205.85604360034975</v>
      </c>
    </row>
    <row r="14" spans="1:23" s="247" customFormat="1" ht="12.75">
      <c r="A14" s="2133" t="s">
        <v>580</v>
      </c>
      <c r="B14" s="2133"/>
      <c r="C14" s="2133"/>
      <c r="D14" s="2133"/>
      <c r="E14" s="2133"/>
      <c r="F14" s="2133"/>
      <c r="G14" s="242"/>
      <c r="H14" s="242"/>
      <c r="I14" s="242"/>
      <c r="J14" s="242"/>
      <c r="K14" s="265"/>
      <c r="L14" s="242"/>
      <c r="M14" s="244">
        <f>SUM(M15:M18)</f>
        <v>992.0475181598063</v>
      </c>
      <c r="N14" s="244">
        <f>SUM(N15:N18)</f>
        <v>7516.941585956417</v>
      </c>
      <c r="O14" s="244">
        <f>SUM(O15:O18)</f>
        <v>1327.5121065375304</v>
      </c>
      <c r="P14" s="244">
        <f>SUM(P15:P18)</f>
        <v>6189.429479418887</v>
      </c>
      <c r="Q14" s="266"/>
      <c r="R14" s="266"/>
      <c r="S14" s="245">
        <f>SUM(S15:S18)</f>
        <v>156.48587035931078</v>
      </c>
      <c r="T14" s="245">
        <f>SUM(T15:T18)</f>
        <v>0</v>
      </c>
      <c r="U14" s="245">
        <f>SUM(U15:U18)</f>
        <v>1483.9979768968412</v>
      </c>
      <c r="V14" s="246">
        <v>2771.5128184745763</v>
      </c>
      <c r="W14" s="245">
        <f>SUM(W15:W18)</f>
        <v>1483.9979768968412</v>
      </c>
    </row>
    <row r="15" spans="1:23" ht="38.25">
      <c r="A15" s="248">
        <v>6</v>
      </c>
      <c r="B15" s="249" t="s">
        <v>84</v>
      </c>
      <c r="C15" s="250" t="s">
        <v>569</v>
      </c>
      <c r="D15" s="248">
        <v>6</v>
      </c>
      <c r="E15" s="251" t="s">
        <v>570</v>
      </c>
      <c r="F15" s="252">
        <v>4</v>
      </c>
      <c r="G15" s="252">
        <v>84</v>
      </c>
      <c r="H15" s="253" t="s">
        <v>571</v>
      </c>
      <c r="I15" s="254">
        <f>2045/1.18</f>
        <v>1733.0508474576272</v>
      </c>
      <c r="J15" s="255">
        <f t="shared" si="1"/>
        <v>0.0992063492063492</v>
      </c>
      <c r="K15" s="255">
        <f t="shared" si="2"/>
        <v>0.008267195767195767</v>
      </c>
      <c r="L15" s="254">
        <f>I15/G15</f>
        <v>20.631557707828897</v>
      </c>
      <c r="M15" s="254">
        <f>L15*12</f>
        <v>247.57869249394676</v>
      </c>
      <c r="N15" s="254">
        <f>I15-M15-L15*6-L15*12</f>
        <v>1114.1041162227602</v>
      </c>
      <c r="O15" s="256">
        <f>L15*12</f>
        <v>247.57869249394676</v>
      </c>
      <c r="P15" s="254">
        <f>N15-O15</f>
        <v>866.5254237288135</v>
      </c>
      <c r="Q15" s="255">
        <f t="shared" si="3"/>
        <v>0.0011822420634920634</v>
      </c>
      <c r="R15" s="257">
        <f t="shared" si="4"/>
        <v>0.02081775793650794</v>
      </c>
      <c r="S15" s="258">
        <f>N15*R15</f>
        <v>23.19314980759253</v>
      </c>
      <c r="T15" s="259"/>
      <c r="U15" s="256">
        <f t="shared" si="5"/>
        <v>270.77184230153927</v>
      </c>
      <c r="V15" s="260"/>
      <c r="W15" s="261">
        <f>U15</f>
        <v>270.77184230153927</v>
      </c>
    </row>
    <row r="16" spans="1:23" ht="38.25">
      <c r="A16" s="248">
        <v>7</v>
      </c>
      <c r="B16" s="249" t="s">
        <v>84</v>
      </c>
      <c r="C16" s="250"/>
      <c r="D16" s="248"/>
      <c r="E16" s="251" t="s">
        <v>572</v>
      </c>
      <c r="F16" s="252">
        <v>4</v>
      </c>
      <c r="G16" s="252">
        <v>84</v>
      </c>
      <c r="H16" s="253" t="s">
        <v>571</v>
      </c>
      <c r="I16" s="254">
        <f>2270/1.18</f>
        <v>1923.7288135593221</v>
      </c>
      <c r="J16" s="255">
        <f t="shared" si="1"/>
        <v>0.0992063492063492</v>
      </c>
      <c r="K16" s="255">
        <f t="shared" si="2"/>
        <v>0.008267195767195767</v>
      </c>
      <c r="L16" s="254">
        <f>I16/G16</f>
        <v>22.901533494753835</v>
      </c>
      <c r="M16" s="254">
        <f>L16*12</f>
        <v>274.818401937046</v>
      </c>
      <c r="N16" s="254">
        <f>I16-M16-L16*6-L16*12</f>
        <v>1236.682808716707</v>
      </c>
      <c r="O16" s="256">
        <f>L16*12</f>
        <v>274.818401937046</v>
      </c>
      <c r="P16" s="254">
        <f>N16-O16</f>
        <v>961.8644067796611</v>
      </c>
      <c r="Q16" s="255">
        <f t="shared" si="3"/>
        <v>0.0011822420634920634</v>
      </c>
      <c r="R16" s="257">
        <f t="shared" si="4"/>
        <v>0.02081775793650794</v>
      </c>
      <c r="S16" s="258">
        <f>N16*R16</f>
        <v>25.74496335610516</v>
      </c>
      <c r="T16" s="259"/>
      <c r="U16" s="256">
        <f t="shared" si="5"/>
        <v>300.56336529315115</v>
      </c>
      <c r="V16" s="260"/>
      <c r="W16" s="261">
        <f>U16</f>
        <v>300.56336529315115</v>
      </c>
    </row>
    <row r="17" spans="1:23" ht="38.25">
      <c r="A17" s="248">
        <v>8</v>
      </c>
      <c r="B17" s="262" t="s">
        <v>573</v>
      </c>
      <c r="C17" s="263" t="s">
        <v>569</v>
      </c>
      <c r="D17" s="264">
        <v>12</v>
      </c>
      <c r="E17" s="251" t="s">
        <v>574</v>
      </c>
      <c r="F17" s="252">
        <v>4</v>
      </c>
      <c r="G17" s="252">
        <v>84</v>
      </c>
      <c r="H17" s="256" t="s">
        <v>575</v>
      </c>
      <c r="I17" s="256">
        <f>3717.5/1.18</f>
        <v>3150.4237288135596</v>
      </c>
      <c r="J17" s="255">
        <f t="shared" si="1"/>
        <v>0.0992063492063492</v>
      </c>
      <c r="K17" s="255">
        <f t="shared" si="2"/>
        <v>0.008267195767195767</v>
      </c>
      <c r="L17" s="254">
        <f>I17/G17</f>
        <v>37.505044390637615</v>
      </c>
      <c r="M17" s="256">
        <f>L17*7</f>
        <v>262.5353107344633</v>
      </c>
      <c r="N17" s="254">
        <f>I17-M17</f>
        <v>2887.8884180790965</v>
      </c>
      <c r="O17" s="256">
        <f>L17*12</f>
        <v>450.0605326876514</v>
      </c>
      <c r="P17" s="254">
        <f>N17-O17</f>
        <v>2437.8278853914453</v>
      </c>
      <c r="Q17" s="255">
        <f t="shared" si="3"/>
        <v>0.0011822420634920634</v>
      </c>
      <c r="R17" s="257">
        <f t="shared" si="4"/>
        <v>0.02081775793650794</v>
      </c>
      <c r="S17" s="258">
        <f>N17*R17</f>
        <v>60.119362035215474</v>
      </c>
      <c r="T17" s="259"/>
      <c r="U17" s="256">
        <f t="shared" si="5"/>
        <v>510.1798947228669</v>
      </c>
      <c r="V17" s="260"/>
      <c r="W17" s="261">
        <f>U17</f>
        <v>510.1798947228669</v>
      </c>
    </row>
    <row r="18" spans="1:23" ht="38.25">
      <c r="A18" s="248">
        <v>9</v>
      </c>
      <c r="B18" s="262" t="s">
        <v>576</v>
      </c>
      <c r="C18" s="263" t="s">
        <v>569</v>
      </c>
      <c r="D18" s="264">
        <v>12</v>
      </c>
      <c r="E18" s="251" t="s">
        <v>577</v>
      </c>
      <c r="F18" s="252">
        <v>4</v>
      </c>
      <c r="G18" s="252">
        <v>84</v>
      </c>
      <c r="H18" s="256" t="s">
        <v>575</v>
      </c>
      <c r="I18" s="256">
        <f>2932.75/1.18</f>
        <v>2485.3813559322034</v>
      </c>
      <c r="J18" s="255">
        <f t="shared" si="1"/>
        <v>0.0992063492063492</v>
      </c>
      <c r="K18" s="255">
        <f t="shared" si="2"/>
        <v>0.008267195767195767</v>
      </c>
      <c r="L18" s="254">
        <f>I18/G18</f>
        <v>29.587873284907182</v>
      </c>
      <c r="M18" s="256">
        <f>L18*7</f>
        <v>207.11511299435028</v>
      </c>
      <c r="N18" s="254">
        <f>I18-M18</f>
        <v>2278.2662429378533</v>
      </c>
      <c r="O18" s="256">
        <f>L18*12</f>
        <v>355.0544794188862</v>
      </c>
      <c r="P18" s="254">
        <f>N18-O18</f>
        <v>1923.211763518967</v>
      </c>
      <c r="Q18" s="255">
        <f t="shared" si="3"/>
        <v>0.0011822420634920634</v>
      </c>
      <c r="R18" s="257">
        <f t="shared" si="4"/>
        <v>0.02081775793650794</v>
      </c>
      <c r="S18" s="258">
        <f>N18*R18</f>
        <v>47.42839516039762</v>
      </c>
      <c r="T18" s="259"/>
      <c r="U18" s="256">
        <f t="shared" si="5"/>
        <v>402.4828745792838</v>
      </c>
      <c r="V18" s="260"/>
      <c r="W18" s="261">
        <f>U18</f>
        <v>402.4828745792838</v>
      </c>
    </row>
    <row r="19" spans="1:23" s="247" customFormat="1" ht="12.75">
      <c r="A19" s="2133" t="s">
        <v>581</v>
      </c>
      <c r="B19" s="2133"/>
      <c r="C19" s="2133"/>
      <c r="D19" s="2133"/>
      <c r="E19" s="2133"/>
      <c r="F19" s="2133"/>
      <c r="G19" s="242"/>
      <c r="H19" s="242"/>
      <c r="I19" s="242"/>
      <c r="J19" s="242"/>
      <c r="K19" s="265"/>
      <c r="L19" s="242"/>
      <c r="M19" s="244">
        <f>M20</f>
        <v>76.27118644067798</v>
      </c>
      <c r="N19" s="244">
        <f>N20</f>
        <v>838.9830508474577</v>
      </c>
      <c r="O19" s="244">
        <f>O20</f>
        <v>130.75060532687652</v>
      </c>
      <c r="P19" s="244">
        <f>P20</f>
        <v>708.2324455205811</v>
      </c>
      <c r="Q19" s="266"/>
      <c r="R19" s="266"/>
      <c r="S19" s="245">
        <f>S20</f>
        <v>17.465746065375306</v>
      </c>
      <c r="T19" s="245">
        <f>T20</f>
        <v>0</v>
      </c>
      <c r="U19" s="245">
        <f>U20</f>
        <v>148.21635139225182</v>
      </c>
      <c r="V19" s="246">
        <v>353.80027118644074</v>
      </c>
      <c r="W19" s="245">
        <f>W20</f>
        <v>148.21635139225182</v>
      </c>
    </row>
    <row r="20" spans="1:23" s="270" customFormat="1" ht="38.25">
      <c r="A20" s="264">
        <v>10</v>
      </c>
      <c r="B20" s="267" t="s">
        <v>582</v>
      </c>
      <c r="C20" s="263" t="s">
        <v>569</v>
      </c>
      <c r="D20" s="264">
        <v>12</v>
      </c>
      <c r="E20" s="251" t="s">
        <v>583</v>
      </c>
      <c r="F20" s="252">
        <v>3</v>
      </c>
      <c r="G20" s="252">
        <v>84</v>
      </c>
      <c r="H20" s="256" t="s">
        <v>575</v>
      </c>
      <c r="I20" s="256">
        <f>1080/1.18</f>
        <v>915.2542372881356</v>
      </c>
      <c r="J20" s="255">
        <f t="shared" si="1"/>
        <v>0.0992063492063492</v>
      </c>
      <c r="K20" s="255">
        <f t="shared" si="2"/>
        <v>0.008267195767195767</v>
      </c>
      <c r="L20" s="254">
        <f>I20/G20</f>
        <v>10.89588377723971</v>
      </c>
      <c r="M20" s="256">
        <f>L20*7</f>
        <v>76.27118644067798</v>
      </c>
      <c r="N20" s="254">
        <f>I20-M20</f>
        <v>838.9830508474577</v>
      </c>
      <c r="O20" s="256">
        <f>L20*12</f>
        <v>130.75060532687652</v>
      </c>
      <c r="P20" s="254">
        <f>N20-O20</f>
        <v>708.2324455205811</v>
      </c>
      <c r="Q20" s="255">
        <f t="shared" si="3"/>
        <v>0.0011822420634920634</v>
      </c>
      <c r="R20" s="257">
        <f t="shared" si="4"/>
        <v>0.02081775793650794</v>
      </c>
      <c r="S20" s="258">
        <f>N20*R20</f>
        <v>17.465746065375306</v>
      </c>
      <c r="T20" s="268"/>
      <c r="U20" s="256">
        <f t="shared" si="5"/>
        <v>148.21635139225182</v>
      </c>
      <c r="V20" s="269"/>
      <c r="W20" s="261">
        <f>U20</f>
        <v>148.21635139225182</v>
      </c>
    </row>
    <row r="21" spans="1:23" s="247" customFormat="1" ht="12.75">
      <c r="A21" s="2133" t="s">
        <v>584</v>
      </c>
      <c r="B21" s="2133"/>
      <c r="C21" s="2133"/>
      <c r="D21" s="2133"/>
      <c r="E21" s="2133"/>
      <c r="F21" s="2133"/>
      <c r="G21" s="242"/>
      <c r="H21" s="242"/>
      <c r="I21" s="242"/>
      <c r="J21" s="242"/>
      <c r="K21" s="265"/>
      <c r="L21" s="242"/>
      <c r="M21" s="244">
        <f>M22</f>
        <v>262.5353107344633</v>
      </c>
      <c r="N21" s="244">
        <f>N22</f>
        <v>2887.8884180790965</v>
      </c>
      <c r="O21" s="244">
        <f>O22</f>
        <v>450.0605326876514</v>
      </c>
      <c r="P21" s="244">
        <f>P22</f>
        <v>2437.8278853914453</v>
      </c>
      <c r="Q21" s="266"/>
      <c r="R21" s="266"/>
      <c r="S21" s="245">
        <f>S22</f>
        <v>60.119362035215474</v>
      </c>
      <c r="T21" s="245">
        <f>T22</f>
        <v>0</v>
      </c>
      <c r="U21" s="245">
        <f>U22</f>
        <v>510.1798947228669</v>
      </c>
      <c r="V21" s="246">
        <v>1144.6050508474577</v>
      </c>
      <c r="W21" s="245">
        <f>W22</f>
        <v>510.1798947228669</v>
      </c>
    </row>
    <row r="22" spans="1:23" s="273" customFormat="1" ht="38.25">
      <c r="A22" s="264">
        <v>11</v>
      </c>
      <c r="B22" s="267" t="s">
        <v>573</v>
      </c>
      <c r="C22" s="263" t="s">
        <v>569</v>
      </c>
      <c r="D22" s="264">
        <v>12</v>
      </c>
      <c r="E22" s="251" t="s">
        <v>574</v>
      </c>
      <c r="F22" s="252">
        <v>4</v>
      </c>
      <c r="G22" s="252">
        <v>84</v>
      </c>
      <c r="H22" s="256" t="s">
        <v>575</v>
      </c>
      <c r="I22" s="256">
        <f>3717.5/1.18</f>
        <v>3150.4237288135596</v>
      </c>
      <c r="J22" s="255">
        <f t="shared" si="1"/>
        <v>0.0992063492063492</v>
      </c>
      <c r="K22" s="255">
        <f t="shared" si="2"/>
        <v>0.008267195767195767</v>
      </c>
      <c r="L22" s="254">
        <f>I22/G22</f>
        <v>37.505044390637615</v>
      </c>
      <c r="M22" s="256">
        <f>L22*7</f>
        <v>262.5353107344633</v>
      </c>
      <c r="N22" s="254">
        <f>I22-M22</f>
        <v>2887.8884180790965</v>
      </c>
      <c r="O22" s="256">
        <f>L22*12</f>
        <v>450.0605326876514</v>
      </c>
      <c r="P22" s="254">
        <f>N22-O22</f>
        <v>2437.8278853914453</v>
      </c>
      <c r="Q22" s="255">
        <f t="shared" si="3"/>
        <v>0.0011822420634920634</v>
      </c>
      <c r="R22" s="257">
        <f t="shared" si="4"/>
        <v>0.02081775793650794</v>
      </c>
      <c r="S22" s="258">
        <f>N22*R22</f>
        <v>60.119362035215474</v>
      </c>
      <c r="T22" s="271"/>
      <c r="U22" s="256">
        <f t="shared" si="5"/>
        <v>510.1798947228669</v>
      </c>
      <c r="V22" s="272"/>
      <c r="W22" s="261">
        <f>U22</f>
        <v>510.1798947228669</v>
      </c>
    </row>
    <row r="23" spans="1:23" s="274" customFormat="1" ht="12.75">
      <c r="A23" s="2133" t="s">
        <v>585</v>
      </c>
      <c r="B23" s="2133"/>
      <c r="C23" s="2133"/>
      <c r="D23" s="2133"/>
      <c r="E23" s="2133"/>
      <c r="F23" s="2133"/>
      <c r="G23" s="242"/>
      <c r="H23" s="242"/>
      <c r="I23" s="242"/>
      <c r="J23" s="242"/>
      <c r="K23" s="265"/>
      <c r="L23" s="242"/>
      <c r="M23" s="244">
        <f>SUM(M24:M25)</f>
        <v>355.420197740113</v>
      </c>
      <c r="N23" s="244">
        <f>SUM(N24:N25)</f>
        <v>3909.622175141243</v>
      </c>
      <c r="O23" s="244">
        <f>SUM(O24:O25)</f>
        <v>609.2917675544794</v>
      </c>
      <c r="P23" s="244">
        <f>SUM(P24:P25)</f>
        <v>3300.3304075867636</v>
      </c>
      <c r="Q23" s="266"/>
      <c r="R23" s="266"/>
      <c r="S23" s="245">
        <f>SUM(S24:S25)</f>
        <v>81.38956806529404</v>
      </c>
      <c r="T23" s="245">
        <f>SUM(T24:T25)</f>
        <v>0</v>
      </c>
      <c r="U23" s="245">
        <f>SUM(U24:U25)</f>
        <v>690.6813356197734</v>
      </c>
      <c r="V23" s="246">
        <v>1581.3830847457627</v>
      </c>
      <c r="W23" s="245">
        <f>SUM(W24:W25)</f>
        <v>690.6813356197734</v>
      </c>
    </row>
    <row r="24" spans="1:23" s="273" customFormat="1" ht="38.25">
      <c r="A24" s="264">
        <v>12</v>
      </c>
      <c r="B24" s="267" t="s">
        <v>576</v>
      </c>
      <c r="C24" s="263" t="s">
        <v>569</v>
      </c>
      <c r="D24" s="264">
        <v>12</v>
      </c>
      <c r="E24" s="251" t="s">
        <v>577</v>
      </c>
      <c r="F24" s="252">
        <v>4</v>
      </c>
      <c r="G24" s="252">
        <v>84</v>
      </c>
      <c r="H24" s="256" t="s">
        <v>575</v>
      </c>
      <c r="I24" s="256">
        <f>2932.75/1.18</f>
        <v>2485.3813559322034</v>
      </c>
      <c r="J24" s="255">
        <f t="shared" si="1"/>
        <v>0.0992063492063492</v>
      </c>
      <c r="K24" s="255">
        <f t="shared" si="2"/>
        <v>0.008267195767195767</v>
      </c>
      <c r="L24" s="254">
        <f>I24/G24</f>
        <v>29.587873284907182</v>
      </c>
      <c r="M24" s="256">
        <f>L24*7</f>
        <v>207.11511299435028</v>
      </c>
      <c r="N24" s="254">
        <f>I24-M24</f>
        <v>2278.2662429378533</v>
      </c>
      <c r="O24" s="256">
        <f>L24*12</f>
        <v>355.0544794188862</v>
      </c>
      <c r="P24" s="254">
        <f>N24-O24</f>
        <v>1923.211763518967</v>
      </c>
      <c r="Q24" s="255">
        <f t="shared" si="3"/>
        <v>0.0011822420634920634</v>
      </c>
      <c r="R24" s="257">
        <f t="shared" si="4"/>
        <v>0.02081775793650794</v>
      </c>
      <c r="S24" s="258">
        <f>N24*R24</f>
        <v>47.42839516039762</v>
      </c>
      <c r="T24" s="271"/>
      <c r="U24" s="256">
        <f t="shared" si="5"/>
        <v>402.4828745792838</v>
      </c>
      <c r="V24" s="272"/>
      <c r="W24" s="261">
        <f>U24</f>
        <v>402.4828745792838</v>
      </c>
    </row>
    <row r="25" spans="1:23" s="273" customFormat="1" ht="38.25">
      <c r="A25" s="264">
        <v>13</v>
      </c>
      <c r="B25" s="267" t="s">
        <v>1675</v>
      </c>
      <c r="C25" s="263" t="s">
        <v>569</v>
      </c>
      <c r="D25" s="264">
        <v>12</v>
      </c>
      <c r="E25" s="251" t="s">
        <v>1676</v>
      </c>
      <c r="F25" s="252">
        <v>4</v>
      </c>
      <c r="G25" s="252">
        <v>84</v>
      </c>
      <c r="H25" s="256" t="s">
        <v>575</v>
      </c>
      <c r="I25" s="256">
        <f>2100/1.18</f>
        <v>1779.6610169491526</v>
      </c>
      <c r="J25" s="255">
        <f t="shared" si="1"/>
        <v>0.0992063492063492</v>
      </c>
      <c r="K25" s="255">
        <f t="shared" si="2"/>
        <v>0.008267195767195767</v>
      </c>
      <c r="L25" s="254">
        <f>I25/G25</f>
        <v>21.1864406779661</v>
      </c>
      <c r="M25" s="256">
        <f>L25*7</f>
        <v>148.3050847457627</v>
      </c>
      <c r="N25" s="254">
        <f>I25-M25</f>
        <v>1631.3559322033898</v>
      </c>
      <c r="O25" s="256">
        <f>L25*12</f>
        <v>254.2372881355932</v>
      </c>
      <c r="P25" s="254">
        <f>N25-O25</f>
        <v>1377.1186440677966</v>
      </c>
      <c r="Q25" s="255">
        <f t="shared" si="3"/>
        <v>0.0011822420634920634</v>
      </c>
      <c r="R25" s="257">
        <f t="shared" si="4"/>
        <v>0.02081775793650794</v>
      </c>
      <c r="S25" s="258">
        <f>N25*R25</f>
        <v>33.96117290489643</v>
      </c>
      <c r="T25" s="271"/>
      <c r="U25" s="256">
        <f t="shared" si="5"/>
        <v>288.19846104048963</v>
      </c>
      <c r="V25" s="272"/>
      <c r="W25" s="261">
        <f>U25</f>
        <v>288.19846104048963</v>
      </c>
    </row>
    <row r="26" spans="1:23" s="274" customFormat="1" ht="12.75">
      <c r="A26" s="2134" t="s">
        <v>915</v>
      </c>
      <c r="B26" s="2134"/>
      <c r="C26" s="2134"/>
      <c r="D26" s="2134"/>
      <c r="E26" s="2134"/>
      <c r="F26" s="2134"/>
      <c r="G26" s="275"/>
      <c r="H26" s="275"/>
      <c r="I26" s="275"/>
      <c r="J26" s="275"/>
      <c r="K26" s="266"/>
      <c r="L26" s="275"/>
      <c r="M26" s="245">
        <f>SUM(M27:M29)</f>
        <v>1593.7424334140437</v>
      </c>
      <c r="N26" s="245">
        <f>SUM(N27:N29)</f>
        <v>11629.683716707023</v>
      </c>
      <c r="O26" s="245">
        <f>SUM(O27:O29)</f>
        <v>1929.2070217917676</v>
      </c>
      <c r="P26" s="245">
        <f>SUM(P27:P29)</f>
        <v>9700.476694915254</v>
      </c>
      <c r="Q26" s="266"/>
      <c r="R26" s="266"/>
      <c r="S26" s="245">
        <f>SUM(S27:S29)</f>
        <v>242.10394049255476</v>
      </c>
      <c r="T26" s="245">
        <f>SUM(T27:T29)</f>
        <v>0</v>
      </c>
      <c r="U26" s="245">
        <f>SUM(U27:U29)</f>
        <v>2171.3109622843226</v>
      </c>
      <c r="V26" s="246">
        <v>5185.277813559322</v>
      </c>
      <c r="W26" s="245">
        <f>SUM(W27:W29)</f>
        <v>2171.3109622843226</v>
      </c>
    </row>
    <row r="27" spans="1:23" s="278" customFormat="1" ht="25.5" customHeight="1">
      <c r="A27" s="264">
        <v>14</v>
      </c>
      <c r="B27" s="262" t="s">
        <v>1557</v>
      </c>
      <c r="C27" s="263" t="s">
        <v>569</v>
      </c>
      <c r="D27" s="276">
        <v>10</v>
      </c>
      <c r="E27" s="251" t="s">
        <v>1558</v>
      </c>
      <c r="F27" s="252">
        <v>4</v>
      </c>
      <c r="G27" s="252">
        <v>84</v>
      </c>
      <c r="H27" s="256" t="s">
        <v>1559</v>
      </c>
      <c r="I27" s="254">
        <f>9285/1.18</f>
        <v>7868.64406779661</v>
      </c>
      <c r="J27" s="255">
        <f t="shared" si="1"/>
        <v>0.0992063492063492</v>
      </c>
      <c r="K27" s="255">
        <f t="shared" si="2"/>
        <v>0.008267195767195767</v>
      </c>
      <c r="L27" s="254">
        <f>I27/G27</f>
        <v>93.67433414043583</v>
      </c>
      <c r="M27" s="254">
        <f>L27*12</f>
        <v>1124.09200968523</v>
      </c>
      <c r="N27" s="254">
        <f>I27-M27-L27*3</f>
        <v>6463.529055690072</v>
      </c>
      <c r="O27" s="256">
        <f>L27*12</f>
        <v>1124.09200968523</v>
      </c>
      <c r="P27" s="254">
        <f>N27-O27</f>
        <v>5339.437046004841</v>
      </c>
      <c r="Q27" s="255">
        <f t="shared" si="3"/>
        <v>0.0011822420634920634</v>
      </c>
      <c r="R27" s="257">
        <f t="shared" si="4"/>
        <v>0.02081775793650794</v>
      </c>
      <c r="S27" s="258">
        <f>N27*R27</f>
        <v>134.55618329694167</v>
      </c>
      <c r="T27" s="256"/>
      <c r="U27" s="256">
        <f t="shared" si="5"/>
        <v>1258.6481929821718</v>
      </c>
      <c r="V27" s="277"/>
      <c r="W27" s="261">
        <f>U27</f>
        <v>1258.6481929821718</v>
      </c>
    </row>
    <row r="28" spans="1:23" s="278" customFormat="1" ht="38.25">
      <c r="A28" s="264">
        <v>15</v>
      </c>
      <c r="B28" s="262" t="s">
        <v>573</v>
      </c>
      <c r="C28" s="263" t="s">
        <v>569</v>
      </c>
      <c r="D28" s="264">
        <v>12</v>
      </c>
      <c r="E28" s="251" t="s">
        <v>574</v>
      </c>
      <c r="F28" s="252">
        <v>4</v>
      </c>
      <c r="G28" s="252">
        <v>84</v>
      </c>
      <c r="H28" s="256" t="s">
        <v>575</v>
      </c>
      <c r="I28" s="256">
        <f>3717.5/1.18</f>
        <v>3150.4237288135596</v>
      </c>
      <c r="J28" s="255">
        <f t="shared" si="1"/>
        <v>0.0992063492063492</v>
      </c>
      <c r="K28" s="255">
        <f t="shared" si="2"/>
        <v>0.008267195767195767</v>
      </c>
      <c r="L28" s="254">
        <f>I28/G28</f>
        <v>37.505044390637615</v>
      </c>
      <c r="M28" s="256">
        <f>L28*7</f>
        <v>262.5353107344633</v>
      </c>
      <c r="N28" s="254">
        <f>I28-M28</f>
        <v>2887.8884180790965</v>
      </c>
      <c r="O28" s="256">
        <f>L28*12</f>
        <v>450.0605326876514</v>
      </c>
      <c r="P28" s="254">
        <f>N28-O28</f>
        <v>2437.8278853914453</v>
      </c>
      <c r="Q28" s="255">
        <f t="shared" si="3"/>
        <v>0.0011822420634920634</v>
      </c>
      <c r="R28" s="257">
        <f t="shared" si="4"/>
        <v>0.02081775793650794</v>
      </c>
      <c r="S28" s="258">
        <f>N28*R28</f>
        <v>60.119362035215474</v>
      </c>
      <c r="T28" s="279"/>
      <c r="U28" s="256">
        <f t="shared" si="5"/>
        <v>510.1798947228669</v>
      </c>
      <c r="V28" s="277"/>
      <c r="W28" s="261">
        <f>U28</f>
        <v>510.1798947228669</v>
      </c>
    </row>
    <row r="29" spans="1:23" s="278" customFormat="1" ht="38.25">
      <c r="A29" s="264">
        <v>16</v>
      </c>
      <c r="B29" s="262" t="s">
        <v>576</v>
      </c>
      <c r="C29" s="263" t="s">
        <v>569</v>
      </c>
      <c r="D29" s="264">
        <v>12</v>
      </c>
      <c r="E29" s="251" t="s">
        <v>577</v>
      </c>
      <c r="F29" s="252">
        <v>4</v>
      </c>
      <c r="G29" s="252">
        <v>84</v>
      </c>
      <c r="H29" s="256" t="s">
        <v>575</v>
      </c>
      <c r="I29" s="256">
        <f>2932.75/1.18</f>
        <v>2485.3813559322034</v>
      </c>
      <c r="J29" s="255">
        <f t="shared" si="1"/>
        <v>0.0992063492063492</v>
      </c>
      <c r="K29" s="255">
        <f t="shared" si="2"/>
        <v>0.008267195767195767</v>
      </c>
      <c r="L29" s="254">
        <f>I29/G29</f>
        <v>29.587873284907182</v>
      </c>
      <c r="M29" s="256">
        <f>L29*7</f>
        <v>207.11511299435028</v>
      </c>
      <c r="N29" s="254">
        <f>I29-M29</f>
        <v>2278.2662429378533</v>
      </c>
      <c r="O29" s="256">
        <f>L29*12</f>
        <v>355.0544794188862</v>
      </c>
      <c r="P29" s="254">
        <f>N29-O29</f>
        <v>1923.211763518967</v>
      </c>
      <c r="Q29" s="255">
        <f t="shared" si="3"/>
        <v>0.0011822420634920634</v>
      </c>
      <c r="R29" s="257">
        <f t="shared" si="4"/>
        <v>0.02081775793650794</v>
      </c>
      <c r="S29" s="258">
        <f>N29*R29</f>
        <v>47.42839516039762</v>
      </c>
      <c r="T29" s="279"/>
      <c r="U29" s="256">
        <f t="shared" si="5"/>
        <v>402.4828745792838</v>
      </c>
      <c r="V29" s="277"/>
      <c r="W29" s="261">
        <f>U29</f>
        <v>402.4828745792838</v>
      </c>
    </row>
    <row r="30" spans="1:23" s="274" customFormat="1" ht="12.75" customHeight="1" hidden="1">
      <c r="A30" s="2135" t="s">
        <v>916</v>
      </c>
      <c r="B30" s="2136"/>
      <c r="C30" s="2136"/>
      <c r="D30" s="2136"/>
      <c r="E30" s="2136"/>
      <c r="F30" s="2136"/>
      <c r="G30" s="280"/>
      <c r="H30" s="281"/>
      <c r="I30" s="281"/>
      <c r="J30" s="282"/>
      <c r="K30" s="282"/>
      <c r="L30" s="281"/>
      <c r="M30" s="281"/>
      <c r="N30" s="281"/>
      <c r="O30" s="281"/>
      <c r="P30" s="281"/>
      <c r="Q30" s="283">
        <f t="shared" si="3"/>
        <v>0</v>
      </c>
      <c r="R30" s="257">
        <f t="shared" si="4"/>
        <v>0.022000000000000002</v>
      </c>
      <c r="S30" s="258">
        <f>N30*R30/100</f>
        <v>0</v>
      </c>
      <c r="T30" s="284"/>
      <c r="U30" s="256">
        <f t="shared" si="5"/>
        <v>0</v>
      </c>
      <c r="V30" s="285"/>
      <c r="W30" s="286"/>
    </row>
    <row r="31" spans="1:23" s="278" customFormat="1" ht="25.5" customHeight="1" hidden="1">
      <c r="A31" s="248">
        <v>26</v>
      </c>
      <c r="B31" s="287" t="s">
        <v>1560</v>
      </c>
      <c r="C31" s="288" t="s">
        <v>1561</v>
      </c>
      <c r="D31" s="289">
        <v>12</v>
      </c>
      <c r="E31" s="289"/>
      <c r="F31" s="289"/>
      <c r="G31" s="289"/>
      <c r="H31" s="248"/>
      <c r="I31" s="248"/>
      <c r="J31" s="290"/>
      <c r="K31" s="290"/>
      <c r="L31" s="248"/>
      <c r="M31" s="248"/>
      <c r="N31" s="248"/>
      <c r="O31" s="248"/>
      <c r="P31" s="248"/>
      <c r="Q31" s="283">
        <f t="shared" si="3"/>
        <v>0</v>
      </c>
      <c r="R31" s="257">
        <f t="shared" si="4"/>
        <v>0.022000000000000002</v>
      </c>
      <c r="S31" s="258">
        <f>N31*R31/100</f>
        <v>0</v>
      </c>
      <c r="T31" s="279"/>
      <c r="U31" s="256">
        <f t="shared" si="5"/>
        <v>0</v>
      </c>
      <c r="V31" s="277"/>
      <c r="W31" s="291"/>
    </row>
    <row r="32" spans="1:23" ht="15.75">
      <c r="A32" s="2130" t="s">
        <v>1562</v>
      </c>
      <c r="B32" s="2131"/>
      <c r="C32" s="2131"/>
      <c r="D32" s="2131"/>
      <c r="E32" s="2131"/>
      <c r="F32" s="2131"/>
      <c r="G32" s="2131"/>
      <c r="H32" s="2131"/>
      <c r="I32" s="2131"/>
      <c r="J32" s="2131"/>
      <c r="K32" s="2131"/>
      <c r="L32" s="2132"/>
      <c r="M32" s="245">
        <f>SUM(M8,M14,M19,M21,M23,M26)</f>
        <v>5039.805286521389</v>
      </c>
      <c r="N32" s="245">
        <f>SUM(N8,N14,N19,N21,N23,N26)</f>
        <v>41135.951372074254</v>
      </c>
      <c r="O32" s="245">
        <f>SUM(O8,O14,O19,O21,O23,O26)</f>
        <v>6913.61985472155</v>
      </c>
      <c r="P32" s="245">
        <f>SUM(P8,P14,P19,P21,P23,P26)</f>
        <v>34222.33151735271</v>
      </c>
      <c r="Q32" s="245"/>
      <c r="R32" s="245"/>
      <c r="S32" s="245">
        <f>SUM(S8,S14,S19,S21,S23,S26)</f>
        <v>856.3582781518036</v>
      </c>
      <c r="T32" s="245">
        <f>SUM(T8,T14,T19,T21,T23,T26)</f>
        <v>24.89948259450443</v>
      </c>
      <c r="U32" s="245">
        <f>SUM(U8,U14,U19,U21,U23,U26)</f>
        <v>7769.978132873353</v>
      </c>
      <c r="V32" s="292">
        <f>SUM(V8,V14,V19,V21,V23,V26)</f>
        <v>16472.13876881356</v>
      </c>
      <c r="W32" s="245">
        <f>SUM(W8,W14,W19,W21,W23,W26)</f>
        <v>7769.978132873353</v>
      </c>
    </row>
    <row r="33" spans="1:21" ht="12.75">
      <c r="A33" s="221"/>
      <c r="B33" s="221"/>
      <c r="C33" s="221"/>
      <c r="D33" s="221"/>
      <c r="E33" s="221"/>
      <c r="F33" s="221"/>
      <c r="G33" s="221"/>
      <c r="H33" s="221"/>
      <c r="I33" s="221"/>
      <c r="J33" s="293"/>
      <c r="K33" s="293"/>
      <c r="L33" s="221"/>
      <c r="M33" s="221"/>
      <c r="N33" s="221"/>
      <c r="O33" s="221"/>
      <c r="P33" s="221"/>
      <c r="Q33" s="221"/>
      <c r="U33" s="221"/>
    </row>
    <row r="34" spans="1:21" ht="12.75">
      <c r="A34" s="221"/>
      <c r="B34" s="221"/>
      <c r="C34" s="221"/>
      <c r="D34" s="221"/>
      <c r="E34" s="221"/>
      <c r="F34" s="221"/>
      <c r="G34" s="221"/>
      <c r="H34" s="221"/>
      <c r="I34" s="221"/>
      <c r="J34" s="293"/>
      <c r="K34" s="293"/>
      <c r="L34" s="221"/>
      <c r="M34" s="221"/>
      <c r="N34" s="221"/>
      <c r="O34" s="221"/>
      <c r="P34" s="221"/>
      <c r="Q34" s="221"/>
      <c r="U34" s="221"/>
    </row>
    <row r="35" spans="1:21" ht="12.75">
      <c r="A35" s="221"/>
      <c r="B35" s="221"/>
      <c r="C35" s="221"/>
      <c r="D35" s="221"/>
      <c r="E35" s="221"/>
      <c r="F35" s="221"/>
      <c r="G35" s="221"/>
      <c r="H35" s="221"/>
      <c r="I35" s="221"/>
      <c r="J35" s="293"/>
      <c r="K35" s="293"/>
      <c r="L35" s="221"/>
      <c r="M35" s="221"/>
      <c r="N35" s="221"/>
      <c r="O35" s="221"/>
      <c r="P35" s="221"/>
      <c r="Q35" s="221"/>
      <c r="U35" s="221"/>
    </row>
    <row r="36" spans="1:23" s="299" customFormat="1" ht="30">
      <c r="A36" s="294"/>
      <c r="B36" s="295" t="s">
        <v>921</v>
      </c>
      <c r="C36" s="296"/>
      <c r="D36" s="297"/>
      <c r="E36" s="297"/>
      <c r="F36" s="297"/>
      <c r="G36" s="297">
        <f>'4.1'!U40</f>
        <v>0</v>
      </c>
      <c r="H36" s="297"/>
      <c r="I36" s="297"/>
      <c r="J36" s="298"/>
      <c r="K36" s="298"/>
      <c r="L36" s="297"/>
      <c r="M36" s="297"/>
      <c r="N36" s="297"/>
      <c r="O36" s="297"/>
      <c r="P36" s="297"/>
      <c r="Q36" s="297"/>
      <c r="S36" s="300"/>
      <c r="U36" s="297"/>
      <c r="W36" s="301"/>
    </row>
    <row r="37" spans="1:7" ht="9.75" customHeight="1">
      <c r="A37" s="302"/>
      <c r="B37" s="303"/>
      <c r="C37" s="304"/>
      <c r="D37" s="305" t="e">
        <f>#REF!+#REF!+#REF!+#REF!+#REF!+#REF!+#REF!+#REF!+#REF!+#REF!+#REF!+#REF!+#REF!+#REF!+#REF!+#REF!+#REF!+#REF!+#REF!+#REF!+#REF!</f>
        <v>#REF!</v>
      </c>
      <c r="E37" s="305"/>
      <c r="F37" s="305"/>
      <c r="G37" s="305"/>
    </row>
    <row r="38" spans="1:3" ht="12.75">
      <c r="A38" s="302"/>
      <c r="B38" s="303"/>
      <c r="C38" s="304"/>
    </row>
    <row r="39" spans="1:3" ht="12.75">
      <c r="A39" s="302"/>
      <c r="B39" s="303"/>
      <c r="C39" s="304"/>
    </row>
    <row r="40" spans="1:3" ht="12.75">
      <c r="A40" s="302"/>
      <c r="B40" s="303"/>
      <c r="C40" s="304"/>
    </row>
    <row r="41" spans="1:7" ht="12.75">
      <c r="A41" s="302"/>
      <c r="B41" s="303"/>
      <c r="C41" s="304"/>
      <c r="D41" s="305"/>
      <c r="E41" s="305"/>
      <c r="F41" s="305"/>
      <c r="G41" s="305"/>
    </row>
    <row r="42" spans="1:3" ht="12.75">
      <c r="A42" s="302"/>
      <c r="B42" s="303"/>
      <c r="C42" s="304"/>
    </row>
    <row r="43" spans="1:3" ht="38.25" customHeight="1">
      <c r="A43" s="302"/>
      <c r="B43" s="303"/>
      <c r="C43" s="304"/>
    </row>
    <row r="44" spans="1:3" ht="12.75">
      <c r="A44" s="302"/>
      <c r="B44" s="303"/>
      <c r="C44" s="304"/>
    </row>
    <row r="45" spans="1:3" ht="12.75">
      <c r="A45" s="302"/>
      <c r="B45" s="303"/>
      <c r="C45" s="304"/>
    </row>
    <row r="46" spans="1:3" ht="12.75">
      <c r="A46" s="302"/>
      <c r="B46" s="303"/>
      <c r="C46" s="304"/>
    </row>
    <row r="47" spans="1:3" ht="12.75">
      <c r="A47" s="302"/>
      <c r="B47" s="303"/>
      <c r="C47" s="304"/>
    </row>
    <row r="48" spans="1:3" ht="12.75">
      <c r="A48" s="302"/>
      <c r="B48" s="303"/>
      <c r="C48" s="304"/>
    </row>
    <row r="49" spans="1:3" ht="12.75">
      <c r="A49" s="302"/>
      <c r="B49" s="303"/>
      <c r="C49" s="304"/>
    </row>
    <row r="50" spans="1:3" ht="12.75">
      <c r="A50" s="302"/>
      <c r="B50" s="303"/>
      <c r="C50" s="304"/>
    </row>
    <row r="51" spans="1:3" ht="12.75">
      <c r="A51" s="302"/>
      <c r="B51" s="303"/>
      <c r="C51" s="304"/>
    </row>
    <row r="52" spans="1:3" ht="12.75">
      <c r="A52" s="302"/>
      <c r="B52" s="303"/>
      <c r="C52" s="304"/>
    </row>
    <row r="53" spans="1:3" ht="12.75">
      <c r="A53" s="304"/>
      <c r="B53" s="303"/>
      <c r="C53" s="304"/>
    </row>
    <row r="453" ht="12.75"/>
    <row r="476" ht="12.75"/>
    <row r="478" ht="12.75"/>
    <row r="479" ht="12.75"/>
    <row r="480" ht="12.75"/>
    <row r="481" ht="12.75"/>
    <row r="482" ht="12.75"/>
    <row r="484" ht="12.75"/>
    <row r="485" ht="12.75"/>
    <row r="486" ht="12.75"/>
    <row r="487" ht="12.75"/>
    <row r="488" ht="12.75"/>
  </sheetData>
  <sheetProtection/>
  <mergeCells count="27">
    <mergeCell ref="W4:W5"/>
    <mergeCell ref="A8:F8"/>
    <mergeCell ref="A14:F14"/>
    <mergeCell ref="A19:F19"/>
    <mergeCell ref="O4:O5"/>
    <mergeCell ref="U4:U5"/>
    <mergeCell ref="V4:V5"/>
    <mergeCell ref="H4:H5"/>
    <mergeCell ref="I4:I5"/>
    <mergeCell ref="J4:K4"/>
    <mergeCell ref="A32:L32"/>
    <mergeCell ref="A21:F21"/>
    <mergeCell ref="A23:F23"/>
    <mergeCell ref="Q4:Q5"/>
    <mergeCell ref="N4:N5"/>
    <mergeCell ref="P4:P5"/>
    <mergeCell ref="A26:F26"/>
    <mergeCell ref="A30:F30"/>
    <mergeCell ref="R4:T4"/>
    <mergeCell ref="G4:G5"/>
    <mergeCell ref="A3:F3"/>
    <mergeCell ref="A4:A5"/>
    <mergeCell ref="B4:B5"/>
    <mergeCell ref="E4:E5"/>
    <mergeCell ref="F4:F5"/>
    <mergeCell ref="L4:L5"/>
    <mergeCell ref="M4:M5"/>
  </mergeCells>
  <printOptions horizontalCentered="1" verticalCentered="1"/>
  <pageMargins left="0.1968503937007874" right="0.1968503937007874" top="0.1968503937007874" bottom="0.1968503937007874" header="0.2" footer="0.2"/>
  <pageSetup fitToHeight="1" fitToWidth="1" horizontalDpi="600" verticalDpi="600" orientation="landscape" paperSize="9" scale="5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U43"/>
  <sheetViews>
    <sheetView view="pageBreakPreview" zoomScaleSheetLayoutView="100" zoomScalePageLayoutView="0" workbookViewId="0" topLeftCell="A1">
      <pane xSplit="2" ySplit="9" topLeftCell="E16" activePane="bottomRight" state="frozen"/>
      <selection pane="topLeft" activeCell="G99" sqref="G99"/>
      <selection pane="topRight" activeCell="G99" sqref="G99"/>
      <selection pane="bottomLeft" activeCell="G99" sqref="G99"/>
      <selection pane="bottomRight" activeCell="A5" sqref="A5"/>
    </sheetView>
  </sheetViews>
  <sheetFormatPr defaultColWidth="9.140625" defaultRowHeight="15" outlineLevelRow="1" outlineLevelCol="1"/>
  <cols>
    <col min="1" max="1" width="8.00390625" style="10" customWidth="1"/>
    <col min="2" max="2" width="36.7109375" style="10" customWidth="1"/>
    <col min="3" max="3" width="12.421875" style="10" customWidth="1"/>
    <col min="4" max="4" width="11.28125" style="10" customWidth="1"/>
    <col min="5" max="6" width="10.7109375" style="10" customWidth="1"/>
    <col min="7" max="8" width="12.28125" style="10" customWidth="1"/>
    <col min="9" max="9" width="10.7109375" style="10" customWidth="1" outlineLevel="1"/>
    <col min="10" max="10" width="11.7109375" style="10" customWidth="1" outlineLevel="1"/>
    <col min="11" max="11" width="12.28125" style="10" customWidth="1" outlineLevel="1"/>
    <col min="12" max="16384" width="9.140625" style="10" customWidth="1"/>
  </cols>
  <sheetData>
    <row r="1" spans="1:9" ht="15">
      <c r="A1" s="52" t="s">
        <v>1280</v>
      </c>
      <c r="B1" s="52"/>
      <c r="C1" s="52"/>
      <c r="H1" s="2" t="s">
        <v>1758</v>
      </c>
      <c r="I1" s="52"/>
    </row>
    <row r="2" spans="1:3" ht="15">
      <c r="A2" s="52" t="s">
        <v>657</v>
      </c>
      <c r="B2" s="52"/>
      <c r="C2" s="52"/>
    </row>
    <row r="4" spans="1:11" ht="16.5">
      <c r="A4" s="33" t="s">
        <v>680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8" ht="15">
      <c r="A5" s="179" t="s">
        <v>378</v>
      </c>
      <c r="H5" s="87" t="s">
        <v>1021</v>
      </c>
    </row>
    <row r="6" spans="1:11" ht="15.75" customHeight="1">
      <c r="A6" s="2006" t="s">
        <v>1008</v>
      </c>
      <c r="B6" s="2029" t="s">
        <v>681</v>
      </c>
      <c r="C6" s="2141" t="s">
        <v>1005</v>
      </c>
      <c r="D6" s="2142"/>
      <c r="E6" s="2143"/>
      <c r="F6" s="2141" t="s">
        <v>1007</v>
      </c>
      <c r="G6" s="2142"/>
      <c r="H6" s="2142"/>
      <c r="I6" s="2142"/>
      <c r="J6" s="2142"/>
      <c r="K6" s="2143"/>
    </row>
    <row r="7" spans="1:11" ht="15.75" customHeight="1">
      <c r="A7" s="2007"/>
      <c r="B7" s="2010"/>
      <c r="C7" s="2006" t="s">
        <v>704</v>
      </c>
      <c r="D7" s="2006" t="s">
        <v>705</v>
      </c>
      <c r="E7" s="2006" t="s">
        <v>706</v>
      </c>
      <c r="F7" s="2024" t="s">
        <v>159</v>
      </c>
      <c r="G7" s="2025"/>
      <c r="H7" s="2026"/>
      <c r="I7" s="2024" t="s">
        <v>197</v>
      </c>
      <c r="J7" s="2025"/>
      <c r="K7" s="2026"/>
    </row>
    <row r="8" spans="1:11" ht="24" customHeight="1">
      <c r="A8" s="2003"/>
      <c r="B8" s="2021"/>
      <c r="C8" s="2003"/>
      <c r="D8" s="2003"/>
      <c r="E8" s="2003"/>
      <c r="F8" s="50" t="s">
        <v>142</v>
      </c>
      <c r="G8" s="50" t="s">
        <v>707</v>
      </c>
      <c r="H8" s="22" t="s">
        <v>708</v>
      </c>
      <c r="I8" s="50" t="s">
        <v>142</v>
      </c>
      <c r="J8" s="50" t="s">
        <v>707</v>
      </c>
      <c r="K8" s="22" t="s">
        <v>708</v>
      </c>
    </row>
    <row r="9" spans="1:11" ht="15">
      <c r="A9" s="43">
        <v>1</v>
      </c>
      <c r="B9" s="49">
        <v>2</v>
      </c>
      <c r="C9" s="43">
        <v>3</v>
      </c>
      <c r="D9" s="43">
        <v>4</v>
      </c>
      <c r="E9" s="43">
        <v>5</v>
      </c>
      <c r="F9" s="50">
        <v>6</v>
      </c>
      <c r="G9" s="50">
        <v>7</v>
      </c>
      <c r="H9" s="22">
        <v>8</v>
      </c>
      <c r="I9" s="50">
        <v>9</v>
      </c>
      <c r="J9" s="50">
        <v>10</v>
      </c>
      <c r="K9" s="22">
        <v>11</v>
      </c>
    </row>
    <row r="10" spans="1:11" ht="15">
      <c r="A10" s="30">
        <v>1</v>
      </c>
      <c r="B10" s="15" t="s">
        <v>682</v>
      </c>
      <c r="C10" s="4"/>
      <c r="D10" s="4"/>
      <c r="E10" s="4"/>
      <c r="F10" s="4"/>
      <c r="G10" s="4"/>
      <c r="H10" s="4"/>
      <c r="I10" s="4"/>
      <c r="J10" s="70"/>
      <c r="K10" s="4"/>
    </row>
    <row r="11" spans="1:11" ht="15">
      <c r="A11" s="30"/>
      <c r="B11" s="15" t="s">
        <v>1034</v>
      </c>
      <c r="C11" s="4"/>
      <c r="D11" s="4"/>
      <c r="E11" s="4"/>
      <c r="F11" s="4"/>
      <c r="G11" s="4"/>
      <c r="H11" s="4"/>
      <c r="I11" s="4"/>
      <c r="J11" s="70"/>
      <c r="K11" s="4"/>
    </row>
    <row r="12" spans="1:11" ht="27">
      <c r="A12" s="30" t="s">
        <v>1009</v>
      </c>
      <c r="B12" s="71" t="s">
        <v>1759</v>
      </c>
      <c r="C12" s="4"/>
      <c r="D12" s="4"/>
      <c r="E12" s="4"/>
      <c r="F12" s="4"/>
      <c r="G12" s="4"/>
      <c r="H12" s="4"/>
      <c r="I12" s="4"/>
      <c r="J12" s="70"/>
      <c r="K12" s="4"/>
    </row>
    <row r="13" spans="1:11" ht="15">
      <c r="A13" s="30" t="s">
        <v>145</v>
      </c>
      <c r="B13" s="71" t="s">
        <v>1760</v>
      </c>
      <c r="C13" s="4"/>
      <c r="D13" s="4"/>
      <c r="E13" s="4"/>
      <c r="F13" s="4"/>
      <c r="G13" s="4"/>
      <c r="H13" s="4"/>
      <c r="I13" s="4"/>
      <c r="J13" s="70"/>
      <c r="K13" s="4"/>
    </row>
    <row r="14" spans="1:11" ht="15">
      <c r="A14" s="30"/>
      <c r="B14" s="15" t="s">
        <v>805</v>
      </c>
      <c r="C14" s="4"/>
      <c r="D14" s="4"/>
      <c r="E14" s="4"/>
      <c r="F14" s="4"/>
      <c r="G14" s="4"/>
      <c r="H14" s="4"/>
      <c r="I14" s="4"/>
      <c r="J14" s="70"/>
      <c r="K14" s="4"/>
    </row>
    <row r="15" spans="1:11" ht="14.25" customHeight="1">
      <c r="A15" s="30" t="s">
        <v>146</v>
      </c>
      <c r="B15" s="69" t="s">
        <v>852</v>
      </c>
      <c r="C15" s="4"/>
      <c r="D15" s="4"/>
      <c r="E15" s="4"/>
      <c r="F15" s="4"/>
      <c r="G15" s="4"/>
      <c r="H15" s="4"/>
      <c r="I15" s="4"/>
      <c r="J15" s="70"/>
      <c r="K15" s="4"/>
    </row>
    <row r="16" spans="1:11" ht="15">
      <c r="A16" s="30" t="s">
        <v>631</v>
      </c>
      <c r="B16" s="69" t="s">
        <v>143</v>
      </c>
      <c r="C16" s="4"/>
      <c r="D16" s="4"/>
      <c r="E16" s="4"/>
      <c r="F16" s="4"/>
      <c r="G16" s="4"/>
      <c r="H16" s="4"/>
      <c r="I16" s="4"/>
      <c r="J16" s="70"/>
      <c r="K16" s="4"/>
    </row>
    <row r="17" spans="1:11" ht="15">
      <c r="A17" s="30" t="s">
        <v>632</v>
      </c>
      <c r="B17" s="69" t="s">
        <v>1757</v>
      </c>
      <c r="C17" s="4"/>
      <c r="D17" s="4"/>
      <c r="E17" s="4"/>
      <c r="F17" s="4"/>
      <c r="G17" s="4"/>
      <c r="H17" s="4"/>
      <c r="I17" s="4"/>
      <c r="J17" s="70"/>
      <c r="K17" s="4"/>
    </row>
    <row r="18" spans="1:11" ht="15">
      <c r="A18" s="30" t="s">
        <v>633</v>
      </c>
      <c r="B18" s="69" t="s">
        <v>853</v>
      </c>
      <c r="C18" s="4"/>
      <c r="D18" s="4"/>
      <c r="E18" s="4"/>
      <c r="F18" s="4"/>
      <c r="G18" s="4"/>
      <c r="H18" s="4"/>
      <c r="I18" s="4"/>
      <c r="J18" s="70"/>
      <c r="K18" s="4"/>
    </row>
    <row r="19" spans="1:11" ht="15">
      <c r="A19" s="30" t="s">
        <v>1010</v>
      </c>
      <c r="B19" s="15" t="s">
        <v>683</v>
      </c>
      <c r="C19" s="4"/>
      <c r="D19" s="4"/>
      <c r="E19" s="4"/>
      <c r="F19" s="4"/>
      <c r="G19" s="4"/>
      <c r="H19" s="4"/>
      <c r="I19" s="4"/>
      <c r="J19" s="70"/>
      <c r="K19" s="4"/>
    </row>
    <row r="20" spans="1:11" ht="15">
      <c r="A20" s="30"/>
      <c r="B20" s="15" t="s">
        <v>684</v>
      </c>
      <c r="C20" s="4"/>
      <c r="D20" s="4"/>
      <c r="E20" s="4"/>
      <c r="F20" s="4"/>
      <c r="G20" s="4"/>
      <c r="H20" s="4"/>
      <c r="I20" s="4"/>
      <c r="J20" s="70"/>
      <c r="K20" s="4"/>
    </row>
    <row r="21" spans="1:11" ht="26.25" customHeight="1">
      <c r="A21" s="30" t="s">
        <v>1011</v>
      </c>
      <c r="B21" s="15" t="s">
        <v>685</v>
      </c>
      <c r="C21" s="4"/>
      <c r="D21" s="4"/>
      <c r="E21" s="4"/>
      <c r="F21" s="4"/>
      <c r="G21" s="4"/>
      <c r="H21" s="4"/>
      <c r="I21" s="4"/>
      <c r="J21" s="70"/>
      <c r="K21" s="4"/>
    </row>
    <row r="22" spans="1:11" ht="26.25" customHeight="1">
      <c r="A22" s="30"/>
      <c r="B22" s="69" t="s">
        <v>806</v>
      </c>
      <c r="C22" s="4"/>
      <c r="D22" s="4"/>
      <c r="E22" s="4"/>
      <c r="F22" s="4"/>
      <c r="G22" s="4"/>
      <c r="H22" s="4"/>
      <c r="I22" s="4"/>
      <c r="J22" s="70"/>
      <c r="K22" s="4"/>
    </row>
    <row r="23" spans="1:11" ht="15">
      <c r="A23" s="30" t="s">
        <v>686</v>
      </c>
      <c r="B23" s="15" t="s">
        <v>1002</v>
      </c>
      <c r="C23" s="4"/>
      <c r="D23" s="4"/>
      <c r="E23" s="4"/>
      <c r="F23" s="4"/>
      <c r="G23" s="4"/>
      <c r="H23" s="4"/>
      <c r="I23" s="4"/>
      <c r="J23" s="70"/>
      <c r="K23" s="4"/>
    </row>
    <row r="24" spans="1:11" ht="15">
      <c r="A24" s="30" t="s">
        <v>1003</v>
      </c>
      <c r="B24" s="15" t="s">
        <v>860</v>
      </c>
      <c r="C24" s="4"/>
      <c r="D24" s="4"/>
      <c r="E24" s="4"/>
      <c r="F24" s="4"/>
      <c r="G24" s="4"/>
      <c r="H24" s="4"/>
      <c r="I24" s="4"/>
      <c r="J24" s="70"/>
      <c r="K24" s="4"/>
    </row>
    <row r="25" spans="1:11" ht="15">
      <c r="A25" s="30" t="s">
        <v>861</v>
      </c>
      <c r="B25" s="15" t="s">
        <v>862</v>
      </c>
      <c r="C25" s="4"/>
      <c r="D25" s="4"/>
      <c r="E25" s="4"/>
      <c r="F25" s="4"/>
      <c r="G25" s="4"/>
      <c r="H25" s="4"/>
      <c r="I25" s="4"/>
      <c r="J25" s="70"/>
      <c r="K25" s="4"/>
    </row>
    <row r="26" spans="1:11" ht="27">
      <c r="A26" s="30" t="s">
        <v>863</v>
      </c>
      <c r="B26" s="15" t="s">
        <v>864</v>
      </c>
      <c r="C26" s="4"/>
      <c r="D26" s="4"/>
      <c r="E26" s="4"/>
      <c r="F26" s="4"/>
      <c r="G26" s="4"/>
      <c r="H26" s="4"/>
      <c r="I26" s="4"/>
      <c r="J26" s="70"/>
      <c r="K26" s="4"/>
    </row>
    <row r="27" spans="1:11" ht="15">
      <c r="A27" s="30" t="s">
        <v>865</v>
      </c>
      <c r="B27" s="15" t="s">
        <v>866</v>
      </c>
      <c r="C27" s="4"/>
      <c r="D27" s="4"/>
      <c r="E27" s="4"/>
      <c r="F27" s="4"/>
      <c r="G27" s="4"/>
      <c r="H27" s="4"/>
      <c r="I27" s="4"/>
      <c r="J27" s="70"/>
      <c r="K27" s="4"/>
    </row>
    <row r="28" spans="1:11" ht="27">
      <c r="A28" s="30" t="s">
        <v>867</v>
      </c>
      <c r="B28" s="15" t="s">
        <v>135</v>
      </c>
      <c r="C28" s="4"/>
      <c r="D28" s="4"/>
      <c r="E28" s="4"/>
      <c r="F28" s="4"/>
      <c r="G28" s="4"/>
      <c r="H28" s="4"/>
      <c r="I28" s="4"/>
      <c r="J28" s="70"/>
      <c r="K28" s="4"/>
    </row>
    <row r="29" spans="1:11" ht="15">
      <c r="A29" s="30" t="s">
        <v>136</v>
      </c>
      <c r="B29" s="15" t="s">
        <v>137</v>
      </c>
      <c r="C29" s="4"/>
      <c r="D29" s="4"/>
      <c r="E29" s="4"/>
      <c r="F29" s="4"/>
      <c r="G29" s="4"/>
      <c r="H29" s="4"/>
      <c r="I29" s="4"/>
      <c r="J29" s="70"/>
      <c r="K29" s="4"/>
    </row>
    <row r="30" spans="1:11" ht="15">
      <c r="A30" s="30" t="s">
        <v>138</v>
      </c>
      <c r="B30" s="15" t="s">
        <v>139</v>
      </c>
      <c r="C30" s="4"/>
      <c r="D30" s="4"/>
      <c r="E30" s="4"/>
      <c r="F30" s="4"/>
      <c r="G30" s="4"/>
      <c r="H30" s="4"/>
      <c r="I30" s="4"/>
      <c r="J30" s="70"/>
      <c r="K30" s="4"/>
    </row>
    <row r="31" spans="1:11" ht="15">
      <c r="A31" s="30" t="s">
        <v>140</v>
      </c>
      <c r="B31" s="15" t="s">
        <v>141</v>
      </c>
      <c r="C31" s="4"/>
      <c r="D31" s="4"/>
      <c r="E31" s="4"/>
      <c r="F31" s="4"/>
      <c r="G31" s="4"/>
      <c r="H31" s="4"/>
      <c r="I31" s="4"/>
      <c r="J31" s="70"/>
      <c r="K31" s="4"/>
    </row>
    <row r="32" spans="1:11" ht="27">
      <c r="A32" s="30"/>
      <c r="B32" s="15" t="s">
        <v>807</v>
      </c>
      <c r="C32" s="4"/>
      <c r="D32" s="4"/>
      <c r="E32" s="4"/>
      <c r="F32" s="4"/>
      <c r="G32" s="4"/>
      <c r="H32" s="4"/>
      <c r="I32" s="4"/>
      <c r="J32" s="70"/>
      <c r="K32" s="4"/>
    </row>
    <row r="33" spans="1:11" ht="18" customHeight="1">
      <c r="A33" s="30" t="s">
        <v>611</v>
      </c>
      <c r="B33" s="69" t="s">
        <v>852</v>
      </c>
      <c r="C33" s="4"/>
      <c r="D33" s="4"/>
      <c r="E33" s="4"/>
      <c r="F33" s="4"/>
      <c r="G33" s="4"/>
      <c r="H33" s="4"/>
      <c r="I33" s="4"/>
      <c r="J33" s="70"/>
      <c r="K33" s="4"/>
    </row>
    <row r="34" spans="1:11" ht="15">
      <c r="A34" s="30" t="s">
        <v>612</v>
      </c>
      <c r="B34" s="69" t="s">
        <v>143</v>
      </c>
      <c r="C34" s="4"/>
      <c r="D34" s="4"/>
      <c r="E34" s="4"/>
      <c r="F34" s="4"/>
      <c r="G34" s="4"/>
      <c r="H34" s="4"/>
      <c r="I34" s="4"/>
      <c r="J34" s="70"/>
      <c r="K34" s="4"/>
    </row>
    <row r="35" spans="1:11" ht="15">
      <c r="A35" s="30" t="s">
        <v>1761</v>
      </c>
      <c r="B35" s="69" t="s">
        <v>1757</v>
      </c>
      <c r="C35" s="4"/>
      <c r="D35" s="4"/>
      <c r="E35" s="4"/>
      <c r="F35" s="4"/>
      <c r="G35" s="4"/>
      <c r="H35" s="4"/>
      <c r="I35" s="4"/>
      <c r="J35" s="70"/>
      <c r="K35" s="4"/>
    </row>
    <row r="36" spans="1:11" ht="15">
      <c r="A36" s="30" t="s">
        <v>1762</v>
      </c>
      <c r="B36" s="69" t="s">
        <v>853</v>
      </c>
      <c r="C36" s="4"/>
      <c r="D36" s="4"/>
      <c r="E36" s="4"/>
      <c r="F36" s="4"/>
      <c r="G36" s="4"/>
      <c r="H36" s="4"/>
      <c r="I36" s="4"/>
      <c r="J36" s="70"/>
      <c r="K36" s="4"/>
    </row>
    <row r="37" ht="15" hidden="1" outlineLevel="1">
      <c r="A37" s="113" t="s">
        <v>35</v>
      </c>
    </row>
    <row r="38" spans="1:99" ht="18.75" customHeight="1" hidden="1" outlineLevel="1">
      <c r="A38" s="116" t="s">
        <v>637</v>
      </c>
      <c r="B38" s="1951" t="s">
        <v>1728</v>
      </c>
      <c r="C38" s="1951"/>
      <c r="D38" s="1951"/>
      <c r="E38" s="1951"/>
      <c r="F38" s="1951"/>
      <c r="G38" s="1951"/>
      <c r="H38" s="1951"/>
      <c r="I38" s="1951"/>
      <c r="J38" s="1951"/>
      <c r="K38" s="1951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</row>
    <row r="39" spans="1:99" ht="48.75" customHeight="1" hidden="1" outlineLevel="1">
      <c r="A39" s="116" t="s">
        <v>639</v>
      </c>
      <c r="B39" s="1951" t="s">
        <v>1729</v>
      </c>
      <c r="C39" s="1951"/>
      <c r="D39" s="1951"/>
      <c r="E39" s="1951"/>
      <c r="F39" s="1951"/>
      <c r="G39" s="1951"/>
      <c r="H39" s="1951"/>
      <c r="I39" s="1951"/>
      <c r="J39" s="1951"/>
      <c r="K39" s="1951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</row>
    <row r="40" ht="15" collapsed="1"/>
    <row r="42" ht="15">
      <c r="A42" s="1" t="s">
        <v>369</v>
      </c>
    </row>
    <row r="43" spans="1:11" ht="16.5" customHeight="1">
      <c r="A43" s="1" t="s">
        <v>370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</row>
  </sheetData>
  <sheetProtection/>
  <mergeCells count="11">
    <mergeCell ref="A6:A8"/>
    <mergeCell ref="B6:B8"/>
    <mergeCell ref="B38:K38"/>
    <mergeCell ref="B39:K39"/>
    <mergeCell ref="C6:E6"/>
    <mergeCell ref="C7:C8"/>
    <mergeCell ref="F7:H7"/>
    <mergeCell ref="F6:K6"/>
    <mergeCell ref="I7:K7"/>
    <mergeCell ref="D7:D8"/>
    <mergeCell ref="E7:E8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U21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G99" sqref="G99"/>
      <selection pane="topRight" activeCell="G99" sqref="G99"/>
      <selection pane="bottomLeft" activeCell="G99" sqref="G99"/>
      <selection pane="bottomRight" activeCell="A6" sqref="A6"/>
    </sheetView>
  </sheetViews>
  <sheetFormatPr defaultColWidth="9.140625" defaultRowHeight="15" outlineLevelRow="1" outlineLevelCol="1"/>
  <cols>
    <col min="1" max="1" width="14.140625" style="0" customWidth="1"/>
    <col min="2" max="2" width="15.28125" style="0" customWidth="1"/>
    <col min="3" max="4" width="16.7109375" style="0" customWidth="1"/>
    <col min="5" max="5" width="15.00390625" style="0" customWidth="1"/>
    <col min="6" max="6" width="16.140625" style="0" customWidth="1"/>
    <col min="7" max="7" width="15.140625" style="0" customWidth="1" outlineLevel="1"/>
  </cols>
  <sheetData>
    <row r="1" spans="1:7" ht="15">
      <c r="A1" s="52" t="s">
        <v>1280</v>
      </c>
      <c r="B1" s="52"/>
      <c r="C1" s="52"/>
      <c r="D1" s="52"/>
      <c r="E1" s="52"/>
      <c r="F1" s="2" t="s">
        <v>1767</v>
      </c>
      <c r="G1" s="52"/>
    </row>
    <row r="2" spans="1:7" ht="15.75" customHeight="1">
      <c r="A2" s="52" t="s">
        <v>657</v>
      </c>
      <c r="B2" s="52"/>
      <c r="C2" s="52"/>
      <c r="D2" s="52"/>
      <c r="E2" s="52"/>
      <c r="F2" s="52"/>
      <c r="G2" s="52"/>
    </row>
    <row r="4" spans="1:6" ht="17.25">
      <c r="A4" s="2144" t="s">
        <v>1763</v>
      </c>
      <c r="B4" s="2144"/>
      <c r="C4" s="2144"/>
      <c r="D4" s="2144"/>
      <c r="E4" s="2144"/>
      <c r="F4" s="2144"/>
    </row>
    <row r="5" spans="1:6" ht="12.75" customHeight="1">
      <c r="A5" s="73"/>
      <c r="B5" s="73"/>
      <c r="C5" s="73"/>
      <c r="D5" s="73"/>
      <c r="E5" s="73"/>
      <c r="F5" s="73"/>
    </row>
    <row r="6" spans="1:6" ht="14.25">
      <c r="A6" s="179" t="s">
        <v>378</v>
      </c>
      <c r="F6" s="74" t="s">
        <v>1021</v>
      </c>
    </row>
    <row r="7" spans="1:7" ht="65.25" customHeight="1">
      <c r="A7" s="63" t="s">
        <v>1764</v>
      </c>
      <c r="B7" s="63" t="s">
        <v>1731</v>
      </c>
      <c r="C7" s="63" t="s">
        <v>1732</v>
      </c>
      <c r="D7" s="63" t="s">
        <v>1765</v>
      </c>
      <c r="E7" s="63" t="s">
        <v>1733</v>
      </c>
      <c r="F7" s="63" t="s">
        <v>1766</v>
      </c>
      <c r="G7" s="63" t="s">
        <v>1734</v>
      </c>
    </row>
    <row r="8" spans="1:7" ht="14.2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</row>
    <row r="9" spans="1:7" ht="14.25">
      <c r="A9" s="42" t="s">
        <v>142</v>
      </c>
      <c r="B9" s="35"/>
      <c r="C9" s="35"/>
      <c r="D9" s="35"/>
      <c r="E9" s="35"/>
      <c r="F9" s="35"/>
      <c r="G9" s="35"/>
    </row>
    <row r="10" spans="1:7" ht="14.25">
      <c r="A10" s="42" t="s">
        <v>1013</v>
      </c>
      <c r="B10" s="35"/>
      <c r="C10" s="35"/>
      <c r="D10" s="35"/>
      <c r="E10" s="35"/>
      <c r="F10" s="35"/>
      <c r="G10" s="35"/>
    </row>
    <row r="11" spans="1:7" ht="14.25">
      <c r="A11" s="35"/>
      <c r="B11" s="35"/>
      <c r="C11" s="35"/>
      <c r="D11" s="35"/>
      <c r="E11" s="35"/>
      <c r="F11" s="35"/>
      <c r="G11" s="35"/>
    </row>
    <row r="12" spans="1:7" ht="14.25">
      <c r="A12" s="35"/>
      <c r="B12" s="35"/>
      <c r="C12" s="35"/>
      <c r="D12" s="35"/>
      <c r="E12" s="35"/>
      <c r="F12" s="35"/>
      <c r="G12" s="35"/>
    </row>
    <row r="13" spans="1:7" ht="14.25">
      <c r="A13" s="35"/>
      <c r="B13" s="35"/>
      <c r="C13" s="35"/>
      <c r="D13" s="35"/>
      <c r="E13" s="35"/>
      <c r="F13" s="35"/>
      <c r="G13" s="35"/>
    </row>
    <row r="14" spans="1:7" ht="14.25">
      <c r="A14" s="35"/>
      <c r="B14" s="35"/>
      <c r="C14" s="35"/>
      <c r="D14" s="35"/>
      <c r="E14" s="35"/>
      <c r="F14" s="35"/>
      <c r="G14" s="35"/>
    </row>
    <row r="15" ht="14.25" hidden="1" outlineLevel="1">
      <c r="A15" s="113" t="s">
        <v>35</v>
      </c>
    </row>
    <row r="16" spans="1:99" ht="33" customHeight="1" hidden="1" outlineLevel="1">
      <c r="A16" s="116" t="s">
        <v>637</v>
      </c>
      <c r="B16" s="1951" t="s">
        <v>1730</v>
      </c>
      <c r="C16" s="1951"/>
      <c r="D16" s="1951"/>
      <c r="E16" s="1951"/>
      <c r="F16" s="1951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</row>
    <row r="17" spans="1:99" ht="32.25" customHeight="1" hidden="1" outlineLevel="1">
      <c r="A17" s="116" t="s">
        <v>639</v>
      </c>
      <c r="B17" s="1951" t="s">
        <v>1728</v>
      </c>
      <c r="C17" s="1951"/>
      <c r="D17" s="1951"/>
      <c r="E17" s="1951"/>
      <c r="F17" s="1951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</row>
    <row r="18" ht="14.25" collapsed="1">
      <c r="A18" s="113"/>
    </row>
    <row r="20" ht="14.25">
      <c r="A20" s="1" t="s">
        <v>369</v>
      </c>
    </row>
    <row r="21" spans="1:7" ht="14.25">
      <c r="A21" s="1" t="s">
        <v>370</v>
      </c>
      <c r="B21" s="84"/>
      <c r="C21" s="84"/>
      <c r="D21" s="84"/>
      <c r="E21" s="84"/>
      <c r="F21" s="84"/>
      <c r="G21" s="84"/>
    </row>
  </sheetData>
  <sheetProtection/>
  <mergeCells count="3">
    <mergeCell ref="A4:F4"/>
    <mergeCell ref="B16:F16"/>
    <mergeCell ref="B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S2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G99" sqref="G99"/>
      <selection pane="topRight" activeCell="G99" sqref="G99"/>
      <selection pane="bottomLeft" activeCell="G99" sqref="G99"/>
      <selection pane="bottomRight" activeCell="A5" sqref="A5"/>
    </sheetView>
  </sheetViews>
  <sheetFormatPr defaultColWidth="9.140625" defaultRowHeight="15" outlineLevelRow="1"/>
  <cols>
    <col min="1" max="1" width="7.00390625" style="0" customWidth="1"/>
    <col min="2" max="2" width="33.7109375" style="0" customWidth="1"/>
    <col min="3" max="3" width="12.00390625" style="0" customWidth="1"/>
    <col min="4" max="7" width="19.7109375" style="0" customWidth="1"/>
  </cols>
  <sheetData>
    <row r="1" spans="1:7" ht="15">
      <c r="A1" s="52" t="s">
        <v>1280</v>
      </c>
      <c r="B1" s="52"/>
      <c r="C1" s="52"/>
      <c r="D1" s="52"/>
      <c r="E1" s="52"/>
      <c r="G1" s="2" t="s">
        <v>1509</v>
      </c>
    </row>
    <row r="2" spans="1:6" ht="14.25">
      <c r="A2" s="52" t="s">
        <v>657</v>
      </c>
      <c r="B2" s="52"/>
      <c r="C2" s="52"/>
      <c r="D2" s="52"/>
      <c r="E2" s="52"/>
      <c r="F2" s="52"/>
    </row>
    <row r="4" spans="1:7" ht="17.25">
      <c r="A4" s="2144" t="s">
        <v>1768</v>
      </c>
      <c r="B4" s="2144"/>
      <c r="C4" s="2144"/>
      <c r="D4" s="2144"/>
      <c r="E4" s="2144"/>
      <c r="F4" s="2144"/>
      <c r="G4" s="2144"/>
    </row>
    <row r="5" spans="1:7" ht="14.25">
      <c r="A5" s="179" t="s">
        <v>378</v>
      </c>
      <c r="B5" s="72"/>
      <c r="C5" s="72"/>
      <c r="D5" s="72"/>
      <c r="E5" s="72"/>
      <c r="F5" s="72"/>
      <c r="G5" s="72"/>
    </row>
    <row r="6" spans="1:8" ht="35.25" customHeight="1">
      <c r="A6" s="62" t="s">
        <v>1769</v>
      </c>
      <c r="B6" s="63" t="s">
        <v>1016</v>
      </c>
      <c r="C6" s="63" t="s">
        <v>1508</v>
      </c>
      <c r="D6" s="63" t="s">
        <v>1771</v>
      </c>
      <c r="E6" s="63" t="s">
        <v>1772</v>
      </c>
      <c r="F6" s="63" t="s">
        <v>1773</v>
      </c>
      <c r="G6" s="63" t="s">
        <v>1774</v>
      </c>
      <c r="H6" s="40"/>
    </row>
    <row r="7" spans="1:7" ht="14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35.25" customHeight="1">
      <c r="A8" s="62">
        <v>1</v>
      </c>
      <c r="B8" s="75" t="s">
        <v>1775</v>
      </c>
      <c r="C8" s="62" t="s">
        <v>1780</v>
      </c>
      <c r="D8" s="42"/>
      <c r="E8" s="42"/>
      <c r="F8" s="42"/>
      <c r="G8" s="42"/>
    </row>
    <row r="9" spans="1:7" ht="27">
      <c r="A9" s="62">
        <v>2</v>
      </c>
      <c r="B9" s="75" t="s">
        <v>1776</v>
      </c>
      <c r="C9" s="62" t="s">
        <v>1780</v>
      </c>
      <c r="D9" s="42"/>
      <c r="E9" s="42"/>
      <c r="F9" s="42"/>
      <c r="G9" s="42"/>
    </row>
    <row r="10" spans="1:7" ht="54.75">
      <c r="A10" s="62">
        <v>3</v>
      </c>
      <c r="B10" s="75" t="s">
        <v>1777</v>
      </c>
      <c r="C10" s="62" t="s">
        <v>621</v>
      </c>
      <c r="D10" s="42"/>
      <c r="E10" s="42"/>
      <c r="F10" s="42"/>
      <c r="G10" s="42"/>
    </row>
    <row r="11" spans="1:7" ht="41.25">
      <c r="A11" s="62">
        <v>4</v>
      </c>
      <c r="B11" s="75" t="s">
        <v>1778</v>
      </c>
      <c r="C11" s="62" t="s">
        <v>1506</v>
      </c>
      <c r="D11" s="42"/>
      <c r="E11" s="42"/>
      <c r="F11" s="42"/>
      <c r="G11" s="42"/>
    </row>
    <row r="12" spans="1:7" ht="27">
      <c r="A12" s="62">
        <v>5</v>
      </c>
      <c r="B12" s="75" t="s">
        <v>1779</v>
      </c>
      <c r="C12" s="62" t="s">
        <v>1507</v>
      </c>
      <c r="D12" s="42">
        <f>(D9-D8)*D10</f>
        <v>0</v>
      </c>
      <c r="E12" s="42">
        <f>(E9-E8)*E10</f>
        <v>0</v>
      </c>
      <c r="F12" s="42">
        <f>(F9-F8)*F10</f>
        <v>0</v>
      </c>
      <c r="G12" s="42">
        <f>(G9-G8)*G10</f>
        <v>0</v>
      </c>
    </row>
    <row r="13" ht="14.25" outlineLevel="1">
      <c r="A13" s="113" t="s">
        <v>35</v>
      </c>
    </row>
    <row r="14" spans="1:149" ht="47.25" customHeight="1" outlineLevel="1">
      <c r="A14" s="116" t="s">
        <v>637</v>
      </c>
      <c r="B14" s="1951" t="s">
        <v>46</v>
      </c>
      <c r="C14" s="1951"/>
      <c r="D14" s="1951"/>
      <c r="E14" s="1951"/>
      <c r="F14" s="1951"/>
      <c r="G14" s="1951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</row>
    <row r="15" spans="1:149" ht="48.75" customHeight="1" outlineLevel="1">
      <c r="A15" s="116" t="s">
        <v>639</v>
      </c>
      <c r="B15" s="1951" t="s">
        <v>1781</v>
      </c>
      <c r="C15" s="1951"/>
      <c r="D15" s="1951"/>
      <c r="E15" s="1951"/>
      <c r="F15" s="1951"/>
      <c r="G15" s="1951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</row>
    <row r="16" spans="1:149" ht="14.25" outlineLevel="1">
      <c r="A16" s="116" t="s">
        <v>640</v>
      </c>
      <c r="B16" s="2145" t="s">
        <v>1782</v>
      </c>
      <c r="C16" s="2145"/>
      <c r="D16" s="2145"/>
      <c r="E16" s="2145"/>
      <c r="F16" s="2145"/>
      <c r="G16" s="2145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</row>
    <row r="17" spans="1:149" ht="14.25" outlineLevel="1">
      <c r="A17" s="116" t="s">
        <v>641</v>
      </c>
      <c r="B17" s="2145" t="s">
        <v>1783</v>
      </c>
      <c r="C17" s="2145"/>
      <c r="D17" s="2145"/>
      <c r="E17" s="2145"/>
      <c r="F17" s="2145"/>
      <c r="G17" s="2145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</row>
    <row r="20" ht="14.25">
      <c r="A20" s="1" t="s">
        <v>369</v>
      </c>
    </row>
    <row r="21" spans="1:7" ht="14.25">
      <c r="A21" s="1" t="s">
        <v>370</v>
      </c>
      <c r="B21" s="191"/>
      <c r="C21" s="191"/>
      <c r="D21" s="191"/>
      <c r="E21" s="191"/>
      <c r="F21" s="191"/>
      <c r="G21" s="191"/>
    </row>
  </sheetData>
  <sheetProtection/>
  <mergeCells count="5">
    <mergeCell ref="B17:G17"/>
    <mergeCell ref="A4:G4"/>
    <mergeCell ref="B14:G14"/>
    <mergeCell ref="B15:G15"/>
    <mergeCell ref="B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S24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G99" sqref="G99"/>
      <selection pane="topRight" activeCell="G99" sqref="G99"/>
      <selection pane="bottomLeft" activeCell="G99" sqref="G99"/>
      <selection pane="bottomRight" activeCell="A5" sqref="A5"/>
    </sheetView>
  </sheetViews>
  <sheetFormatPr defaultColWidth="9.140625" defaultRowHeight="15" outlineLevelRow="1"/>
  <cols>
    <col min="1" max="1" width="7.00390625" style="0" customWidth="1"/>
    <col min="2" max="2" width="33.7109375" style="0" customWidth="1"/>
    <col min="3" max="3" width="12.00390625" style="0" customWidth="1"/>
    <col min="4" max="7" width="18.140625" style="0" customWidth="1"/>
  </cols>
  <sheetData>
    <row r="1" spans="1:7" ht="15">
      <c r="A1" s="52" t="s">
        <v>1280</v>
      </c>
      <c r="B1" s="52"/>
      <c r="C1" s="52"/>
      <c r="D1" s="52"/>
      <c r="E1" s="52"/>
      <c r="G1" s="2" t="s">
        <v>549</v>
      </c>
    </row>
    <row r="2" spans="1:6" ht="14.25">
      <c r="A2" s="52" t="s">
        <v>657</v>
      </c>
      <c r="B2" s="52"/>
      <c r="C2" s="52"/>
      <c r="D2" s="52"/>
      <c r="E2" s="52"/>
      <c r="F2" s="52"/>
    </row>
    <row r="4" spans="1:7" ht="17.25">
      <c r="A4" s="2144" t="s">
        <v>548</v>
      </c>
      <c r="B4" s="2144"/>
      <c r="C4" s="2144"/>
      <c r="D4" s="2144"/>
      <c r="E4" s="2144"/>
      <c r="F4" s="2144"/>
      <c r="G4" s="2144"/>
    </row>
    <row r="5" spans="1:7" ht="14.25">
      <c r="A5" s="179" t="s">
        <v>378</v>
      </c>
      <c r="B5" s="72"/>
      <c r="C5" s="72"/>
      <c r="D5" s="72"/>
      <c r="E5" s="72"/>
      <c r="F5" s="72"/>
      <c r="G5" s="72"/>
    </row>
    <row r="6" spans="1:8" ht="27">
      <c r="A6" s="62" t="s">
        <v>1769</v>
      </c>
      <c r="B6" s="63" t="s">
        <v>1016</v>
      </c>
      <c r="C6" s="63" t="s">
        <v>1508</v>
      </c>
      <c r="D6" s="63" t="s">
        <v>1771</v>
      </c>
      <c r="E6" s="63" t="s">
        <v>1772</v>
      </c>
      <c r="F6" s="63" t="s">
        <v>1773</v>
      </c>
      <c r="G6" s="63" t="s">
        <v>1774</v>
      </c>
      <c r="H6" s="40"/>
    </row>
    <row r="7" spans="1:7" ht="14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35.25" customHeight="1">
      <c r="A8" s="62">
        <v>1</v>
      </c>
      <c r="B8" s="75" t="s">
        <v>550</v>
      </c>
      <c r="C8" s="62"/>
      <c r="D8" s="35"/>
      <c r="E8" s="35"/>
      <c r="F8" s="35"/>
      <c r="G8" s="35"/>
    </row>
    <row r="9" spans="1:7" ht="41.25">
      <c r="A9" s="62">
        <v>2</v>
      </c>
      <c r="B9" s="75" t="s">
        <v>551</v>
      </c>
      <c r="C9" s="62"/>
      <c r="D9" s="35"/>
      <c r="E9" s="35"/>
      <c r="F9" s="35"/>
      <c r="G9" s="35"/>
    </row>
    <row r="10" spans="1:7" ht="41.25">
      <c r="A10" s="62">
        <v>3</v>
      </c>
      <c r="B10" s="75" t="s">
        <v>729</v>
      </c>
      <c r="C10" s="62"/>
      <c r="D10" s="35"/>
      <c r="E10" s="35"/>
      <c r="F10" s="35"/>
      <c r="G10" s="35"/>
    </row>
    <row r="11" spans="1:7" ht="27">
      <c r="A11" s="62">
        <v>4</v>
      </c>
      <c r="B11" s="75" t="s">
        <v>730</v>
      </c>
      <c r="C11" s="62"/>
      <c r="D11" s="35"/>
      <c r="E11" s="35"/>
      <c r="F11" s="35"/>
      <c r="G11" s="35"/>
    </row>
    <row r="12" spans="1:7" ht="41.25">
      <c r="A12" s="62">
        <v>5</v>
      </c>
      <c r="B12" s="75" t="s">
        <v>731</v>
      </c>
      <c r="C12" s="62"/>
      <c r="D12" s="35"/>
      <c r="E12" s="35"/>
      <c r="F12" s="35"/>
      <c r="G12" s="35"/>
    </row>
    <row r="13" spans="1:7" ht="35.25" customHeight="1">
      <c r="A13" s="42">
        <v>6</v>
      </c>
      <c r="B13" s="65" t="s">
        <v>732</v>
      </c>
      <c r="C13" s="35"/>
      <c r="D13" s="42">
        <f>IF(D8&gt;0,(D8/D9*D10-D11),0)</f>
        <v>0</v>
      </c>
      <c r="E13" s="42">
        <f>IF(E8&gt;0,(E8/E9*E10-E11),0)</f>
        <v>0</v>
      </c>
      <c r="F13" s="42">
        <f>IF(F8&gt;0,(F8/F9*F10-F11),0)</f>
        <v>0</v>
      </c>
      <c r="G13" s="42">
        <f>IF(G8&gt;0,(G8/G9*G10-G11),0)</f>
        <v>0</v>
      </c>
    </row>
    <row r="14" ht="14.25" hidden="1" outlineLevel="1">
      <c r="A14" s="113" t="s">
        <v>35</v>
      </c>
    </row>
    <row r="15" spans="1:149" ht="14.25" hidden="1" outlineLevel="1">
      <c r="A15" s="116" t="s">
        <v>637</v>
      </c>
      <c r="B15" s="2145" t="s">
        <v>1784</v>
      </c>
      <c r="C15" s="2145"/>
      <c r="D15" s="2145"/>
      <c r="E15" s="2145"/>
      <c r="F15" s="2145"/>
      <c r="G15" s="2145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</row>
    <row r="16" spans="1:149" ht="43.5" customHeight="1" hidden="1" outlineLevel="1">
      <c r="A16" s="116" t="s">
        <v>639</v>
      </c>
      <c r="B16" s="1951" t="s">
        <v>914</v>
      </c>
      <c r="C16" s="1951"/>
      <c r="D16" s="1951"/>
      <c r="E16" s="1951"/>
      <c r="F16" s="1951"/>
      <c r="G16" s="1951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</row>
    <row r="17" spans="1:149" ht="60" customHeight="1" hidden="1" outlineLevel="1">
      <c r="A17" s="116" t="s">
        <v>640</v>
      </c>
      <c r="B17" s="1951" t="s">
        <v>1781</v>
      </c>
      <c r="C17" s="1951"/>
      <c r="D17" s="1951"/>
      <c r="E17" s="1951"/>
      <c r="F17" s="1951"/>
      <c r="G17" s="1951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</row>
    <row r="18" spans="1:149" ht="14.25" hidden="1" outlineLevel="1">
      <c r="A18" s="116" t="s">
        <v>641</v>
      </c>
      <c r="B18" s="2145" t="s">
        <v>718</v>
      </c>
      <c r="C18" s="2145"/>
      <c r="D18" s="2145"/>
      <c r="E18" s="2145"/>
      <c r="F18" s="2145"/>
      <c r="G18" s="2145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</row>
    <row r="19" spans="1:149" ht="30.75" customHeight="1" hidden="1" outlineLevel="1">
      <c r="A19" s="116" t="s">
        <v>642</v>
      </c>
      <c r="B19" s="1951" t="s">
        <v>719</v>
      </c>
      <c r="C19" s="1951"/>
      <c r="D19" s="1951"/>
      <c r="E19" s="1951"/>
      <c r="F19" s="1951"/>
      <c r="G19" s="1951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</row>
    <row r="20" spans="2:149" ht="14.25" collapsed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</row>
    <row r="22" ht="14.25">
      <c r="A22" s="1" t="s">
        <v>369</v>
      </c>
    </row>
    <row r="23" spans="1:7" ht="14.25">
      <c r="A23" s="1" t="s">
        <v>370</v>
      </c>
      <c r="B23" s="191"/>
      <c r="C23" s="191"/>
      <c r="D23" s="191"/>
      <c r="E23" s="191"/>
      <c r="F23" s="191"/>
      <c r="G23" s="191"/>
    </row>
    <row r="24" ht="14.25">
      <c r="A24" s="1"/>
    </row>
  </sheetData>
  <sheetProtection/>
  <mergeCells count="6">
    <mergeCell ref="B18:G18"/>
    <mergeCell ref="B19:G19"/>
    <mergeCell ref="A4:G4"/>
    <mergeCell ref="B15:G15"/>
    <mergeCell ref="B16:G16"/>
    <mergeCell ref="B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S26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G99" sqref="G99"/>
      <selection pane="topRight" activeCell="G99" sqref="G99"/>
      <selection pane="bottomLeft" activeCell="G99" sqref="G99"/>
      <selection pane="bottomRight" activeCell="A5" sqref="A5"/>
    </sheetView>
  </sheetViews>
  <sheetFormatPr defaultColWidth="9.140625" defaultRowHeight="15" outlineLevelRow="1"/>
  <cols>
    <col min="1" max="1" width="7.00390625" style="0" customWidth="1"/>
    <col min="2" max="2" width="32.140625" style="0" customWidth="1"/>
    <col min="3" max="3" width="12.00390625" style="0" customWidth="1"/>
    <col min="4" max="8" width="19.00390625" style="0" customWidth="1"/>
  </cols>
  <sheetData>
    <row r="1" spans="1:8" ht="15">
      <c r="A1" s="52" t="s">
        <v>1280</v>
      </c>
      <c r="B1" s="52"/>
      <c r="C1" s="52"/>
      <c r="D1" s="52"/>
      <c r="E1" s="52"/>
      <c r="F1" s="2035" t="s">
        <v>733</v>
      </c>
      <c r="G1" s="2035"/>
      <c r="H1" s="2035"/>
    </row>
    <row r="2" spans="1:6" ht="14.25">
      <c r="A2" s="52" t="s">
        <v>657</v>
      </c>
      <c r="B2" s="52"/>
      <c r="C2" s="52"/>
      <c r="D2" s="52"/>
      <c r="E2" s="52"/>
      <c r="F2" s="52"/>
    </row>
    <row r="4" spans="1:8" ht="57" customHeight="1">
      <c r="A4" s="2146" t="s">
        <v>25</v>
      </c>
      <c r="B4" s="2146"/>
      <c r="C4" s="2146"/>
      <c r="D4" s="2146"/>
      <c r="E4" s="2146"/>
      <c r="F4" s="2146"/>
      <c r="G4" s="2146"/>
      <c r="H4" s="2146"/>
    </row>
    <row r="5" spans="1:7" ht="14.25">
      <c r="A5" s="179" t="s">
        <v>378</v>
      </c>
      <c r="B5" s="72"/>
      <c r="C5" s="72"/>
      <c r="D5" s="72"/>
      <c r="E5" s="72"/>
      <c r="F5" s="72"/>
      <c r="G5" s="72"/>
    </row>
    <row r="6" spans="1:8" ht="27">
      <c r="A6" s="62" t="s">
        <v>1769</v>
      </c>
      <c r="B6" s="63" t="s">
        <v>1770</v>
      </c>
      <c r="C6" s="63" t="s">
        <v>1508</v>
      </c>
      <c r="D6" s="63" t="s">
        <v>1771</v>
      </c>
      <c r="E6" s="63" t="s">
        <v>1772</v>
      </c>
      <c r="F6" s="63" t="s">
        <v>1773</v>
      </c>
      <c r="G6" s="63" t="s">
        <v>1774</v>
      </c>
      <c r="H6" s="63" t="s">
        <v>734</v>
      </c>
    </row>
    <row r="7" spans="1:8" ht="14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62">
        <v>8</v>
      </c>
    </row>
    <row r="8" spans="1:8" ht="35.25" customHeight="1">
      <c r="A8" s="62">
        <v>1</v>
      </c>
      <c r="B8" s="75" t="s">
        <v>735</v>
      </c>
      <c r="C8" s="62" t="s">
        <v>638</v>
      </c>
      <c r="D8" s="42"/>
      <c r="E8" s="42"/>
      <c r="F8" s="42"/>
      <c r="G8" s="42"/>
      <c r="H8" s="101" t="s">
        <v>1555</v>
      </c>
    </row>
    <row r="9" spans="1:8" ht="27">
      <c r="A9" s="62">
        <v>2</v>
      </c>
      <c r="B9" s="75" t="s">
        <v>23</v>
      </c>
      <c r="C9" s="62"/>
      <c r="D9" s="42"/>
      <c r="E9" s="42"/>
      <c r="F9" s="42"/>
      <c r="G9" s="42"/>
      <c r="H9" s="101"/>
    </row>
    <row r="10" spans="1:8" ht="27">
      <c r="A10" s="62">
        <v>3</v>
      </c>
      <c r="B10" s="75" t="s">
        <v>24</v>
      </c>
      <c r="C10" s="62"/>
      <c r="D10" s="42">
        <f>(1+E9)*(1+F9)*(1+G9)*(1+H9)</f>
        <v>1</v>
      </c>
      <c r="E10" s="42">
        <f>(1+F9)*(1+G9)*(1+H9)</f>
        <v>1</v>
      </c>
      <c r="F10" s="42">
        <f>(1+G9)*(1+H9)</f>
        <v>1</v>
      </c>
      <c r="G10" s="42">
        <f>1+H9</f>
        <v>1</v>
      </c>
      <c r="H10" s="101" t="s">
        <v>1555</v>
      </c>
    </row>
    <row r="11" spans="1:8" ht="54.75">
      <c r="A11" s="62">
        <v>4</v>
      </c>
      <c r="B11" s="75" t="s">
        <v>1553</v>
      </c>
      <c r="C11" s="62" t="s">
        <v>638</v>
      </c>
      <c r="D11" s="42">
        <f>D8*D10</f>
        <v>0</v>
      </c>
      <c r="E11" s="42">
        <f>E8*E10</f>
        <v>0</v>
      </c>
      <c r="F11" s="42">
        <f>F8*F10</f>
        <v>0</v>
      </c>
      <c r="G11" s="42">
        <f>G8*G10</f>
        <v>0</v>
      </c>
      <c r="H11" s="101" t="s">
        <v>1555</v>
      </c>
    </row>
    <row r="12" spans="1:8" ht="21.75" customHeight="1">
      <c r="A12" s="133">
        <v>5</v>
      </c>
      <c r="B12" s="134" t="s">
        <v>610</v>
      </c>
      <c r="C12" s="62" t="s">
        <v>638</v>
      </c>
      <c r="D12" s="135" t="s">
        <v>1555</v>
      </c>
      <c r="E12" s="135" t="s">
        <v>1555</v>
      </c>
      <c r="F12" s="135" t="s">
        <v>1555</v>
      </c>
      <c r="G12" s="135" t="s">
        <v>1555</v>
      </c>
      <c r="H12" s="133">
        <f>SUM(D11:G11)</f>
        <v>0</v>
      </c>
    </row>
    <row r="13" ht="14.25" hidden="1" outlineLevel="1">
      <c r="A13" s="113" t="s">
        <v>35</v>
      </c>
    </row>
    <row r="14" spans="1:149" ht="33" customHeight="1" hidden="1" outlineLevel="1">
      <c r="A14" s="116" t="s">
        <v>637</v>
      </c>
      <c r="B14" s="1951" t="s">
        <v>720</v>
      </c>
      <c r="C14" s="1951"/>
      <c r="D14" s="1951"/>
      <c r="E14" s="1951"/>
      <c r="F14" s="1951"/>
      <c r="G14" s="1951"/>
      <c r="H14" s="1951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</row>
    <row r="15" spans="1:149" ht="45.75" customHeight="1" hidden="1" outlineLevel="1">
      <c r="A15" s="116" t="s">
        <v>639</v>
      </c>
      <c r="B15" s="1951" t="s">
        <v>721</v>
      </c>
      <c r="C15" s="1951"/>
      <c r="D15" s="1951"/>
      <c r="E15" s="1951"/>
      <c r="F15" s="1951"/>
      <c r="G15" s="1951"/>
      <c r="H15" s="1951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</row>
    <row r="16" spans="1:149" ht="32.25" customHeight="1" hidden="1" outlineLevel="1">
      <c r="A16" s="116" t="s">
        <v>640</v>
      </c>
      <c r="B16" s="1951" t="s">
        <v>1498</v>
      </c>
      <c r="C16" s="1951"/>
      <c r="D16" s="1951"/>
      <c r="E16" s="1951"/>
      <c r="F16" s="1951"/>
      <c r="G16" s="1951"/>
      <c r="H16" s="1951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</row>
    <row r="17" spans="1:149" ht="14.25" hidden="1" outlineLevel="1">
      <c r="A17" s="116" t="s">
        <v>641</v>
      </c>
      <c r="B17" s="114" t="s">
        <v>1499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</row>
    <row r="18" spans="1:149" ht="14.25" hidden="1" outlineLevel="1">
      <c r="A18" s="116"/>
      <c r="B18" s="114" t="s">
        <v>1500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</row>
    <row r="19" spans="1:149" ht="14.25" hidden="1" outlineLevel="1">
      <c r="A19" s="116"/>
      <c r="B19" s="114" t="s">
        <v>1501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</row>
    <row r="20" spans="1:149" ht="14.25" hidden="1" outlineLevel="1">
      <c r="A20" s="116"/>
      <c r="B20" s="114" t="s">
        <v>1502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</row>
    <row r="21" spans="1:149" ht="14.25" hidden="1" outlineLevel="1">
      <c r="A21" s="116" t="s">
        <v>642</v>
      </c>
      <c r="B21" s="114" t="s">
        <v>1503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</row>
    <row r="22" spans="1:149" ht="14.25" hidden="1" outlineLevel="1">
      <c r="A22" s="116" t="s">
        <v>643</v>
      </c>
      <c r="B22" s="132" t="s">
        <v>588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</row>
    <row r="23" ht="14.25" collapsed="1"/>
    <row r="25" ht="14.25">
      <c r="A25" s="1" t="s">
        <v>369</v>
      </c>
    </row>
    <row r="26" spans="1:8" ht="14.25">
      <c r="A26" s="1" t="s">
        <v>370</v>
      </c>
      <c r="B26" s="84"/>
      <c r="C26" s="84"/>
      <c r="D26" s="84"/>
      <c r="E26" s="84"/>
      <c r="F26" s="84"/>
      <c r="G26" s="84"/>
      <c r="H26" s="84"/>
    </row>
  </sheetData>
  <sheetProtection/>
  <mergeCells count="5">
    <mergeCell ref="F1:H1"/>
    <mergeCell ref="B14:H14"/>
    <mergeCell ref="B15:H15"/>
    <mergeCell ref="B16:H16"/>
    <mergeCell ref="A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W51"/>
  <sheetViews>
    <sheetView view="pageBreakPreview" zoomScaleSheetLayoutView="100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51" sqref="I51"/>
    </sheetView>
  </sheetViews>
  <sheetFormatPr defaultColWidth="9.140625" defaultRowHeight="15" outlineLevelRow="1" outlineLevelCol="1"/>
  <cols>
    <col min="1" max="1" width="3.57421875" style="1" customWidth="1"/>
    <col min="2" max="2" width="27.140625" style="1" customWidth="1"/>
    <col min="3" max="3" width="13.8515625" style="1" customWidth="1"/>
    <col min="4" max="4" width="12.00390625" style="1" customWidth="1"/>
    <col min="5" max="5" width="10.28125" style="1" hidden="1" customWidth="1" outlineLevel="1"/>
    <col min="6" max="6" width="13.7109375" style="1" customWidth="1" collapsed="1"/>
    <col min="7" max="7" width="9.140625" style="1" hidden="1" customWidth="1" outlineLevel="1"/>
    <col min="8" max="8" width="10.00390625" style="1" bestFit="1" customWidth="1" collapsed="1"/>
    <col min="9" max="9" width="9.7109375" style="1" customWidth="1"/>
    <col min="10" max="10" width="10.140625" style="1" bestFit="1" customWidth="1"/>
    <col min="11" max="11" width="15.00390625" style="1" customWidth="1"/>
    <col min="12" max="16384" width="9.140625" style="1" customWidth="1"/>
  </cols>
  <sheetData>
    <row r="1" spans="1:11" ht="15">
      <c r="A1" s="52" t="s">
        <v>1280</v>
      </c>
      <c r="B1" s="52"/>
      <c r="C1" s="52"/>
      <c r="D1" s="52"/>
      <c r="E1" s="52"/>
      <c r="J1" s="52"/>
      <c r="K1" s="2" t="s">
        <v>26</v>
      </c>
    </row>
    <row r="2" spans="1:5" ht="12.75">
      <c r="A2" s="52" t="s">
        <v>657</v>
      </c>
      <c r="B2" s="52"/>
      <c r="C2" s="52"/>
      <c r="D2" s="52"/>
      <c r="E2" s="52"/>
    </row>
    <row r="4" spans="1:11" ht="16.5">
      <c r="A4" s="2148" t="s">
        <v>27</v>
      </c>
      <c r="B4" s="2148"/>
      <c r="C4" s="2148"/>
      <c r="D4" s="2148"/>
      <c r="E4" s="2148"/>
      <c r="F4" s="2148"/>
      <c r="G4" s="2148"/>
      <c r="H4" s="2148"/>
      <c r="I4" s="2148"/>
      <c r="J4" s="2148"/>
      <c r="K4" s="2148"/>
    </row>
    <row r="6" spans="1:11" ht="123.75">
      <c r="A6" s="155" t="s">
        <v>1008</v>
      </c>
      <c r="B6" s="156" t="s">
        <v>28</v>
      </c>
      <c r="C6" s="155" t="s">
        <v>29</v>
      </c>
      <c r="D6" s="155" t="s">
        <v>30</v>
      </c>
      <c r="E6" s="157" t="s">
        <v>39</v>
      </c>
      <c r="F6" s="158" t="s">
        <v>40</v>
      </c>
      <c r="G6" s="159" t="s">
        <v>1433</v>
      </c>
      <c r="H6" s="157" t="s">
        <v>1434</v>
      </c>
      <c r="I6" s="158" t="s">
        <v>1435</v>
      </c>
      <c r="J6" s="159" t="s">
        <v>1436</v>
      </c>
      <c r="K6" s="158" t="s">
        <v>1437</v>
      </c>
    </row>
    <row r="7" spans="1:11" ht="15" customHeight="1">
      <c r="A7" s="9">
        <v>1</v>
      </c>
      <c r="B7" s="160">
        <v>2</v>
      </c>
      <c r="C7" s="9">
        <v>3</v>
      </c>
      <c r="D7" s="160">
        <v>4</v>
      </c>
      <c r="E7" s="9">
        <v>5</v>
      </c>
      <c r="F7" s="160">
        <v>6</v>
      </c>
      <c r="G7" s="9">
        <v>7</v>
      </c>
      <c r="H7" s="160">
        <v>8</v>
      </c>
      <c r="I7" s="9">
        <v>9</v>
      </c>
      <c r="J7" s="9">
        <v>10</v>
      </c>
      <c r="K7" s="9">
        <v>11</v>
      </c>
    </row>
    <row r="8" spans="1:11" ht="13.5" customHeight="1">
      <c r="A8" s="2152" t="s">
        <v>1005</v>
      </c>
      <c r="B8" s="2153"/>
      <c r="C8" s="2153"/>
      <c r="D8" s="2153"/>
      <c r="E8" s="2153"/>
      <c r="F8" s="2153"/>
      <c r="G8" s="2153"/>
      <c r="H8" s="2153"/>
      <c r="I8" s="2153"/>
      <c r="J8" s="2153"/>
      <c r="K8" s="2154"/>
    </row>
    <row r="9" spans="1:11" ht="13.5">
      <c r="A9" s="2149" t="s">
        <v>704</v>
      </c>
      <c r="B9" s="2150"/>
      <c r="C9" s="2150"/>
      <c r="D9" s="2150"/>
      <c r="E9" s="2150"/>
      <c r="F9" s="2150"/>
      <c r="G9" s="2150"/>
      <c r="H9" s="2150"/>
      <c r="I9" s="2150"/>
      <c r="J9" s="2150"/>
      <c r="K9" s="2151"/>
    </row>
    <row r="10" spans="1:11" ht="123.75">
      <c r="A10" s="161" t="s">
        <v>1017</v>
      </c>
      <c r="B10" s="162" t="s">
        <v>1514</v>
      </c>
      <c r="C10" s="163"/>
      <c r="D10" s="164"/>
      <c r="E10" s="165"/>
      <c r="F10" s="164"/>
      <c r="G10" s="165"/>
      <c r="H10" s="163"/>
      <c r="I10" s="165">
        <f>IF(G10&gt;0,(C10/D10),0)</f>
        <v>0</v>
      </c>
      <c r="J10" s="165">
        <f>IF(H10&gt;0,(H10/D10),0)</f>
        <v>0</v>
      </c>
      <c r="K10" s="165">
        <f>IF(C10&gt;0,((C10-H10)/(F10*12)),0)</f>
        <v>0</v>
      </c>
    </row>
    <row r="11" spans="1:11" ht="13.5">
      <c r="A11" s="2149" t="s">
        <v>850</v>
      </c>
      <c r="B11" s="2150"/>
      <c r="C11" s="2150"/>
      <c r="D11" s="2150"/>
      <c r="E11" s="2150"/>
      <c r="F11" s="2150"/>
      <c r="G11" s="2150"/>
      <c r="H11" s="2150"/>
      <c r="I11" s="2150"/>
      <c r="J11" s="2150"/>
      <c r="K11" s="2151"/>
    </row>
    <row r="12" spans="1:11" ht="96">
      <c r="A12" s="161" t="s">
        <v>1017</v>
      </c>
      <c r="B12" s="162" t="s">
        <v>724</v>
      </c>
      <c r="C12" s="163"/>
      <c r="D12" s="164"/>
      <c r="E12" s="165"/>
      <c r="F12" s="164"/>
      <c r="G12" s="165"/>
      <c r="H12" s="163"/>
      <c r="I12" s="165">
        <f>IF(G12&gt;0,(C12/D12),0)</f>
        <v>0</v>
      </c>
      <c r="J12" s="165">
        <f>IF(H12&gt;0,(H12/D12),0)</f>
        <v>0</v>
      </c>
      <c r="K12" s="165">
        <f>IF(C12&gt;0,((C12-H12)/(F12*12)),0)</f>
        <v>0</v>
      </c>
    </row>
    <row r="13" spans="1:11" ht="13.5">
      <c r="A13" s="2149" t="s">
        <v>706</v>
      </c>
      <c r="B13" s="2150"/>
      <c r="C13" s="2150"/>
      <c r="D13" s="2150"/>
      <c r="E13" s="2150"/>
      <c r="F13" s="2150"/>
      <c r="G13" s="2150"/>
      <c r="H13" s="2150"/>
      <c r="I13" s="2150"/>
      <c r="J13" s="2150"/>
      <c r="K13" s="2151"/>
    </row>
    <row r="14" spans="1:11" ht="123.75">
      <c r="A14" s="161" t="s">
        <v>1017</v>
      </c>
      <c r="B14" s="162" t="s">
        <v>1514</v>
      </c>
      <c r="C14" s="163"/>
      <c r="D14" s="164"/>
      <c r="E14" s="165"/>
      <c r="F14" s="164"/>
      <c r="G14" s="165"/>
      <c r="H14" s="163"/>
      <c r="I14" s="165">
        <f>IF(G14&gt;0,(C14/D14),0)</f>
        <v>0</v>
      </c>
      <c r="J14" s="165">
        <f>IF(H14&gt;0,(H14/D14),0)</f>
        <v>0</v>
      </c>
      <c r="K14" s="165">
        <f>IF(C14&gt;0,((C14-H14)/(F14*12)),0)</f>
        <v>0</v>
      </c>
    </row>
    <row r="15" spans="1:11" ht="13.5" customHeight="1">
      <c r="A15" s="2100" t="s">
        <v>1007</v>
      </c>
      <c r="B15" s="2101"/>
      <c r="C15" s="2101"/>
      <c r="D15" s="2101"/>
      <c r="E15" s="2101"/>
      <c r="F15" s="2101"/>
      <c r="G15" s="2101"/>
      <c r="H15" s="2101"/>
      <c r="I15" s="2101"/>
      <c r="J15" s="2101"/>
      <c r="K15" s="2102"/>
    </row>
    <row r="16" spans="1:11" ht="13.5">
      <c r="A16" s="2149" t="s">
        <v>159</v>
      </c>
      <c r="B16" s="2150"/>
      <c r="C16" s="2150"/>
      <c r="D16" s="2150"/>
      <c r="E16" s="2150"/>
      <c r="F16" s="2150"/>
      <c r="G16" s="2150"/>
      <c r="H16" s="2150"/>
      <c r="I16" s="2150"/>
      <c r="J16" s="2150"/>
      <c r="K16" s="2151"/>
    </row>
    <row r="17" spans="1:11" ht="123.75">
      <c r="A17" s="161" t="s">
        <v>1017</v>
      </c>
      <c r="B17" s="162" t="s">
        <v>1514</v>
      </c>
      <c r="C17" s="163"/>
      <c r="D17" s="164"/>
      <c r="E17" s="165"/>
      <c r="F17" s="164"/>
      <c r="G17" s="165"/>
      <c r="H17" s="163"/>
      <c r="I17" s="165">
        <f>IF(G17&gt;0,(C17/D17),0)</f>
        <v>0</v>
      </c>
      <c r="J17" s="165">
        <f>IF(H17&gt;0,(H17/D17),0)</f>
        <v>0</v>
      </c>
      <c r="K17" s="165">
        <f>IF(C17&gt;0,((C17-H17)/(F17*12)),0)</f>
        <v>0</v>
      </c>
    </row>
    <row r="18" spans="1:11" ht="13.5">
      <c r="A18" s="161"/>
      <c r="B18" s="166" t="s">
        <v>1515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ht="13.5">
      <c r="A19" s="167"/>
      <c r="B19" s="168" t="s">
        <v>707</v>
      </c>
      <c r="C19" s="163"/>
      <c r="D19" s="164"/>
      <c r="E19" s="165"/>
      <c r="F19" s="164"/>
      <c r="G19" s="165"/>
      <c r="H19" s="163"/>
      <c r="I19" s="165">
        <f>IF(G19&gt;0,(C19/D19),0)</f>
        <v>0</v>
      </c>
      <c r="J19" s="165">
        <f>IF(H19&gt;0,(H19/D19),0)</f>
        <v>0</v>
      </c>
      <c r="K19" s="165">
        <f>IF(C19&gt;0,((C19-H19)/(F19*12)),0)</f>
        <v>0</v>
      </c>
    </row>
    <row r="20" spans="1:11" ht="13.5">
      <c r="A20" s="167"/>
      <c r="B20" s="168" t="s">
        <v>708</v>
      </c>
      <c r="C20" s="163"/>
      <c r="D20" s="164"/>
      <c r="E20" s="165"/>
      <c r="F20" s="164"/>
      <c r="G20" s="165"/>
      <c r="H20" s="163"/>
      <c r="I20" s="165">
        <f>IF(G20&gt;0,(C20/D20),0)</f>
        <v>0</v>
      </c>
      <c r="J20" s="165">
        <f>IF(H20&gt;0,(H20/D20),0)</f>
        <v>0</v>
      </c>
      <c r="K20" s="165">
        <f>IF(C20&gt;0,((C20-H20)/(F20*12)),0)</f>
        <v>0</v>
      </c>
    </row>
    <row r="21" spans="1:11" ht="13.5">
      <c r="A21" s="2149" t="s">
        <v>851</v>
      </c>
      <c r="B21" s="2150"/>
      <c r="C21" s="2150"/>
      <c r="D21" s="2150"/>
      <c r="E21" s="2150"/>
      <c r="F21" s="2150"/>
      <c r="G21" s="2150"/>
      <c r="H21" s="2150"/>
      <c r="I21" s="2150"/>
      <c r="J21" s="2150"/>
      <c r="K21" s="2151"/>
    </row>
    <row r="22" spans="1:11" ht="123.75">
      <c r="A22" s="161" t="s">
        <v>1017</v>
      </c>
      <c r="B22" s="162" t="s">
        <v>1514</v>
      </c>
      <c r="C22" s="163"/>
      <c r="D22" s="164"/>
      <c r="E22" s="165"/>
      <c r="F22" s="164"/>
      <c r="G22" s="165"/>
      <c r="H22" s="163"/>
      <c r="I22" s="165">
        <f>IF(G22&gt;0,(C22/D22),0)</f>
        <v>0</v>
      </c>
      <c r="J22" s="165">
        <f>IF(H22&gt;0,(H22/D22),0)</f>
        <v>0</v>
      </c>
      <c r="K22" s="165">
        <f>IF(C22&gt;0,((C22-H22)/(F22*12)),0)</f>
        <v>0</v>
      </c>
    </row>
    <row r="23" spans="1:11" ht="13.5">
      <c r="A23" s="161"/>
      <c r="B23" s="166" t="s">
        <v>1515</v>
      </c>
      <c r="C23" s="9"/>
      <c r="D23" s="9"/>
      <c r="E23" s="9"/>
      <c r="F23" s="9"/>
      <c r="G23" s="9"/>
      <c r="H23" s="9"/>
      <c r="I23" s="9"/>
      <c r="J23" s="9"/>
      <c r="K23" s="9"/>
    </row>
    <row r="24" spans="1:11" ht="13.5">
      <c r="A24" s="167"/>
      <c r="B24" s="168" t="s">
        <v>707</v>
      </c>
      <c r="C24" s="163"/>
      <c r="D24" s="164"/>
      <c r="E24" s="165"/>
      <c r="F24" s="164"/>
      <c r="G24" s="165"/>
      <c r="H24" s="163"/>
      <c r="I24" s="165">
        <f>IF(G24&gt;0,(C24/D24),0)</f>
        <v>0</v>
      </c>
      <c r="J24" s="165">
        <f>IF(H24&gt;0,(H24/D24),0)</f>
        <v>0</v>
      </c>
      <c r="K24" s="165">
        <f>IF(C24&gt;0,((C24-H24)/(F24*12)),0)</f>
        <v>0</v>
      </c>
    </row>
    <row r="25" spans="1:11" ht="13.5">
      <c r="A25" s="167"/>
      <c r="B25" s="168" t="s">
        <v>708</v>
      </c>
      <c r="C25" s="163"/>
      <c r="D25" s="164"/>
      <c r="E25" s="165"/>
      <c r="F25" s="164"/>
      <c r="G25" s="165"/>
      <c r="H25" s="163"/>
      <c r="I25" s="165">
        <f>IF(G25&gt;0,(C25/D25),0)</f>
        <v>0</v>
      </c>
      <c r="J25" s="165">
        <f>IF(H25&gt;0,(H25/D25),0)</f>
        <v>0</v>
      </c>
      <c r="K25" s="165">
        <f>IF(C25&gt;0,((C25-H25)/(F25*12)),0)</f>
        <v>0</v>
      </c>
    </row>
    <row r="26" spans="1:11" ht="13.5" hidden="1" outlineLevel="1">
      <c r="A26" s="113" t="s">
        <v>35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53" ht="29.25" customHeight="1" hidden="1" outlineLevel="1">
      <c r="A27" s="116" t="s">
        <v>637</v>
      </c>
      <c r="B27" s="1951" t="s">
        <v>1516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</row>
    <row r="28" spans="1:153" ht="13.5" hidden="1" outlineLevel="1">
      <c r="A28" s="116" t="s">
        <v>639</v>
      </c>
      <c r="B28" s="114" t="s">
        <v>1517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</row>
    <row r="29" spans="1:153" ht="13.5" hidden="1" outlineLevel="1">
      <c r="A29" s="116"/>
      <c r="B29" s="114" t="s">
        <v>591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</row>
    <row r="30" spans="1:153" ht="13.5" hidden="1" outlineLevel="1">
      <c r="A30" s="116"/>
      <c r="B30" s="114" t="s">
        <v>592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</row>
    <row r="31" spans="1:153" ht="13.5" hidden="1" outlineLevel="1">
      <c r="A31" s="116" t="s">
        <v>640</v>
      </c>
      <c r="B31" s="114" t="s">
        <v>593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</row>
    <row r="32" spans="1:153" ht="13.5" hidden="1" outlineLevel="1">
      <c r="A32" s="116"/>
      <c r="B32" s="114" t="s">
        <v>594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</row>
    <row r="33" spans="1:153" ht="13.5" hidden="1" outlineLevel="1">
      <c r="A33" s="116"/>
      <c r="B33" s="114" t="s">
        <v>595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</row>
    <row r="34" spans="1:153" ht="13.5" hidden="1" outlineLevel="1">
      <c r="A34" s="116" t="s">
        <v>641</v>
      </c>
      <c r="B34" s="114" t="s">
        <v>596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</row>
    <row r="35" spans="1:153" ht="13.5" hidden="1" outlineLevel="1">
      <c r="A35" s="116" t="s">
        <v>642</v>
      </c>
      <c r="B35" s="114" t="s">
        <v>597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</row>
    <row r="36" spans="1:153" ht="53.25" customHeight="1" hidden="1" outlineLevel="1">
      <c r="A36" s="116" t="s">
        <v>643</v>
      </c>
      <c r="B36" s="1951" t="s">
        <v>598</v>
      </c>
      <c r="C36" s="1951"/>
      <c r="D36" s="1951"/>
      <c r="E36" s="1951"/>
      <c r="F36" s="1951"/>
      <c r="G36" s="1951"/>
      <c r="H36" s="1951"/>
      <c r="I36" s="1951"/>
      <c r="J36" s="1951"/>
      <c r="K36" s="1951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</row>
    <row r="37" spans="1:153" ht="27.75" customHeight="1" hidden="1" outlineLevel="1">
      <c r="A37" s="116" t="s">
        <v>644</v>
      </c>
      <c r="B37" s="1951" t="s">
        <v>599</v>
      </c>
      <c r="C37" s="1951"/>
      <c r="D37" s="1951"/>
      <c r="E37" s="1951"/>
      <c r="F37" s="1951"/>
      <c r="G37" s="1951"/>
      <c r="H37" s="1951"/>
      <c r="I37" s="1951"/>
      <c r="J37" s="1951"/>
      <c r="K37" s="1951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</row>
    <row r="38" spans="1:153" ht="29.25" customHeight="1" hidden="1" outlineLevel="1">
      <c r="A38" s="116"/>
      <c r="B38" s="1951" t="s">
        <v>689</v>
      </c>
      <c r="C38" s="1951"/>
      <c r="D38" s="1951"/>
      <c r="E38" s="1951"/>
      <c r="F38" s="1951"/>
      <c r="G38" s="1951"/>
      <c r="H38" s="1951"/>
      <c r="I38" s="1951"/>
      <c r="J38" s="1951"/>
      <c r="K38" s="1951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</row>
    <row r="39" spans="1:153" ht="27.75" customHeight="1" hidden="1" outlineLevel="1">
      <c r="A39" s="116"/>
      <c r="B39" s="1951" t="s">
        <v>690</v>
      </c>
      <c r="C39" s="1951"/>
      <c r="D39" s="1951"/>
      <c r="E39" s="1951"/>
      <c r="F39" s="1951"/>
      <c r="G39" s="1951"/>
      <c r="H39" s="1951"/>
      <c r="I39" s="1951"/>
      <c r="J39" s="1951"/>
      <c r="K39" s="1951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</row>
    <row r="40" spans="1:11" ht="13.5" collapsed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3.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3.5">
      <c r="A42" s="2147" t="s">
        <v>1610</v>
      </c>
      <c r="B42" s="2147"/>
      <c r="C42" s="2147"/>
      <c r="D42" s="2147"/>
      <c r="E42" s="2147"/>
      <c r="F42" s="2147"/>
      <c r="G42" s="2147"/>
      <c r="H42" s="2147"/>
      <c r="I42" s="2147"/>
      <c r="J42" s="2147"/>
      <c r="K42" s="2147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14">
    <mergeCell ref="A4:K4"/>
    <mergeCell ref="A15:K15"/>
    <mergeCell ref="A21:K21"/>
    <mergeCell ref="A8:K8"/>
    <mergeCell ref="A9:K9"/>
    <mergeCell ref="A11:K11"/>
    <mergeCell ref="A13:K13"/>
    <mergeCell ref="A16:K16"/>
    <mergeCell ref="A42:K42"/>
    <mergeCell ref="B27:K27"/>
    <mergeCell ref="B36:K36"/>
    <mergeCell ref="B37:K37"/>
    <mergeCell ref="B38:K38"/>
    <mergeCell ref="B39:K39"/>
  </mergeCells>
  <printOptions/>
  <pageMargins left="0.7086614173228347" right="0.7086614173228347" top="0.46" bottom="0.43" header="0.31496062992125984" footer="0.31496062992125984"/>
  <pageSetup fitToHeight="3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V41"/>
  <sheetViews>
    <sheetView view="pageBreakPreview" zoomScaleSheetLayoutView="100" zoomScalePageLayoutView="0" workbookViewId="0" topLeftCell="A1">
      <pane xSplit="3" ySplit="10" topLeftCell="D2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4" sqref="A4"/>
    </sheetView>
  </sheetViews>
  <sheetFormatPr defaultColWidth="9.140625" defaultRowHeight="15" outlineLevelRow="1" outlineLevelCol="1"/>
  <cols>
    <col min="1" max="1" width="6.140625" style="7" customWidth="1"/>
    <col min="2" max="2" width="30.00390625" style="7" customWidth="1"/>
    <col min="3" max="3" width="10.7109375" style="7" customWidth="1"/>
    <col min="4" max="6" width="12.00390625" style="7" customWidth="1"/>
    <col min="7" max="9" width="10.8515625" style="7" customWidth="1"/>
    <col min="10" max="12" width="11.140625" style="7" customWidth="1" outlineLevel="1"/>
    <col min="13" max="13" width="12.28125" style="7" customWidth="1"/>
    <col min="14" max="14" width="13.140625" style="7" customWidth="1"/>
    <col min="15" max="15" width="13.8515625" style="7" customWidth="1"/>
    <col min="16" max="17" width="11.140625" style="7" customWidth="1"/>
    <col min="18" max="18" width="9.140625" style="7" customWidth="1"/>
    <col min="19" max="20" width="10.8515625" style="7" customWidth="1" outlineLevel="1"/>
    <col min="21" max="21" width="9.140625" style="7" customWidth="1" outlineLevel="1"/>
    <col min="22" max="16384" width="9.140625" style="7" customWidth="1"/>
  </cols>
  <sheetData>
    <row r="1" spans="1:18" ht="15">
      <c r="A1" s="52" t="s">
        <v>1280</v>
      </c>
      <c r="B1" s="52"/>
      <c r="C1" s="52"/>
      <c r="D1" s="52"/>
      <c r="E1" s="52"/>
      <c r="F1" s="52"/>
      <c r="R1" s="8" t="s">
        <v>726</v>
      </c>
    </row>
    <row r="2" spans="1:17" ht="13.5">
      <c r="A2" s="52" t="s">
        <v>657</v>
      </c>
      <c r="B2" s="52"/>
      <c r="C2" s="52"/>
      <c r="D2" s="52"/>
      <c r="E2" s="52"/>
      <c r="F2" s="52"/>
      <c r="Q2" s="12"/>
    </row>
    <row r="4" spans="1:21" ht="16.5">
      <c r="A4" s="33" t="s">
        <v>1686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6" spans="1:21" ht="13.5">
      <c r="A6" s="2006" t="s">
        <v>1008</v>
      </c>
      <c r="B6" s="2156" t="s">
        <v>1016</v>
      </c>
      <c r="C6" s="2006" t="s">
        <v>1311</v>
      </c>
      <c r="D6" s="2013" t="s">
        <v>646</v>
      </c>
      <c r="E6" s="2014"/>
      <c r="F6" s="2014"/>
      <c r="G6" s="2014"/>
      <c r="H6" s="2014"/>
      <c r="I6" s="2014"/>
      <c r="J6" s="2014"/>
      <c r="K6" s="2014"/>
      <c r="L6" s="2015"/>
      <c r="M6" s="2155" t="s">
        <v>647</v>
      </c>
      <c r="N6" s="2155"/>
      <c r="O6" s="2155"/>
      <c r="P6" s="2155"/>
      <c r="Q6" s="2155"/>
      <c r="R6" s="2155"/>
      <c r="S6" s="2155"/>
      <c r="T6" s="2155"/>
      <c r="U6" s="2155"/>
    </row>
    <row r="7" spans="1:21" ht="13.5">
      <c r="A7" s="2007"/>
      <c r="B7" s="2157"/>
      <c r="C7" s="2007"/>
      <c r="D7" s="2141" t="s">
        <v>1005</v>
      </c>
      <c r="E7" s="2142"/>
      <c r="F7" s="2143"/>
      <c r="G7" s="2141" t="s">
        <v>1007</v>
      </c>
      <c r="H7" s="2142"/>
      <c r="I7" s="2142"/>
      <c r="J7" s="2142"/>
      <c r="K7" s="2142"/>
      <c r="L7" s="2143"/>
      <c r="M7" s="2159" t="s">
        <v>1005</v>
      </c>
      <c r="N7" s="2159"/>
      <c r="O7" s="2159"/>
      <c r="P7" s="2159" t="s">
        <v>1007</v>
      </c>
      <c r="Q7" s="2159"/>
      <c r="R7" s="2159"/>
      <c r="S7" s="2159"/>
      <c r="T7" s="2159"/>
      <c r="U7" s="2159"/>
    </row>
    <row r="8" spans="1:21" ht="13.5">
      <c r="A8" s="2007"/>
      <c r="B8" s="2157"/>
      <c r="C8" s="2007"/>
      <c r="D8" s="2006" t="s">
        <v>1504</v>
      </c>
      <c r="E8" s="2006" t="s">
        <v>727</v>
      </c>
      <c r="F8" s="2006" t="s">
        <v>728</v>
      </c>
      <c r="G8" s="2024" t="s">
        <v>160</v>
      </c>
      <c r="H8" s="2025"/>
      <c r="I8" s="2025"/>
      <c r="J8" s="2024" t="s">
        <v>197</v>
      </c>
      <c r="K8" s="2025"/>
      <c r="L8" s="2026"/>
      <c r="M8" s="2005" t="s">
        <v>1504</v>
      </c>
      <c r="N8" s="2005" t="s">
        <v>727</v>
      </c>
      <c r="O8" s="2005" t="s">
        <v>728</v>
      </c>
      <c r="P8" s="2005" t="s">
        <v>160</v>
      </c>
      <c r="Q8" s="2005"/>
      <c r="R8" s="2005"/>
      <c r="S8" s="2005" t="s">
        <v>197</v>
      </c>
      <c r="T8" s="2005"/>
      <c r="U8" s="2005"/>
    </row>
    <row r="9" spans="1:21" ht="33" customHeight="1">
      <c r="A9" s="2003"/>
      <c r="B9" s="2158"/>
      <c r="C9" s="2003"/>
      <c r="D9" s="2003"/>
      <c r="E9" s="2003"/>
      <c r="F9" s="2003"/>
      <c r="G9" s="22" t="s">
        <v>707</v>
      </c>
      <c r="H9" s="22" t="s">
        <v>708</v>
      </c>
      <c r="I9" s="50" t="s">
        <v>142</v>
      </c>
      <c r="J9" s="22" t="s">
        <v>707</v>
      </c>
      <c r="K9" s="22" t="s">
        <v>708</v>
      </c>
      <c r="L9" s="50" t="s">
        <v>142</v>
      </c>
      <c r="M9" s="2005"/>
      <c r="N9" s="2005"/>
      <c r="O9" s="2005"/>
      <c r="P9" s="22" t="s">
        <v>707</v>
      </c>
      <c r="Q9" s="22" t="s">
        <v>708</v>
      </c>
      <c r="R9" s="22" t="s">
        <v>142</v>
      </c>
      <c r="S9" s="22" t="s">
        <v>707</v>
      </c>
      <c r="T9" s="22" t="s">
        <v>708</v>
      </c>
      <c r="U9" s="22" t="s">
        <v>142</v>
      </c>
    </row>
    <row r="10" spans="1:21" ht="13.5">
      <c r="A10" s="4">
        <v>1</v>
      </c>
      <c r="B10" s="5">
        <v>2</v>
      </c>
      <c r="C10" s="4">
        <v>3</v>
      </c>
      <c r="D10" s="4">
        <v>4</v>
      </c>
      <c r="E10" s="5">
        <v>5</v>
      </c>
      <c r="F10" s="4">
        <v>6</v>
      </c>
      <c r="G10" s="4">
        <v>7</v>
      </c>
      <c r="H10" s="5">
        <v>8</v>
      </c>
      <c r="I10" s="4">
        <v>9</v>
      </c>
      <c r="J10" s="4">
        <v>10</v>
      </c>
      <c r="K10" s="5">
        <v>11</v>
      </c>
      <c r="L10" s="4">
        <v>12</v>
      </c>
      <c r="M10" s="4">
        <v>13</v>
      </c>
      <c r="N10" s="5">
        <v>14</v>
      </c>
      <c r="O10" s="4">
        <v>15</v>
      </c>
      <c r="P10" s="4">
        <v>16</v>
      </c>
      <c r="Q10" s="5">
        <v>17</v>
      </c>
      <c r="R10" s="4">
        <v>18</v>
      </c>
      <c r="S10" s="4">
        <v>19</v>
      </c>
      <c r="T10" s="5">
        <v>20</v>
      </c>
      <c r="U10" s="4">
        <v>21</v>
      </c>
    </row>
    <row r="11" spans="1:21" ht="43.5" customHeight="1">
      <c r="A11" s="47" t="s">
        <v>1017</v>
      </c>
      <c r="B11" s="26" t="s">
        <v>1505</v>
      </c>
      <c r="C11" s="29" t="s">
        <v>1021</v>
      </c>
      <c r="D11" s="4"/>
      <c r="E11" s="4"/>
      <c r="F11" s="4"/>
      <c r="G11" s="4"/>
      <c r="H11" s="4"/>
      <c r="I11" s="4">
        <f>G11+H11</f>
        <v>0</v>
      </c>
      <c r="J11" s="4"/>
      <c r="K11" s="4"/>
      <c r="L11" s="4">
        <f>J11+K11</f>
        <v>0</v>
      </c>
      <c r="M11" s="4"/>
      <c r="N11" s="4"/>
      <c r="O11" s="4"/>
      <c r="P11" s="4"/>
      <c r="Q11" s="4"/>
      <c r="R11" s="9">
        <f>P11+Q11</f>
        <v>0</v>
      </c>
      <c r="S11" s="103"/>
      <c r="T11" s="103"/>
      <c r="U11" s="9">
        <f>S11+T11</f>
        <v>0</v>
      </c>
    </row>
    <row r="12" spans="1:21" ht="92.25">
      <c r="A12" s="30" t="s">
        <v>1009</v>
      </c>
      <c r="B12" s="6" t="s">
        <v>1432</v>
      </c>
      <c r="C12" s="29" t="s">
        <v>1021</v>
      </c>
      <c r="D12" s="4"/>
      <c r="E12" s="4"/>
      <c r="F12" s="4"/>
      <c r="G12" s="4"/>
      <c r="H12" s="4"/>
      <c r="I12" s="4">
        <f>G12+H12</f>
        <v>0</v>
      </c>
      <c r="J12" s="4"/>
      <c r="K12" s="4"/>
      <c r="L12" s="4">
        <f>J12+K12</f>
        <v>0</v>
      </c>
      <c r="M12" s="4"/>
      <c r="N12" s="4"/>
      <c r="O12" s="4"/>
      <c r="P12" s="4"/>
      <c r="Q12" s="4"/>
      <c r="R12" s="9">
        <f>P12+Q12</f>
        <v>0</v>
      </c>
      <c r="S12" s="103"/>
      <c r="T12" s="103"/>
      <c r="U12" s="9">
        <f>S12+T12</f>
        <v>0</v>
      </c>
    </row>
    <row r="13" spans="1:21" ht="47.25" customHeight="1">
      <c r="A13" s="47" t="s">
        <v>1010</v>
      </c>
      <c r="B13" s="89" t="s">
        <v>1444</v>
      </c>
      <c r="C13" s="29" t="s">
        <v>621</v>
      </c>
      <c r="D13" s="4"/>
      <c r="E13" s="4"/>
      <c r="F13" s="4"/>
      <c r="G13" s="4"/>
      <c r="H13" s="4"/>
      <c r="I13" s="4">
        <f>G13+H13</f>
        <v>0</v>
      </c>
      <c r="J13" s="4"/>
      <c r="K13" s="4"/>
      <c r="L13" s="4">
        <f>J13+K13</f>
        <v>0</v>
      </c>
      <c r="M13" s="4"/>
      <c r="N13" s="4"/>
      <c r="O13" s="4"/>
      <c r="P13" s="4"/>
      <c r="Q13" s="4"/>
      <c r="R13" s="9">
        <f>P13+Q13</f>
        <v>0</v>
      </c>
      <c r="S13" s="103"/>
      <c r="T13" s="103"/>
      <c r="U13" s="9">
        <f>S13+T13</f>
        <v>0</v>
      </c>
    </row>
    <row r="14" spans="1:21" ht="118.5">
      <c r="A14" s="30" t="s">
        <v>1011</v>
      </c>
      <c r="B14" s="6" t="s">
        <v>1055</v>
      </c>
      <c r="C14" s="29" t="s">
        <v>621</v>
      </c>
      <c r="D14" s="4"/>
      <c r="E14" s="4"/>
      <c r="F14" s="4"/>
      <c r="G14" s="4"/>
      <c r="H14" s="4"/>
      <c r="I14" s="4">
        <f>G14+H14</f>
        <v>0</v>
      </c>
      <c r="J14" s="4"/>
      <c r="K14" s="4"/>
      <c r="L14" s="4">
        <f>J14+K14</f>
        <v>0</v>
      </c>
      <c r="M14" s="4"/>
      <c r="N14" s="4"/>
      <c r="O14" s="4"/>
      <c r="P14" s="4"/>
      <c r="Q14" s="4"/>
      <c r="R14" s="9">
        <f>P14+Q14</f>
        <v>0</v>
      </c>
      <c r="S14" s="103"/>
      <c r="T14" s="103"/>
      <c r="U14" s="9">
        <f>S14+T14</f>
        <v>0</v>
      </c>
    </row>
    <row r="15" spans="1:21" ht="39">
      <c r="A15" s="47" t="s">
        <v>1012</v>
      </c>
      <c r="B15" s="89" t="s">
        <v>1056</v>
      </c>
      <c r="C15" s="29" t="s">
        <v>1312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03"/>
      <c r="S15" s="103"/>
      <c r="T15" s="103"/>
      <c r="U15" s="103"/>
    </row>
    <row r="16" spans="1:21" ht="105">
      <c r="A16" s="30" t="s">
        <v>1014</v>
      </c>
      <c r="B16" s="24" t="s">
        <v>1062</v>
      </c>
      <c r="C16" s="29" t="s">
        <v>1312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03"/>
      <c r="S16" s="103"/>
      <c r="T16" s="103"/>
      <c r="U16" s="103"/>
    </row>
    <row r="17" spans="1:21" ht="78.75">
      <c r="A17" s="47" t="s">
        <v>1018</v>
      </c>
      <c r="B17" s="26" t="s">
        <v>1063</v>
      </c>
      <c r="C17" s="2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03"/>
      <c r="S17" s="103"/>
      <c r="T17" s="103"/>
      <c r="U17" s="103"/>
    </row>
    <row r="18" spans="1:21" ht="26.25">
      <c r="A18" s="30" t="s">
        <v>602</v>
      </c>
      <c r="B18" s="6" t="s">
        <v>1064</v>
      </c>
      <c r="C18" s="29" t="s">
        <v>616</v>
      </c>
      <c r="D18" s="4" t="e">
        <f>D11/D13</f>
        <v>#DIV/0!</v>
      </c>
      <c r="E18" s="4" t="e">
        <f aca="true" t="shared" si="0" ref="E18:U18">E11/E13</f>
        <v>#DIV/0!</v>
      </c>
      <c r="F18" s="4" t="e">
        <f t="shared" si="0"/>
        <v>#DIV/0!</v>
      </c>
      <c r="G18" s="4" t="e">
        <f t="shared" si="0"/>
        <v>#DIV/0!</v>
      </c>
      <c r="H18" s="4" t="e">
        <f t="shared" si="0"/>
        <v>#DIV/0!</v>
      </c>
      <c r="I18" s="4" t="e">
        <f>I11/I13</f>
        <v>#DIV/0!</v>
      </c>
      <c r="J18" s="4" t="e">
        <f t="shared" si="0"/>
        <v>#DIV/0!</v>
      </c>
      <c r="K18" s="4" t="e">
        <f t="shared" si="0"/>
        <v>#DIV/0!</v>
      </c>
      <c r="L18" s="4" t="e">
        <f t="shared" si="0"/>
        <v>#DIV/0!</v>
      </c>
      <c r="M18" s="4" t="e">
        <f t="shared" si="0"/>
        <v>#DIV/0!</v>
      </c>
      <c r="N18" s="4" t="e">
        <f t="shared" si="0"/>
        <v>#DIV/0!</v>
      </c>
      <c r="O18" s="4" t="e">
        <f t="shared" si="0"/>
        <v>#DIV/0!</v>
      </c>
      <c r="P18" s="4" t="e">
        <f t="shared" si="0"/>
        <v>#DIV/0!</v>
      </c>
      <c r="Q18" s="4" t="e">
        <f t="shared" si="0"/>
        <v>#DIV/0!</v>
      </c>
      <c r="R18" s="4" t="e">
        <f t="shared" si="0"/>
        <v>#DIV/0!</v>
      </c>
      <c r="S18" s="4" t="e">
        <f t="shared" si="0"/>
        <v>#DIV/0!</v>
      </c>
      <c r="T18" s="4" t="e">
        <f t="shared" si="0"/>
        <v>#DIV/0!</v>
      </c>
      <c r="U18" s="4" t="e">
        <f t="shared" si="0"/>
        <v>#DIV/0!</v>
      </c>
    </row>
    <row r="19" spans="1:21" ht="26.25">
      <c r="A19" s="30" t="s">
        <v>604</v>
      </c>
      <c r="B19" s="6" t="s">
        <v>1065</v>
      </c>
      <c r="C19" s="2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03"/>
      <c r="S19" s="103"/>
      <c r="T19" s="103"/>
      <c r="U19" s="103"/>
    </row>
    <row r="20" spans="1:21" ht="13.5">
      <c r="A20" s="30"/>
      <c r="B20" s="76" t="s">
        <v>1066</v>
      </c>
      <c r="C20" s="29" t="s">
        <v>616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03"/>
      <c r="S20" s="103"/>
      <c r="T20" s="103"/>
      <c r="U20" s="103"/>
    </row>
    <row r="21" spans="1:21" ht="27.75" customHeight="1">
      <c r="A21" s="30"/>
      <c r="B21" s="76" t="s">
        <v>1067</v>
      </c>
      <c r="C21" s="22" t="s">
        <v>1670</v>
      </c>
      <c r="D21" s="41" t="e">
        <f>D11/D15/12</f>
        <v>#DIV/0!</v>
      </c>
      <c r="E21" s="41" t="e">
        <f aca="true" t="shared" si="1" ref="E21:U21">E11/E15/12</f>
        <v>#DIV/0!</v>
      </c>
      <c r="F21" s="41" t="e">
        <f t="shared" si="1"/>
        <v>#DIV/0!</v>
      </c>
      <c r="G21" s="41" t="e">
        <f t="shared" si="1"/>
        <v>#DIV/0!</v>
      </c>
      <c r="H21" s="41" t="e">
        <f t="shared" si="1"/>
        <v>#DIV/0!</v>
      </c>
      <c r="I21" s="41" t="e">
        <f t="shared" si="1"/>
        <v>#DIV/0!</v>
      </c>
      <c r="J21" s="41" t="e">
        <f t="shared" si="1"/>
        <v>#DIV/0!</v>
      </c>
      <c r="K21" s="41" t="e">
        <f t="shared" si="1"/>
        <v>#DIV/0!</v>
      </c>
      <c r="L21" s="41" t="e">
        <f t="shared" si="1"/>
        <v>#DIV/0!</v>
      </c>
      <c r="M21" s="41" t="e">
        <f t="shared" si="1"/>
        <v>#DIV/0!</v>
      </c>
      <c r="N21" s="41" t="e">
        <f t="shared" si="1"/>
        <v>#DIV/0!</v>
      </c>
      <c r="O21" s="41" t="e">
        <f t="shared" si="1"/>
        <v>#DIV/0!</v>
      </c>
      <c r="P21" s="41" t="e">
        <f t="shared" si="1"/>
        <v>#DIV/0!</v>
      </c>
      <c r="Q21" s="41" t="e">
        <f t="shared" si="1"/>
        <v>#DIV/0!</v>
      </c>
      <c r="R21" s="41" t="e">
        <f t="shared" si="1"/>
        <v>#DIV/0!</v>
      </c>
      <c r="S21" s="41" t="e">
        <f t="shared" si="1"/>
        <v>#DIV/0!</v>
      </c>
      <c r="T21" s="41" t="e">
        <f t="shared" si="1"/>
        <v>#DIV/0!</v>
      </c>
      <c r="U21" s="41" t="e">
        <f t="shared" si="1"/>
        <v>#DIV/0!</v>
      </c>
    </row>
    <row r="22" spans="1:21" ht="66">
      <c r="A22" s="47" t="s">
        <v>1019</v>
      </c>
      <c r="B22" s="26" t="s">
        <v>1671</v>
      </c>
      <c r="C22" s="102"/>
      <c r="D22" s="104"/>
      <c r="E22" s="4"/>
      <c r="F22" s="4"/>
      <c r="G22" s="38"/>
      <c r="H22" s="38"/>
      <c r="I22" s="38"/>
      <c r="J22" s="38"/>
      <c r="K22" s="38"/>
      <c r="L22" s="38"/>
      <c r="M22" s="38"/>
      <c r="N22" s="4"/>
      <c r="O22" s="4"/>
      <c r="P22" s="38"/>
      <c r="Q22" s="38"/>
      <c r="R22" s="103"/>
      <c r="S22" s="103"/>
      <c r="T22" s="103"/>
      <c r="U22" s="103"/>
    </row>
    <row r="23" spans="1:21" ht="66">
      <c r="A23" s="30" t="s">
        <v>1308</v>
      </c>
      <c r="B23" s="21" t="s">
        <v>1672</v>
      </c>
      <c r="C23" s="102"/>
      <c r="D23" s="104"/>
      <c r="E23" s="4"/>
      <c r="F23" s="4"/>
      <c r="G23" s="38"/>
      <c r="H23" s="38"/>
      <c r="I23" s="38"/>
      <c r="J23" s="38"/>
      <c r="K23" s="38"/>
      <c r="L23" s="38"/>
      <c r="M23" s="38"/>
      <c r="N23" s="4"/>
      <c r="O23" s="4"/>
      <c r="P23" s="38"/>
      <c r="Q23" s="38"/>
      <c r="R23" s="103"/>
      <c r="S23" s="103"/>
      <c r="T23" s="103"/>
      <c r="U23" s="103"/>
    </row>
    <row r="24" spans="1:21" ht="26.25">
      <c r="A24" s="30" t="s">
        <v>1673</v>
      </c>
      <c r="B24" s="6" t="s">
        <v>1064</v>
      </c>
      <c r="C24" s="29" t="s">
        <v>616</v>
      </c>
      <c r="D24" s="41" t="e">
        <f>(D11-D12)/D13</f>
        <v>#DIV/0!</v>
      </c>
      <c r="E24" s="41" t="e">
        <f aca="true" t="shared" si="2" ref="E24:U24">(E11-E12)/E13</f>
        <v>#DIV/0!</v>
      </c>
      <c r="F24" s="41" t="e">
        <f t="shared" si="2"/>
        <v>#DIV/0!</v>
      </c>
      <c r="G24" s="41" t="e">
        <f t="shared" si="2"/>
        <v>#DIV/0!</v>
      </c>
      <c r="H24" s="41" t="e">
        <f t="shared" si="2"/>
        <v>#DIV/0!</v>
      </c>
      <c r="I24" s="41" t="e">
        <f t="shared" si="2"/>
        <v>#DIV/0!</v>
      </c>
      <c r="J24" s="41" t="e">
        <f t="shared" si="2"/>
        <v>#DIV/0!</v>
      </c>
      <c r="K24" s="41" t="e">
        <f t="shared" si="2"/>
        <v>#DIV/0!</v>
      </c>
      <c r="L24" s="41" t="e">
        <f t="shared" si="2"/>
        <v>#DIV/0!</v>
      </c>
      <c r="M24" s="41" t="e">
        <f t="shared" si="2"/>
        <v>#DIV/0!</v>
      </c>
      <c r="N24" s="41" t="e">
        <f t="shared" si="2"/>
        <v>#DIV/0!</v>
      </c>
      <c r="O24" s="41" t="e">
        <f t="shared" si="2"/>
        <v>#DIV/0!</v>
      </c>
      <c r="P24" s="41" t="e">
        <f t="shared" si="2"/>
        <v>#DIV/0!</v>
      </c>
      <c r="Q24" s="41" t="e">
        <f t="shared" si="2"/>
        <v>#DIV/0!</v>
      </c>
      <c r="R24" s="41" t="e">
        <f t="shared" si="2"/>
        <v>#DIV/0!</v>
      </c>
      <c r="S24" s="41" t="e">
        <f t="shared" si="2"/>
        <v>#DIV/0!</v>
      </c>
      <c r="T24" s="41" t="e">
        <f t="shared" si="2"/>
        <v>#DIV/0!</v>
      </c>
      <c r="U24" s="41" t="e">
        <f t="shared" si="2"/>
        <v>#DIV/0!</v>
      </c>
    </row>
    <row r="25" spans="1:21" ht="26.25">
      <c r="A25" s="30" t="s">
        <v>1674</v>
      </c>
      <c r="B25" s="6" t="s">
        <v>1065</v>
      </c>
      <c r="C25" s="29"/>
      <c r="D25" s="104"/>
      <c r="E25" s="4"/>
      <c r="F25" s="4"/>
      <c r="G25" s="38"/>
      <c r="H25" s="38"/>
      <c r="I25" s="38"/>
      <c r="J25" s="38"/>
      <c r="K25" s="38"/>
      <c r="L25" s="38"/>
      <c r="M25" s="38"/>
      <c r="N25" s="4"/>
      <c r="O25" s="4"/>
      <c r="P25" s="38"/>
      <c r="Q25" s="38"/>
      <c r="R25" s="103"/>
      <c r="S25" s="103"/>
      <c r="T25" s="103"/>
      <c r="U25" s="103"/>
    </row>
    <row r="26" spans="1:21" ht="13.5">
      <c r="A26" s="30"/>
      <c r="B26" s="76" t="s">
        <v>1066</v>
      </c>
      <c r="C26" s="29" t="s">
        <v>616</v>
      </c>
      <c r="D26" s="104"/>
      <c r="E26" s="4"/>
      <c r="F26" s="4"/>
      <c r="G26" s="38"/>
      <c r="H26" s="38"/>
      <c r="I26" s="38"/>
      <c r="J26" s="38"/>
      <c r="K26" s="38"/>
      <c r="L26" s="38"/>
      <c r="M26" s="38"/>
      <c r="N26" s="4"/>
      <c r="O26" s="4"/>
      <c r="P26" s="38"/>
      <c r="Q26" s="38"/>
      <c r="R26" s="103"/>
      <c r="S26" s="103"/>
      <c r="T26" s="103"/>
      <c r="U26" s="103"/>
    </row>
    <row r="27" spans="1:21" ht="27.75" customHeight="1">
      <c r="A27" s="30"/>
      <c r="B27" s="76" t="s">
        <v>1067</v>
      </c>
      <c r="C27" s="22" t="s">
        <v>1670</v>
      </c>
      <c r="D27" s="41" t="e">
        <f>(D11-D12)/D15/12</f>
        <v>#DIV/0!</v>
      </c>
      <c r="E27" s="41" t="e">
        <f aca="true" t="shared" si="3" ref="E27:U27">(E11-E12)/E15/12</f>
        <v>#DIV/0!</v>
      </c>
      <c r="F27" s="41" t="e">
        <f t="shared" si="3"/>
        <v>#DIV/0!</v>
      </c>
      <c r="G27" s="41" t="e">
        <f t="shared" si="3"/>
        <v>#DIV/0!</v>
      </c>
      <c r="H27" s="41" t="e">
        <f t="shared" si="3"/>
        <v>#DIV/0!</v>
      </c>
      <c r="I27" s="41" t="e">
        <f t="shared" si="3"/>
        <v>#DIV/0!</v>
      </c>
      <c r="J27" s="41" t="e">
        <f t="shared" si="3"/>
        <v>#DIV/0!</v>
      </c>
      <c r="K27" s="41" t="e">
        <f t="shared" si="3"/>
        <v>#DIV/0!</v>
      </c>
      <c r="L27" s="41" t="e">
        <f t="shared" si="3"/>
        <v>#DIV/0!</v>
      </c>
      <c r="M27" s="41" t="e">
        <f t="shared" si="3"/>
        <v>#DIV/0!</v>
      </c>
      <c r="N27" s="41" t="e">
        <f t="shared" si="3"/>
        <v>#DIV/0!</v>
      </c>
      <c r="O27" s="41" t="e">
        <f t="shared" si="3"/>
        <v>#DIV/0!</v>
      </c>
      <c r="P27" s="41" t="e">
        <f t="shared" si="3"/>
        <v>#DIV/0!</v>
      </c>
      <c r="Q27" s="41" t="e">
        <f t="shared" si="3"/>
        <v>#DIV/0!</v>
      </c>
      <c r="R27" s="41" t="e">
        <f t="shared" si="3"/>
        <v>#DIV/0!</v>
      </c>
      <c r="S27" s="41" t="e">
        <f t="shared" si="3"/>
        <v>#DIV/0!</v>
      </c>
      <c r="T27" s="41" t="e">
        <f t="shared" si="3"/>
        <v>#DIV/0!</v>
      </c>
      <c r="U27" s="41" t="e">
        <f t="shared" si="3"/>
        <v>#DIV/0!</v>
      </c>
    </row>
    <row r="28" spans="1:21" ht="66">
      <c r="A28" s="30" t="s">
        <v>1309</v>
      </c>
      <c r="B28" s="21" t="s">
        <v>37</v>
      </c>
      <c r="C28" s="102"/>
      <c r="D28" s="104"/>
      <c r="E28" s="4"/>
      <c r="F28" s="4"/>
      <c r="G28" s="38"/>
      <c r="H28" s="38"/>
      <c r="I28" s="38"/>
      <c r="J28" s="38"/>
      <c r="K28" s="38"/>
      <c r="L28" s="38"/>
      <c r="M28" s="38"/>
      <c r="N28" s="4"/>
      <c r="O28" s="4"/>
      <c r="P28" s="38"/>
      <c r="Q28" s="38"/>
      <c r="R28" s="103"/>
      <c r="S28" s="103"/>
      <c r="T28" s="103"/>
      <c r="U28" s="103"/>
    </row>
    <row r="29" spans="1:21" ht="26.25">
      <c r="A29" s="30" t="s">
        <v>38</v>
      </c>
      <c r="B29" s="6" t="s">
        <v>1064</v>
      </c>
      <c r="C29" s="29" t="s">
        <v>616</v>
      </c>
      <c r="D29" s="41" t="e">
        <f>(D11-D12)/D13+D12/D14</f>
        <v>#DIV/0!</v>
      </c>
      <c r="E29" s="41" t="e">
        <f aca="true" t="shared" si="4" ref="E29:U29">(E11-E12)/E13+E12/E14</f>
        <v>#DIV/0!</v>
      </c>
      <c r="F29" s="41" t="e">
        <f t="shared" si="4"/>
        <v>#DIV/0!</v>
      </c>
      <c r="G29" s="41" t="e">
        <f t="shared" si="4"/>
        <v>#DIV/0!</v>
      </c>
      <c r="H29" s="41" t="e">
        <f t="shared" si="4"/>
        <v>#DIV/0!</v>
      </c>
      <c r="I29" s="41" t="e">
        <f t="shared" si="4"/>
        <v>#DIV/0!</v>
      </c>
      <c r="J29" s="41" t="e">
        <f t="shared" si="4"/>
        <v>#DIV/0!</v>
      </c>
      <c r="K29" s="41" t="e">
        <f t="shared" si="4"/>
        <v>#DIV/0!</v>
      </c>
      <c r="L29" s="41" t="e">
        <f t="shared" si="4"/>
        <v>#DIV/0!</v>
      </c>
      <c r="M29" s="41" t="e">
        <f t="shared" si="4"/>
        <v>#DIV/0!</v>
      </c>
      <c r="N29" s="41" t="e">
        <f t="shared" si="4"/>
        <v>#DIV/0!</v>
      </c>
      <c r="O29" s="41" t="e">
        <f t="shared" si="4"/>
        <v>#DIV/0!</v>
      </c>
      <c r="P29" s="41" t="e">
        <f t="shared" si="4"/>
        <v>#DIV/0!</v>
      </c>
      <c r="Q29" s="41" t="e">
        <f t="shared" si="4"/>
        <v>#DIV/0!</v>
      </c>
      <c r="R29" s="41" t="e">
        <f t="shared" si="4"/>
        <v>#DIV/0!</v>
      </c>
      <c r="S29" s="41" t="e">
        <f t="shared" si="4"/>
        <v>#DIV/0!</v>
      </c>
      <c r="T29" s="41" t="e">
        <f t="shared" si="4"/>
        <v>#DIV/0!</v>
      </c>
      <c r="U29" s="41" t="e">
        <f t="shared" si="4"/>
        <v>#DIV/0!</v>
      </c>
    </row>
    <row r="30" spans="1:21" ht="26.25">
      <c r="A30" s="30" t="s">
        <v>1685</v>
      </c>
      <c r="B30" s="6" t="s">
        <v>1065</v>
      </c>
      <c r="C30" s="29"/>
      <c r="D30" s="104"/>
      <c r="E30" s="4"/>
      <c r="F30" s="4"/>
      <c r="G30" s="38"/>
      <c r="H30" s="38"/>
      <c r="I30" s="38"/>
      <c r="J30" s="38"/>
      <c r="K30" s="38"/>
      <c r="L30" s="38"/>
      <c r="M30" s="38"/>
      <c r="N30" s="4"/>
      <c r="O30" s="4"/>
      <c r="P30" s="38"/>
      <c r="Q30" s="38"/>
      <c r="R30" s="103"/>
      <c r="S30" s="103"/>
      <c r="T30" s="103"/>
      <c r="U30" s="103"/>
    </row>
    <row r="31" spans="1:21" ht="13.5">
      <c r="A31" s="30"/>
      <c r="B31" s="76" t="s">
        <v>1066</v>
      </c>
      <c r="C31" s="29" t="s">
        <v>616</v>
      </c>
      <c r="D31" s="104"/>
      <c r="E31" s="4"/>
      <c r="F31" s="4"/>
      <c r="G31" s="38"/>
      <c r="H31" s="38"/>
      <c r="I31" s="38"/>
      <c r="J31" s="38"/>
      <c r="K31" s="38"/>
      <c r="L31" s="38"/>
      <c r="M31" s="38"/>
      <c r="N31" s="4"/>
      <c r="O31" s="4"/>
      <c r="P31" s="38"/>
      <c r="Q31" s="38"/>
      <c r="R31" s="103"/>
      <c r="S31" s="103"/>
      <c r="T31" s="103"/>
      <c r="U31" s="103"/>
    </row>
    <row r="32" spans="1:21" ht="29.25" customHeight="1">
      <c r="A32" s="30"/>
      <c r="B32" s="76" t="s">
        <v>1067</v>
      </c>
      <c r="C32" s="22" t="s">
        <v>1670</v>
      </c>
      <c r="D32" s="41" t="e">
        <f>(D11-D12)/D15/12+D12/D16/12</f>
        <v>#DIV/0!</v>
      </c>
      <c r="E32" s="41" t="e">
        <f aca="true" t="shared" si="5" ref="E32:U32">(E11-E12)/E15/12+E12/E16/12</f>
        <v>#DIV/0!</v>
      </c>
      <c r="F32" s="41" t="e">
        <f t="shared" si="5"/>
        <v>#DIV/0!</v>
      </c>
      <c r="G32" s="41" t="e">
        <f t="shared" si="5"/>
        <v>#DIV/0!</v>
      </c>
      <c r="H32" s="41" t="e">
        <f t="shared" si="5"/>
        <v>#DIV/0!</v>
      </c>
      <c r="I32" s="41" t="e">
        <f t="shared" si="5"/>
        <v>#DIV/0!</v>
      </c>
      <c r="J32" s="41" t="e">
        <f t="shared" si="5"/>
        <v>#DIV/0!</v>
      </c>
      <c r="K32" s="41" t="e">
        <f t="shared" si="5"/>
        <v>#DIV/0!</v>
      </c>
      <c r="L32" s="41" t="e">
        <f t="shared" si="5"/>
        <v>#DIV/0!</v>
      </c>
      <c r="M32" s="41" t="e">
        <f t="shared" si="5"/>
        <v>#DIV/0!</v>
      </c>
      <c r="N32" s="41" t="e">
        <f t="shared" si="5"/>
        <v>#DIV/0!</v>
      </c>
      <c r="O32" s="41" t="e">
        <f t="shared" si="5"/>
        <v>#DIV/0!</v>
      </c>
      <c r="P32" s="41" t="e">
        <f t="shared" si="5"/>
        <v>#DIV/0!</v>
      </c>
      <c r="Q32" s="41" t="e">
        <f t="shared" si="5"/>
        <v>#DIV/0!</v>
      </c>
      <c r="R32" s="41" t="e">
        <f t="shared" si="5"/>
        <v>#DIV/0!</v>
      </c>
      <c r="S32" s="41" t="e">
        <f t="shared" si="5"/>
        <v>#DIV/0!</v>
      </c>
      <c r="T32" s="41" t="e">
        <f t="shared" si="5"/>
        <v>#DIV/0!</v>
      </c>
      <c r="U32" s="41" t="e">
        <f t="shared" si="5"/>
        <v>#DIV/0!</v>
      </c>
    </row>
    <row r="33" spans="1:17" ht="13.5" outlineLevel="1">
      <c r="A33" s="113" t="s">
        <v>35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00" ht="13.5" outlineLevel="1">
      <c r="A34" s="116" t="s">
        <v>637</v>
      </c>
      <c r="B34" s="1956" t="s">
        <v>691</v>
      </c>
      <c r="C34" s="1956"/>
      <c r="D34" s="1956"/>
      <c r="E34" s="1956"/>
      <c r="F34" s="1956"/>
      <c r="G34" s="1956"/>
      <c r="H34" s="1956"/>
      <c r="I34" s="1956"/>
      <c r="J34" s="1956"/>
      <c r="K34" s="1956"/>
      <c r="L34" s="1956"/>
      <c r="M34" s="1956"/>
      <c r="N34" s="1956"/>
      <c r="O34" s="1956"/>
      <c r="P34" s="1956"/>
      <c r="Q34" s="1956"/>
      <c r="R34" s="1956"/>
      <c r="S34" s="1956"/>
      <c r="T34" s="1956"/>
      <c r="U34" s="1956"/>
      <c r="V34" s="1956"/>
      <c r="W34" s="1956"/>
      <c r="X34" s="1956"/>
      <c r="Y34" s="1956"/>
      <c r="Z34" s="1956"/>
      <c r="AA34" s="1956"/>
      <c r="AB34" s="1956"/>
      <c r="AC34" s="1956"/>
      <c r="AD34" s="1956"/>
      <c r="AE34" s="1956"/>
      <c r="AF34" s="1956"/>
      <c r="AG34" s="1956"/>
      <c r="AH34" s="1956"/>
      <c r="AI34" s="1956"/>
      <c r="AJ34" s="1956"/>
      <c r="AK34" s="1956"/>
      <c r="AL34" s="1956"/>
      <c r="AM34" s="1956"/>
      <c r="AN34" s="1956"/>
      <c r="AO34" s="1956"/>
      <c r="AP34" s="1956"/>
      <c r="AQ34" s="1956"/>
      <c r="AR34" s="1956"/>
      <c r="AS34" s="1956"/>
      <c r="AT34" s="1956"/>
      <c r="AU34" s="1956"/>
      <c r="AV34" s="1956"/>
      <c r="AW34" s="1956"/>
      <c r="AX34" s="1956"/>
      <c r="AY34" s="1956"/>
      <c r="AZ34" s="1956"/>
      <c r="BA34" s="1956"/>
      <c r="BB34" s="1956"/>
      <c r="BC34" s="1956"/>
      <c r="BD34" s="1956"/>
      <c r="BE34" s="1956"/>
      <c r="BF34" s="1956"/>
      <c r="BG34" s="1956"/>
      <c r="BH34" s="1956"/>
      <c r="BI34" s="1956"/>
      <c r="BJ34" s="1956"/>
      <c r="BK34" s="1956"/>
      <c r="BL34" s="1956"/>
      <c r="BM34" s="1956"/>
      <c r="BN34" s="1956"/>
      <c r="BO34" s="1956"/>
      <c r="BP34" s="1956"/>
      <c r="BQ34" s="1956"/>
      <c r="BR34" s="1956"/>
      <c r="BS34" s="1956"/>
      <c r="BT34" s="1956"/>
      <c r="BU34" s="1956"/>
      <c r="BV34" s="1956"/>
      <c r="BW34" s="1956"/>
      <c r="BX34" s="1956"/>
      <c r="BY34" s="1956"/>
      <c r="BZ34" s="1956"/>
      <c r="CA34" s="1956"/>
      <c r="CB34" s="1956"/>
      <c r="CC34" s="1956"/>
      <c r="CD34" s="1956"/>
      <c r="CE34" s="1956"/>
      <c r="CF34" s="1956"/>
      <c r="CG34" s="1956"/>
      <c r="CH34" s="1956"/>
      <c r="CI34" s="1956"/>
      <c r="CJ34" s="1956"/>
      <c r="CK34" s="1956"/>
      <c r="CL34" s="1956"/>
      <c r="CM34" s="1956"/>
      <c r="CN34" s="1956"/>
      <c r="CO34" s="1956"/>
      <c r="CP34" s="1956"/>
      <c r="CQ34" s="1956"/>
      <c r="CR34" s="1956"/>
      <c r="CS34" s="1956"/>
      <c r="CT34" s="1956"/>
      <c r="CU34" s="1956"/>
      <c r="CV34" s="1956"/>
    </row>
    <row r="35" spans="1:100" ht="13.5" outlineLevel="1">
      <c r="A35" s="116" t="s">
        <v>639</v>
      </c>
      <c r="B35" s="1956" t="s">
        <v>1282</v>
      </c>
      <c r="C35" s="1956"/>
      <c r="D35" s="1956"/>
      <c r="E35" s="1956"/>
      <c r="F35" s="1956"/>
      <c r="G35" s="1956"/>
      <c r="H35" s="1956"/>
      <c r="I35" s="1956"/>
      <c r="J35" s="1956"/>
      <c r="K35" s="1956"/>
      <c r="L35" s="1956"/>
      <c r="M35" s="1956"/>
      <c r="N35" s="1956"/>
      <c r="O35" s="1956"/>
      <c r="P35" s="1956"/>
      <c r="Q35" s="1956"/>
      <c r="R35" s="1956"/>
      <c r="S35" s="1956"/>
      <c r="T35" s="1956"/>
      <c r="U35" s="1956"/>
      <c r="V35" s="1956"/>
      <c r="W35" s="1956"/>
      <c r="X35" s="1956"/>
      <c r="Y35" s="1956"/>
      <c r="Z35" s="1956"/>
      <c r="AA35" s="1956"/>
      <c r="AB35" s="1956"/>
      <c r="AC35" s="1956"/>
      <c r="AD35" s="1956"/>
      <c r="AE35" s="1956"/>
      <c r="AF35" s="1956"/>
      <c r="AG35" s="1956"/>
      <c r="AH35" s="1956"/>
      <c r="AI35" s="1956"/>
      <c r="AJ35" s="1956"/>
      <c r="AK35" s="1956"/>
      <c r="AL35" s="1956"/>
      <c r="AM35" s="1956"/>
      <c r="AN35" s="1956"/>
      <c r="AO35" s="1956"/>
      <c r="AP35" s="1956"/>
      <c r="AQ35" s="1956"/>
      <c r="AR35" s="1956"/>
      <c r="AS35" s="1956"/>
      <c r="AT35" s="1956"/>
      <c r="AU35" s="1956"/>
      <c r="AV35" s="1956"/>
      <c r="AW35" s="1956"/>
      <c r="AX35" s="1956"/>
      <c r="AY35" s="1956"/>
      <c r="AZ35" s="1956"/>
      <c r="BA35" s="1956"/>
      <c r="BB35" s="1956"/>
      <c r="BC35" s="1956"/>
      <c r="BD35" s="1956"/>
      <c r="BE35" s="1956"/>
      <c r="BF35" s="1956"/>
      <c r="BG35" s="1956"/>
      <c r="BH35" s="1956"/>
      <c r="BI35" s="1956"/>
      <c r="BJ35" s="1956"/>
      <c r="BK35" s="1956"/>
      <c r="BL35" s="1956"/>
      <c r="BM35" s="1956"/>
      <c r="BN35" s="1956"/>
      <c r="BO35" s="1956"/>
      <c r="BP35" s="1956"/>
      <c r="BQ35" s="1956"/>
      <c r="BR35" s="1956"/>
      <c r="BS35" s="1956"/>
      <c r="BT35" s="1956"/>
      <c r="BU35" s="1956"/>
      <c r="BV35" s="1956"/>
      <c r="BW35" s="1956"/>
      <c r="BX35" s="1956"/>
      <c r="BY35" s="1956"/>
      <c r="BZ35" s="1956"/>
      <c r="CA35" s="1956"/>
      <c r="CB35" s="1956"/>
      <c r="CC35" s="1956"/>
      <c r="CD35" s="1956"/>
      <c r="CE35" s="1956"/>
      <c r="CF35" s="1956"/>
      <c r="CG35" s="1956"/>
      <c r="CH35" s="1956"/>
      <c r="CI35" s="1956"/>
      <c r="CJ35" s="1956"/>
      <c r="CK35" s="1956"/>
      <c r="CL35" s="1956"/>
      <c r="CM35" s="1956"/>
      <c r="CN35" s="1956"/>
      <c r="CO35" s="1956"/>
      <c r="CP35" s="1956"/>
      <c r="CQ35" s="1956"/>
      <c r="CR35" s="1956"/>
      <c r="CS35" s="1956"/>
      <c r="CT35" s="1956"/>
      <c r="CU35" s="1956"/>
      <c r="CV35" s="1956"/>
    </row>
    <row r="36" spans="1:100" ht="13.5" outlineLevel="1">
      <c r="A36" s="139" t="s">
        <v>640</v>
      </c>
      <c r="B36" s="113" t="s">
        <v>1283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</row>
    <row r="37" spans="1:100" ht="13.5" outlineLevel="1">
      <c r="A37" s="139" t="s">
        <v>641</v>
      </c>
      <c r="B37" s="113" t="s">
        <v>1284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</row>
    <row r="38" spans="1:100" ht="13.5" outlineLevel="1">
      <c r="A38" s="139" t="s">
        <v>642</v>
      </c>
      <c r="B38" s="113" t="s">
        <v>1285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</row>
    <row r="39" spans="1:100" ht="13.5" outlineLevel="1">
      <c r="A39" s="139" t="s">
        <v>643</v>
      </c>
      <c r="B39" s="113" t="s">
        <v>1209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</row>
    <row r="40" spans="1:100" ht="13.5" outlineLevel="1">
      <c r="A40" s="139" t="s">
        <v>644</v>
      </c>
      <c r="B40" s="113" t="s">
        <v>1210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</row>
    <row r="41" spans="1:100" ht="13.5" outlineLevel="1">
      <c r="A41" s="116" t="s">
        <v>645</v>
      </c>
      <c r="B41" s="1956" t="s">
        <v>1574</v>
      </c>
      <c r="C41" s="1956"/>
      <c r="D41" s="1956"/>
      <c r="E41" s="1956"/>
      <c r="F41" s="1956"/>
      <c r="G41" s="1956"/>
      <c r="H41" s="1956"/>
      <c r="I41" s="1956"/>
      <c r="J41" s="1956"/>
      <c r="K41" s="1956"/>
      <c r="L41" s="1956"/>
      <c r="M41" s="1956"/>
      <c r="N41" s="1956"/>
      <c r="O41" s="1956"/>
      <c r="P41" s="1956"/>
      <c r="Q41" s="1956"/>
      <c r="R41" s="1956"/>
      <c r="S41" s="1956"/>
      <c r="T41" s="1956"/>
      <c r="U41" s="1956"/>
      <c r="V41" s="1956"/>
      <c r="W41" s="1956"/>
      <c r="X41" s="1956"/>
      <c r="Y41" s="1956"/>
      <c r="Z41" s="1956"/>
      <c r="AA41" s="1956"/>
      <c r="AB41" s="1956"/>
      <c r="AC41" s="1956"/>
      <c r="AD41" s="1956"/>
      <c r="AE41" s="1956"/>
      <c r="AF41" s="1956"/>
      <c r="AG41" s="1956"/>
      <c r="AH41" s="1956"/>
      <c r="AI41" s="1956"/>
      <c r="AJ41" s="1956"/>
      <c r="AK41" s="1956"/>
      <c r="AL41" s="1956"/>
      <c r="AM41" s="1956"/>
      <c r="AN41" s="1956"/>
      <c r="AO41" s="1956"/>
      <c r="AP41" s="1956"/>
      <c r="AQ41" s="1956"/>
      <c r="AR41" s="1956"/>
      <c r="AS41" s="1956"/>
      <c r="AT41" s="1956"/>
      <c r="AU41" s="1956"/>
      <c r="AV41" s="1956"/>
      <c r="AW41" s="1956"/>
      <c r="AX41" s="1956"/>
      <c r="AY41" s="1956"/>
      <c r="AZ41" s="1956"/>
      <c r="BA41" s="1956"/>
      <c r="BB41" s="1956"/>
      <c r="BC41" s="1956"/>
      <c r="BD41" s="1956"/>
      <c r="BE41" s="1956"/>
      <c r="BF41" s="1956"/>
      <c r="BG41" s="1956"/>
      <c r="BH41" s="1956"/>
      <c r="BI41" s="1956"/>
      <c r="BJ41" s="1956"/>
      <c r="BK41" s="1956"/>
      <c r="BL41" s="1956"/>
      <c r="BM41" s="1956"/>
      <c r="BN41" s="1956"/>
      <c r="BO41" s="1956"/>
      <c r="BP41" s="1956"/>
      <c r="BQ41" s="1956"/>
      <c r="BR41" s="1956"/>
      <c r="BS41" s="1956"/>
      <c r="BT41" s="1956"/>
      <c r="BU41" s="1956"/>
      <c r="BV41" s="1956"/>
      <c r="BW41" s="1956"/>
      <c r="BX41" s="1956"/>
      <c r="BY41" s="1956"/>
      <c r="BZ41" s="1956"/>
      <c r="CA41" s="1956"/>
      <c r="CB41" s="1956"/>
      <c r="CC41" s="1956"/>
      <c r="CD41" s="1956"/>
      <c r="CE41" s="1956"/>
      <c r="CF41" s="1956"/>
      <c r="CG41" s="1956"/>
      <c r="CH41" s="1956"/>
      <c r="CI41" s="1956"/>
      <c r="CJ41" s="1956"/>
      <c r="CK41" s="1956"/>
      <c r="CL41" s="1956"/>
      <c r="CM41" s="1956"/>
      <c r="CN41" s="1956"/>
      <c r="CO41" s="1956"/>
      <c r="CP41" s="1956"/>
      <c r="CQ41" s="1956"/>
      <c r="CR41" s="1956"/>
      <c r="CS41" s="1956"/>
      <c r="CT41" s="1956"/>
      <c r="CU41" s="1956"/>
      <c r="CV41" s="1956"/>
    </row>
  </sheetData>
  <sheetProtection/>
  <mergeCells count="22">
    <mergeCell ref="B34:CV34"/>
    <mergeCell ref="J8:L8"/>
    <mergeCell ref="G8:I8"/>
    <mergeCell ref="N8:N9"/>
    <mergeCell ref="B41:CV41"/>
    <mergeCell ref="P7:U7"/>
    <mergeCell ref="P8:R8"/>
    <mergeCell ref="S8:U8"/>
    <mergeCell ref="M8:M9"/>
    <mergeCell ref="O8:O9"/>
    <mergeCell ref="M7:O7"/>
    <mergeCell ref="B35:CV35"/>
    <mergeCell ref="E8:E9"/>
    <mergeCell ref="F8:F9"/>
    <mergeCell ref="A6:A9"/>
    <mergeCell ref="B6:B9"/>
    <mergeCell ref="C6:C9"/>
    <mergeCell ref="D8:D9"/>
    <mergeCell ref="M6:U6"/>
    <mergeCell ref="D7:F7"/>
    <mergeCell ref="D6:L6"/>
    <mergeCell ref="G7:L7"/>
  </mergeCells>
  <printOptions/>
  <pageMargins left="0.2" right="0.1968503937007874" top="0.7480314960629921" bottom="0.3937007874015748" header="0.31496062992125984" footer="0.31496062992125984"/>
  <pageSetup fitToHeight="1" fitToWidth="1" horizontalDpi="600" verticalDpi="600" orientation="landscape" paperSize="9" scale="3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E48"/>
  <sheetViews>
    <sheetView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"/>
    </sheetView>
  </sheetViews>
  <sheetFormatPr defaultColWidth="9.140625" defaultRowHeight="15" outlineLevelRow="1"/>
  <cols>
    <col min="1" max="1" width="3.8515625" style="1" customWidth="1"/>
    <col min="2" max="2" width="27.140625" style="1" customWidth="1"/>
    <col min="3" max="3" width="9.7109375" style="1" customWidth="1"/>
    <col min="4" max="4" width="12.7109375" style="1" customWidth="1"/>
    <col min="5" max="6" width="9.7109375" style="1" customWidth="1"/>
    <col min="7" max="7" width="14.28125" style="1" customWidth="1"/>
    <col min="8" max="8" width="11.7109375" style="1" customWidth="1"/>
    <col min="9" max="9" width="12.57421875" style="1" customWidth="1"/>
    <col min="10" max="11" width="11.7109375" style="1" customWidth="1"/>
    <col min="12" max="12" width="14.00390625" style="1" customWidth="1"/>
    <col min="13" max="17" width="11.8515625" style="1" customWidth="1"/>
    <col min="18" max="22" width="11.7109375" style="1" customWidth="1"/>
    <col min="23" max="32" width="12.00390625" style="1" customWidth="1"/>
    <col min="33" max="33" width="13.00390625" style="1" customWidth="1"/>
    <col min="34" max="34" width="13.421875" style="1" customWidth="1"/>
    <col min="35" max="36" width="9.140625" style="1" customWidth="1"/>
    <col min="37" max="37" width="12.140625" style="1" customWidth="1"/>
    <col min="38" max="38" width="10.28125" style="1" customWidth="1"/>
    <col min="39" max="39" width="12.57421875" style="1" customWidth="1"/>
    <col min="40" max="41" width="9.140625" style="1" customWidth="1"/>
    <col min="42" max="43" width="12.140625" style="1" customWidth="1"/>
    <col min="44" max="44" width="10.57421875" style="1" customWidth="1"/>
    <col min="45" max="45" width="11.140625" style="1" customWidth="1"/>
    <col min="46" max="46" width="9.140625" style="1" customWidth="1"/>
    <col min="47" max="47" width="14.00390625" style="1" customWidth="1"/>
    <col min="48" max="16384" width="9.140625" style="1" customWidth="1"/>
  </cols>
  <sheetData>
    <row r="1" spans="1:47" ht="15" customHeight="1">
      <c r="A1" s="52" t="s">
        <v>1280</v>
      </c>
      <c r="B1" s="52"/>
      <c r="C1" s="52"/>
      <c r="D1" s="52"/>
      <c r="E1" s="52"/>
      <c r="F1" s="52"/>
      <c r="G1" s="52"/>
      <c r="H1" s="52"/>
      <c r="I1" s="64"/>
      <c r="J1" s="64"/>
      <c r="K1" s="64"/>
      <c r="L1" s="64"/>
      <c r="AG1" s="2160"/>
      <c r="AH1" s="2160"/>
      <c r="AO1" s="52"/>
      <c r="AP1" s="52"/>
      <c r="AT1" s="2035" t="s">
        <v>1695</v>
      </c>
      <c r="AU1" s="2035"/>
    </row>
    <row r="2" spans="1:12" ht="12.75">
      <c r="A2" s="52" t="s">
        <v>657</v>
      </c>
      <c r="B2" s="52"/>
      <c r="C2" s="52"/>
      <c r="D2" s="52"/>
      <c r="E2" s="52"/>
      <c r="F2" s="52"/>
      <c r="G2" s="52"/>
      <c r="H2" s="52"/>
      <c r="I2" s="37"/>
      <c r="J2" s="37"/>
      <c r="K2" s="37"/>
      <c r="L2" s="37"/>
    </row>
    <row r="4" spans="1:47" ht="16.5" customHeight="1">
      <c r="A4" s="131" t="s">
        <v>1696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6" spans="1:47" ht="12.75">
      <c r="A6" s="2006" t="s">
        <v>1008</v>
      </c>
      <c r="B6" s="2029" t="s">
        <v>1016</v>
      </c>
      <c r="C6" s="2141" t="s">
        <v>1005</v>
      </c>
      <c r="D6" s="2142"/>
      <c r="E6" s="2142"/>
      <c r="F6" s="2142"/>
      <c r="G6" s="2142"/>
      <c r="H6" s="2142"/>
      <c r="I6" s="2142"/>
      <c r="J6" s="2142"/>
      <c r="K6" s="2142"/>
      <c r="L6" s="2142"/>
      <c r="M6" s="2142"/>
      <c r="N6" s="2142"/>
      <c r="O6" s="2142"/>
      <c r="P6" s="2142"/>
      <c r="Q6" s="2143"/>
      <c r="R6" s="2141" t="s">
        <v>1007</v>
      </c>
      <c r="S6" s="2142"/>
      <c r="T6" s="2142"/>
      <c r="U6" s="2142"/>
      <c r="V6" s="2142"/>
      <c r="W6" s="2142"/>
      <c r="X6" s="2142"/>
      <c r="Y6" s="2142"/>
      <c r="Z6" s="2142"/>
      <c r="AA6" s="2142"/>
      <c r="AB6" s="2142"/>
      <c r="AC6" s="2142"/>
      <c r="AD6" s="2142"/>
      <c r="AE6" s="2142"/>
      <c r="AF6" s="2142"/>
      <c r="AG6" s="2142"/>
      <c r="AH6" s="2142"/>
      <c r="AI6" s="2142"/>
      <c r="AJ6" s="2142"/>
      <c r="AK6" s="2142"/>
      <c r="AL6" s="2142"/>
      <c r="AM6" s="2142"/>
      <c r="AN6" s="2142"/>
      <c r="AO6" s="2142"/>
      <c r="AP6" s="2142"/>
      <c r="AQ6" s="2142"/>
      <c r="AR6" s="2142"/>
      <c r="AS6" s="2142"/>
      <c r="AT6" s="2142"/>
      <c r="AU6" s="2143"/>
    </row>
    <row r="7" spans="1:47" ht="12.75" customHeight="1">
      <c r="A7" s="2007"/>
      <c r="B7" s="2010"/>
      <c r="C7" s="2029" t="s">
        <v>704</v>
      </c>
      <c r="D7" s="2030"/>
      <c r="E7" s="2030"/>
      <c r="F7" s="2030"/>
      <c r="G7" s="2020"/>
      <c r="H7" s="2029" t="s">
        <v>705</v>
      </c>
      <c r="I7" s="2030"/>
      <c r="J7" s="2030"/>
      <c r="K7" s="2030"/>
      <c r="L7" s="2020"/>
      <c r="M7" s="2029" t="s">
        <v>706</v>
      </c>
      <c r="N7" s="2030"/>
      <c r="O7" s="2030"/>
      <c r="P7" s="2030"/>
      <c r="Q7" s="2020"/>
      <c r="R7" s="2024" t="s">
        <v>159</v>
      </c>
      <c r="S7" s="2025"/>
      <c r="T7" s="2025"/>
      <c r="U7" s="2025"/>
      <c r="V7" s="2025"/>
      <c r="W7" s="2025"/>
      <c r="X7" s="2025"/>
      <c r="Y7" s="2025"/>
      <c r="Z7" s="2025"/>
      <c r="AA7" s="2025"/>
      <c r="AB7" s="2025"/>
      <c r="AC7" s="2025"/>
      <c r="AD7" s="2025"/>
      <c r="AE7" s="2025"/>
      <c r="AF7" s="2026"/>
      <c r="AG7" s="2024" t="s">
        <v>197</v>
      </c>
      <c r="AH7" s="2025"/>
      <c r="AI7" s="2025"/>
      <c r="AJ7" s="2025"/>
      <c r="AK7" s="2025"/>
      <c r="AL7" s="2025"/>
      <c r="AM7" s="2025"/>
      <c r="AN7" s="2025"/>
      <c r="AO7" s="2025"/>
      <c r="AP7" s="2025"/>
      <c r="AQ7" s="2025"/>
      <c r="AR7" s="2025"/>
      <c r="AS7" s="2025"/>
      <c r="AT7" s="2025"/>
      <c r="AU7" s="2026"/>
    </row>
    <row r="8" spans="1:47" ht="12.75" customHeight="1">
      <c r="A8" s="2007"/>
      <c r="B8" s="2010"/>
      <c r="C8" s="2021"/>
      <c r="D8" s="2022"/>
      <c r="E8" s="2022"/>
      <c r="F8" s="2022"/>
      <c r="G8" s="2023"/>
      <c r="H8" s="2021"/>
      <c r="I8" s="2022"/>
      <c r="J8" s="2022"/>
      <c r="K8" s="2022"/>
      <c r="L8" s="2023"/>
      <c r="M8" s="2021"/>
      <c r="N8" s="2022"/>
      <c r="O8" s="2022"/>
      <c r="P8" s="2022"/>
      <c r="Q8" s="2023"/>
      <c r="R8" s="2005" t="s">
        <v>142</v>
      </c>
      <c r="S8" s="2005"/>
      <c r="T8" s="2005"/>
      <c r="U8" s="2005"/>
      <c r="V8" s="2005"/>
      <c r="W8" s="2024" t="s">
        <v>707</v>
      </c>
      <c r="X8" s="2025"/>
      <c r="Y8" s="2025"/>
      <c r="Z8" s="2025"/>
      <c r="AA8" s="2026"/>
      <c r="AB8" s="2024" t="s">
        <v>708</v>
      </c>
      <c r="AC8" s="2025"/>
      <c r="AD8" s="2025"/>
      <c r="AE8" s="2025"/>
      <c r="AF8" s="2026"/>
      <c r="AG8" s="2005" t="s">
        <v>707</v>
      </c>
      <c r="AH8" s="2005"/>
      <c r="AI8" s="2005"/>
      <c r="AJ8" s="2005"/>
      <c r="AK8" s="2005"/>
      <c r="AL8" s="2024" t="s">
        <v>708</v>
      </c>
      <c r="AM8" s="2025"/>
      <c r="AN8" s="2025"/>
      <c r="AO8" s="2025"/>
      <c r="AP8" s="2026"/>
      <c r="AQ8" s="2024" t="s">
        <v>142</v>
      </c>
      <c r="AR8" s="2025"/>
      <c r="AS8" s="2025"/>
      <c r="AT8" s="2025"/>
      <c r="AU8" s="2026"/>
    </row>
    <row r="9" spans="1:47" ht="105">
      <c r="A9" s="2003"/>
      <c r="B9" s="2021"/>
      <c r="C9" s="43" t="s">
        <v>1687</v>
      </c>
      <c r="D9" s="43" t="s">
        <v>1688</v>
      </c>
      <c r="E9" s="43" t="s">
        <v>1435</v>
      </c>
      <c r="F9" s="43" t="s">
        <v>1689</v>
      </c>
      <c r="G9" s="43" t="s">
        <v>1690</v>
      </c>
      <c r="H9" s="43" t="s">
        <v>1687</v>
      </c>
      <c r="I9" s="43" t="s">
        <v>1688</v>
      </c>
      <c r="J9" s="43" t="s">
        <v>1435</v>
      </c>
      <c r="K9" s="43" t="s">
        <v>1689</v>
      </c>
      <c r="L9" s="43" t="s">
        <v>1690</v>
      </c>
      <c r="M9" s="43" t="s">
        <v>1687</v>
      </c>
      <c r="N9" s="43" t="s">
        <v>1688</v>
      </c>
      <c r="O9" s="43" t="s">
        <v>1435</v>
      </c>
      <c r="P9" s="43" t="s">
        <v>1689</v>
      </c>
      <c r="Q9" s="43" t="s">
        <v>1690</v>
      </c>
      <c r="R9" s="43" t="s">
        <v>1687</v>
      </c>
      <c r="S9" s="43" t="s">
        <v>1688</v>
      </c>
      <c r="T9" s="43" t="s">
        <v>1435</v>
      </c>
      <c r="U9" s="43" t="s">
        <v>1689</v>
      </c>
      <c r="V9" s="43" t="s">
        <v>1690</v>
      </c>
      <c r="W9" s="43" t="s">
        <v>1687</v>
      </c>
      <c r="X9" s="43" t="s">
        <v>1688</v>
      </c>
      <c r="Y9" s="43" t="s">
        <v>1435</v>
      </c>
      <c r="Z9" s="43" t="s">
        <v>1689</v>
      </c>
      <c r="AA9" s="43" t="s">
        <v>1690</v>
      </c>
      <c r="AB9" s="43" t="s">
        <v>1687</v>
      </c>
      <c r="AC9" s="43" t="s">
        <v>1688</v>
      </c>
      <c r="AD9" s="43" t="s">
        <v>1435</v>
      </c>
      <c r="AE9" s="43" t="s">
        <v>1689</v>
      </c>
      <c r="AF9" s="43" t="s">
        <v>1690</v>
      </c>
      <c r="AG9" s="43" t="s">
        <v>1687</v>
      </c>
      <c r="AH9" s="43" t="s">
        <v>1688</v>
      </c>
      <c r="AI9" s="43" t="s">
        <v>1435</v>
      </c>
      <c r="AJ9" s="43" t="s">
        <v>1689</v>
      </c>
      <c r="AK9" s="43" t="s">
        <v>1690</v>
      </c>
      <c r="AL9" s="43" t="s">
        <v>1687</v>
      </c>
      <c r="AM9" s="43" t="s">
        <v>1688</v>
      </c>
      <c r="AN9" s="43" t="s">
        <v>1435</v>
      </c>
      <c r="AO9" s="43" t="s">
        <v>1689</v>
      </c>
      <c r="AP9" s="43" t="s">
        <v>1690</v>
      </c>
      <c r="AQ9" s="43" t="s">
        <v>1687</v>
      </c>
      <c r="AR9" s="43" t="s">
        <v>1688</v>
      </c>
      <c r="AS9" s="43" t="s">
        <v>1435</v>
      </c>
      <c r="AT9" s="43" t="s">
        <v>1689</v>
      </c>
      <c r="AU9" s="43" t="s">
        <v>1690</v>
      </c>
    </row>
    <row r="10" spans="1:47" ht="12.75">
      <c r="A10" s="43">
        <v>1</v>
      </c>
      <c r="B10" s="49">
        <v>2</v>
      </c>
      <c r="C10" s="43">
        <v>3</v>
      </c>
      <c r="D10" s="43">
        <v>4</v>
      </c>
      <c r="E10" s="49">
        <v>5</v>
      </c>
      <c r="F10" s="43">
        <v>6</v>
      </c>
      <c r="G10" s="43">
        <v>7</v>
      </c>
      <c r="H10" s="49">
        <v>8</v>
      </c>
      <c r="I10" s="43">
        <v>9</v>
      </c>
      <c r="J10" s="43">
        <v>10</v>
      </c>
      <c r="K10" s="49">
        <v>11</v>
      </c>
      <c r="L10" s="43">
        <v>12</v>
      </c>
      <c r="M10" s="43">
        <v>13</v>
      </c>
      <c r="N10" s="49">
        <v>14</v>
      </c>
      <c r="O10" s="43">
        <v>15</v>
      </c>
      <c r="P10" s="43">
        <v>16</v>
      </c>
      <c r="Q10" s="49">
        <v>17</v>
      </c>
      <c r="R10" s="43">
        <v>18</v>
      </c>
      <c r="S10" s="43">
        <v>19</v>
      </c>
      <c r="T10" s="49">
        <v>20</v>
      </c>
      <c r="U10" s="43">
        <v>21</v>
      </c>
      <c r="V10" s="43">
        <v>22</v>
      </c>
      <c r="W10" s="49">
        <v>23</v>
      </c>
      <c r="X10" s="43">
        <v>24</v>
      </c>
      <c r="Y10" s="43">
        <v>25</v>
      </c>
      <c r="Z10" s="49">
        <v>26</v>
      </c>
      <c r="AA10" s="43">
        <v>27</v>
      </c>
      <c r="AB10" s="43">
        <v>28</v>
      </c>
      <c r="AC10" s="49">
        <v>29</v>
      </c>
      <c r="AD10" s="43">
        <v>30</v>
      </c>
      <c r="AE10" s="43">
        <v>31</v>
      </c>
      <c r="AF10" s="49">
        <v>32</v>
      </c>
      <c r="AG10" s="43">
        <v>33</v>
      </c>
      <c r="AH10" s="43">
        <v>34</v>
      </c>
      <c r="AI10" s="49">
        <v>35</v>
      </c>
      <c r="AJ10" s="43">
        <v>36</v>
      </c>
      <c r="AK10" s="43">
        <v>37</v>
      </c>
      <c r="AL10" s="49">
        <v>38</v>
      </c>
      <c r="AM10" s="43">
        <v>39</v>
      </c>
      <c r="AN10" s="43">
        <v>40</v>
      </c>
      <c r="AO10" s="49">
        <v>41</v>
      </c>
      <c r="AP10" s="43">
        <v>42</v>
      </c>
      <c r="AQ10" s="43">
        <v>43</v>
      </c>
      <c r="AR10" s="49">
        <v>44</v>
      </c>
      <c r="AS10" s="43">
        <v>45</v>
      </c>
      <c r="AT10" s="43">
        <v>46</v>
      </c>
      <c r="AU10" s="49">
        <v>47</v>
      </c>
    </row>
    <row r="11" spans="1:47" ht="26.25">
      <c r="A11" s="86" t="s">
        <v>1017</v>
      </c>
      <c r="B11" s="26" t="s">
        <v>1438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ht="12.75">
      <c r="A12" s="14" t="s">
        <v>1009</v>
      </c>
      <c r="B12" s="61" t="s">
        <v>664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ht="26.25">
      <c r="A13" s="14" t="s">
        <v>145</v>
      </c>
      <c r="B13" s="61" t="s">
        <v>1439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ht="26.25">
      <c r="A14" s="14" t="s">
        <v>146</v>
      </c>
      <c r="B14" s="61" t="s">
        <v>1440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ht="26.25">
      <c r="A15" s="14" t="s">
        <v>631</v>
      </c>
      <c r="B15" s="61" t="s">
        <v>1441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ht="26.25">
      <c r="A16" s="14" t="s">
        <v>632</v>
      </c>
      <c r="B16" s="61" t="s">
        <v>1442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ht="26.25">
      <c r="A17" s="14" t="s">
        <v>633</v>
      </c>
      <c r="B17" s="61" t="s">
        <v>600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ht="12.75">
      <c r="A18" s="14"/>
      <c r="B18" s="6" t="s">
        <v>1006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ht="18" customHeight="1">
      <c r="A19" s="86" t="s">
        <v>854</v>
      </c>
      <c r="B19" s="26" t="s">
        <v>1443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ht="12.75">
      <c r="A20" s="14"/>
      <c r="B20" s="26" t="s">
        <v>1006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ht="52.5">
      <c r="A21" s="14" t="s">
        <v>725</v>
      </c>
      <c r="B21" s="21" t="s">
        <v>1691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ht="12.75">
      <c r="A22" s="14"/>
      <c r="B22" s="61" t="s">
        <v>664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ht="26.25">
      <c r="A23" s="14"/>
      <c r="B23" s="61" t="s">
        <v>1439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ht="26.25">
      <c r="A24" s="14"/>
      <c r="B24" s="61" t="s">
        <v>1440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ht="26.25">
      <c r="A25" s="14"/>
      <c r="B25" s="61" t="s">
        <v>1441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47" ht="26.25">
      <c r="A26" s="14"/>
      <c r="B26" s="61" t="s">
        <v>1442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7" ht="26.25">
      <c r="A27" s="14"/>
      <c r="B27" s="61" t="s">
        <v>600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</row>
    <row r="28" spans="1:47" ht="66">
      <c r="A28" s="14" t="s">
        <v>1692</v>
      </c>
      <c r="B28" s="6" t="s">
        <v>1693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</row>
    <row r="29" spans="1:47" ht="12.75">
      <c r="A29" s="14"/>
      <c r="B29" s="61" t="s">
        <v>664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47" ht="12.75">
      <c r="A30" s="14"/>
      <c r="B30" s="61" t="s">
        <v>665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ht="12.75">
      <c r="A31" s="14" t="s">
        <v>1694</v>
      </c>
      <c r="B31" s="85" t="s">
        <v>1006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ht="12.75" hidden="1" outlineLevel="1">
      <c r="A32" s="141" t="s">
        <v>35</v>
      </c>
    </row>
    <row r="33" spans="1:161" ht="12.75" hidden="1" outlineLevel="1">
      <c r="A33" s="142" t="s">
        <v>637</v>
      </c>
      <c r="B33" s="2161" t="s">
        <v>1516</v>
      </c>
      <c r="C33" s="2161"/>
      <c r="D33" s="2161"/>
      <c r="E33" s="2161"/>
      <c r="F33" s="2161"/>
      <c r="G33" s="2161"/>
      <c r="H33" s="2161"/>
      <c r="I33" s="2161"/>
      <c r="J33" s="2161"/>
      <c r="K33" s="2161"/>
      <c r="L33" s="2161"/>
      <c r="M33" s="2161"/>
      <c r="N33" s="2161"/>
      <c r="O33" s="2161"/>
      <c r="P33" s="2161"/>
      <c r="Q33" s="2161"/>
      <c r="R33" s="2161"/>
      <c r="S33" s="2161"/>
      <c r="T33" s="2161"/>
      <c r="U33" s="2161"/>
      <c r="V33" s="2161"/>
      <c r="W33" s="2161"/>
      <c r="X33" s="2161"/>
      <c r="Y33" s="2161"/>
      <c r="Z33" s="2161"/>
      <c r="AA33" s="2161"/>
      <c r="AB33" s="2161"/>
      <c r="AC33" s="2161"/>
      <c r="AD33" s="2161"/>
      <c r="AE33" s="2161"/>
      <c r="AF33" s="2161"/>
      <c r="AG33" s="2161"/>
      <c r="AH33" s="2161"/>
      <c r="AI33" s="2161"/>
      <c r="AJ33" s="2161"/>
      <c r="AK33" s="2161"/>
      <c r="AL33" s="2161"/>
      <c r="AM33" s="2161"/>
      <c r="AN33" s="2161"/>
      <c r="AO33" s="2161"/>
      <c r="AP33" s="2161"/>
      <c r="AQ33" s="2161"/>
      <c r="AR33" s="2161"/>
      <c r="AS33" s="2161"/>
      <c r="AT33" s="2161"/>
      <c r="AU33" s="2161"/>
      <c r="AV33" s="2161"/>
      <c r="AW33" s="2161"/>
      <c r="AX33" s="2161"/>
      <c r="AY33" s="2161"/>
      <c r="AZ33" s="2161"/>
      <c r="BA33" s="2161"/>
      <c r="BB33" s="2161"/>
      <c r="BC33" s="2161"/>
      <c r="BD33" s="2161"/>
      <c r="BE33" s="2161"/>
      <c r="BF33" s="2161"/>
      <c r="BG33" s="2161"/>
      <c r="BH33" s="2161"/>
      <c r="BI33" s="2161"/>
      <c r="BJ33" s="2161"/>
      <c r="BK33" s="2161"/>
      <c r="BL33" s="2161"/>
      <c r="BM33" s="2161"/>
      <c r="BN33" s="2161"/>
      <c r="BO33" s="2161"/>
      <c r="BP33" s="2161"/>
      <c r="BQ33" s="2161"/>
      <c r="BR33" s="2161"/>
      <c r="BS33" s="2161"/>
      <c r="BT33" s="2161"/>
      <c r="BU33" s="2161"/>
      <c r="BV33" s="2161"/>
      <c r="BW33" s="2161"/>
      <c r="BX33" s="2161"/>
      <c r="BY33" s="2161"/>
      <c r="BZ33" s="2161"/>
      <c r="CA33" s="2161"/>
      <c r="CB33" s="2161"/>
      <c r="CC33" s="2161"/>
      <c r="CD33" s="2161"/>
      <c r="CE33" s="2161"/>
      <c r="CF33" s="2161"/>
      <c r="CG33" s="2161"/>
      <c r="CH33" s="2161"/>
      <c r="CI33" s="2161"/>
      <c r="CJ33" s="2161"/>
      <c r="CK33" s="2161"/>
      <c r="CL33" s="2161"/>
      <c r="CM33" s="2161"/>
      <c r="CN33" s="2161"/>
      <c r="CO33" s="2161"/>
      <c r="CP33" s="2161"/>
      <c r="CQ33" s="2161"/>
      <c r="CR33" s="2161"/>
      <c r="CS33" s="2161"/>
      <c r="CT33" s="2161"/>
      <c r="CU33" s="2161"/>
      <c r="CV33" s="2161"/>
      <c r="CW33" s="2161"/>
      <c r="CX33" s="2161"/>
      <c r="CY33" s="2161"/>
      <c r="CZ33" s="2161"/>
      <c r="DA33" s="2161"/>
      <c r="DB33" s="2161"/>
      <c r="DC33" s="2161"/>
      <c r="DD33" s="2161"/>
      <c r="DE33" s="2161"/>
      <c r="DF33" s="2161"/>
      <c r="DG33" s="2161"/>
      <c r="DH33" s="2161"/>
      <c r="DI33" s="2161"/>
      <c r="DJ33" s="2161"/>
      <c r="DK33" s="2161"/>
      <c r="DL33" s="2161"/>
      <c r="DM33" s="2161"/>
      <c r="DN33" s="2161"/>
      <c r="DO33" s="2161"/>
      <c r="DP33" s="2161"/>
      <c r="DQ33" s="2161"/>
      <c r="DR33" s="2161"/>
      <c r="DS33" s="2161"/>
      <c r="DT33" s="2161"/>
      <c r="DU33" s="2161"/>
      <c r="DV33" s="2161"/>
      <c r="DW33" s="2161"/>
      <c r="DX33" s="2161"/>
      <c r="DY33" s="2161"/>
      <c r="DZ33" s="2161"/>
      <c r="EA33" s="2161"/>
      <c r="EB33" s="2161"/>
      <c r="EC33" s="2161"/>
      <c r="ED33" s="2161"/>
      <c r="EE33" s="2161"/>
      <c r="EF33" s="2161"/>
      <c r="EG33" s="2161"/>
      <c r="EH33" s="2161"/>
      <c r="EI33" s="2161"/>
      <c r="EJ33" s="2161"/>
      <c r="EK33" s="2161"/>
      <c r="EL33" s="2161"/>
      <c r="EM33" s="2161"/>
      <c r="EN33" s="2161"/>
      <c r="EO33" s="2161"/>
      <c r="EP33" s="2161"/>
      <c r="EQ33" s="2161"/>
      <c r="ER33" s="2161"/>
      <c r="ES33" s="2161"/>
      <c r="ET33" s="2161"/>
      <c r="EU33" s="2161"/>
      <c r="EV33" s="2161"/>
      <c r="EW33" s="2161"/>
      <c r="EX33" s="2161"/>
      <c r="EY33" s="2161"/>
      <c r="EZ33" s="2161"/>
      <c r="FA33" s="2161"/>
      <c r="FB33" s="2161"/>
      <c r="FC33" s="2161"/>
      <c r="FD33" s="2161"/>
      <c r="FE33" s="2161"/>
    </row>
    <row r="34" spans="1:161" ht="12.75" hidden="1" outlineLevel="1">
      <c r="A34" s="142" t="s">
        <v>639</v>
      </c>
      <c r="B34" s="2161" t="s">
        <v>1681</v>
      </c>
      <c r="C34" s="2161"/>
      <c r="D34" s="2161"/>
      <c r="E34" s="2161"/>
      <c r="F34" s="2161"/>
      <c r="G34" s="2161"/>
      <c r="H34" s="2161"/>
      <c r="I34" s="2161"/>
      <c r="J34" s="2161"/>
      <c r="K34" s="2161"/>
      <c r="L34" s="2161"/>
      <c r="M34" s="2161"/>
      <c r="N34" s="2161"/>
      <c r="O34" s="2161"/>
      <c r="P34" s="2161"/>
      <c r="Q34" s="2161"/>
      <c r="R34" s="2161"/>
      <c r="S34" s="2161"/>
      <c r="T34" s="2161"/>
      <c r="U34" s="2161"/>
      <c r="V34" s="2161"/>
      <c r="W34" s="2161"/>
      <c r="X34" s="2161"/>
      <c r="Y34" s="2161"/>
      <c r="Z34" s="2161"/>
      <c r="AA34" s="2161"/>
      <c r="AB34" s="2161"/>
      <c r="AC34" s="2161"/>
      <c r="AD34" s="2161"/>
      <c r="AE34" s="2161"/>
      <c r="AF34" s="2161"/>
      <c r="AG34" s="2161"/>
      <c r="AH34" s="2161"/>
      <c r="AI34" s="2161"/>
      <c r="AJ34" s="2161"/>
      <c r="AK34" s="2161"/>
      <c r="AL34" s="2161"/>
      <c r="AM34" s="2161"/>
      <c r="AN34" s="2161"/>
      <c r="AO34" s="2161"/>
      <c r="AP34" s="2161"/>
      <c r="AQ34" s="2161"/>
      <c r="AR34" s="2161"/>
      <c r="AS34" s="2161"/>
      <c r="AT34" s="2161"/>
      <c r="AU34" s="2161"/>
      <c r="AV34" s="2161"/>
      <c r="AW34" s="2161"/>
      <c r="AX34" s="2161"/>
      <c r="AY34" s="2161"/>
      <c r="AZ34" s="2161"/>
      <c r="BA34" s="2161"/>
      <c r="BB34" s="2161"/>
      <c r="BC34" s="2161"/>
      <c r="BD34" s="2161"/>
      <c r="BE34" s="2161"/>
      <c r="BF34" s="2161"/>
      <c r="BG34" s="2161"/>
      <c r="BH34" s="2161"/>
      <c r="BI34" s="2161"/>
      <c r="BJ34" s="2161"/>
      <c r="BK34" s="2161"/>
      <c r="BL34" s="2161"/>
      <c r="BM34" s="2161"/>
      <c r="BN34" s="2161"/>
      <c r="BO34" s="2161"/>
      <c r="BP34" s="2161"/>
      <c r="BQ34" s="2161"/>
      <c r="BR34" s="2161"/>
      <c r="BS34" s="2161"/>
      <c r="BT34" s="2161"/>
      <c r="BU34" s="2161"/>
      <c r="BV34" s="2161"/>
      <c r="BW34" s="2161"/>
      <c r="BX34" s="2161"/>
      <c r="BY34" s="2161"/>
      <c r="BZ34" s="2161"/>
      <c r="CA34" s="2161"/>
      <c r="CB34" s="2161"/>
      <c r="CC34" s="2161"/>
      <c r="CD34" s="2161"/>
      <c r="CE34" s="2161"/>
      <c r="CF34" s="2161"/>
      <c r="CG34" s="2161"/>
      <c r="CH34" s="2161"/>
      <c r="CI34" s="2161"/>
      <c r="CJ34" s="2161"/>
      <c r="CK34" s="2161"/>
      <c r="CL34" s="2161"/>
      <c r="CM34" s="2161"/>
      <c r="CN34" s="2161"/>
      <c r="CO34" s="2161"/>
      <c r="CP34" s="2161"/>
      <c r="CQ34" s="2161"/>
      <c r="CR34" s="2161"/>
      <c r="CS34" s="2161"/>
      <c r="CT34" s="2161"/>
      <c r="CU34" s="2161"/>
      <c r="CV34" s="2161"/>
      <c r="CW34" s="2161"/>
      <c r="CX34" s="2161"/>
      <c r="CY34" s="2161"/>
      <c r="CZ34" s="2161"/>
      <c r="DA34" s="2161"/>
      <c r="DB34" s="2161"/>
      <c r="DC34" s="2161"/>
      <c r="DD34" s="2161"/>
      <c r="DE34" s="2161"/>
      <c r="DF34" s="2161"/>
      <c r="DG34" s="2161"/>
      <c r="DH34" s="2161"/>
      <c r="DI34" s="2161"/>
      <c r="DJ34" s="2161"/>
      <c r="DK34" s="2161"/>
      <c r="DL34" s="2161"/>
      <c r="DM34" s="2161"/>
      <c r="DN34" s="2161"/>
      <c r="DO34" s="2161"/>
      <c r="DP34" s="2161"/>
      <c r="DQ34" s="2161"/>
      <c r="DR34" s="2161"/>
      <c r="DS34" s="2161"/>
      <c r="DT34" s="2161"/>
      <c r="DU34" s="2161"/>
      <c r="DV34" s="2161"/>
      <c r="DW34" s="2161"/>
      <c r="DX34" s="2161"/>
      <c r="DY34" s="2161"/>
      <c r="DZ34" s="2161"/>
      <c r="EA34" s="2161"/>
      <c r="EB34" s="2161"/>
      <c r="EC34" s="2161"/>
      <c r="ED34" s="2161"/>
      <c r="EE34" s="2161"/>
      <c r="EF34" s="2161"/>
      <c r="EG34" s="2161"/>
      <c r="EH34" s="2161"/>
      <c r="EI34" s="2161"/>
      <c r="EJ34" s="2161"/>
      <c r="EK34" s="2161"/>
      <c r="EL34" s="2161"/>
      <c r="EM34" s="2161"/>
      <c r="EN34" s="2161"/>
      <c r="EO34" s="2161"/>
      <c r="EP34" s="2161"/>
      <c r="EQ34" s="2161"/>
      <c r="ER34" s="2161"/>
      <c r="ES34" s="2161"/>
      <c r="ET34" s="2161"/>
      <c r="EU34" s="2161"/>
      <c r="EV34" s="2161"/>
      <c r="EW34" s="2161"/>
      <c r="EX34" s="2161"/>
      <c r="EY34" s="2161"/>
      <c r="EZ34" s="2161"/>
      <c r="FA34" s="2161"/>
      <c r="FB34" s="2161"/>
      <c r="FC34" s="2161"/>
      <c r="FD34" s="2161"/>
      <c r="FE34" s="2161"/>
    </row>
    <row r="35" spans="1:161" ht="12.75" hidden="1" outlineLevel="1">
      <c r="A35" s="142" t="s">
        <v>640</v>
      </c>
      <c r="B35" s="2161" t="s">
        <v>36</v>
      </c>
      <c r="C35" s="2161"/>
      <c r="D35" s="2161"/>
      <c r="E35" s="2161"/>
      <c r="F35" s="2161"/>
      <c r="G35" s="2161"/>
      <c r="H35" s="2161"/>
      <c r="I35" s="2161"/>
      <c r="J35" s="2161"/>
      <c r="K35" s="2161"/>
      <c r="L35" s="2161"/>
      <c r="M35" s="2161"/>
      <c r="N35" s="2161"/>
      <c r="O35" s="2161"/>
      <c r="P35" s="2161"/>
      <c r="Q35" s="2161"/>
      <c r="R35" s="2161"/>
      <c r="S35" s="2161"/>
      <c r="T35" s="2161"/>
      <c r="U35" s="2161"/>
      <c r="V35" s="2161"/>
      <c r="W35" s="2161"/>
      <c r="X35" s="2161"/>
      <c r="Y35" s="2161"/>
      <c r="Z35" s="2161"/>
      <c r="AA35" s="2161"/>
      <c r="AB35" s="2161"/>
      <c r="AC35" s="2161"/>
      <c r="AD35" s="2161"/>
      <c r="AE35" s="2161"/>
      <c r="AF35" s="2161"/>
      <c r="AG35" s="2161"/>
      <c r="AH35" s="2161"/>
      <c r="AI35" s="2161"/>
      <c r="AJ35" s="2161"/>
      <c r="AK35" s="2161"/>
      <c r="AL35" s="2161"/>
      <c r="AM35" s="2161"/>
      <c r="AN35" s="2161"/>
      <c r="AO35" s="2161"/>
      <c r="AP35" s="2161"/>
      <c r="AQ35" s="2161"/>
      <c r="AR35" s="2161"/>
      <c r="AS35" s="2161"/>
      <c r="AT35" s="2161"/>
      <c r="AU35" s="2161"/>
      <c r="AV35" s="2161"/>
      <c r="AW35" s="2161"/>
      <c r="AX35" s="2161"/>
      <c r="AY35" s="2161"/>
      <c r="AZ35" s="2161"/>
      <c r="BA35" s="2161"/>
      <c r="BB35" s="2161"/>
      <c r="BC35" s="2161"/>
      <c r="BD35" s="2161"/>
      <c r="BE35" s="2161"/>
      <c r="BF35" s="2161"/>
      <c r="BG35" s="2161"/>
      <c r="BH35" s="2161"/>
      <c r="BI35" s="2161"/>
      <c r="BJ35" s="2161"/>
      <c r="BK35" s="2161"/>
      <c r="BL35" s="2161"/>
      <c r="BM35" s="2161"/>
      <c r="BN35" s="2161"/>
      <c r="BO35" s="2161"/>
      <c r="BP35" s="2161"/>
      <c r="BQ35" s="2161"/>
      <c r="BR35" s="2161"/>
      <c r="BS35" s="2161"/>
      <c r="BT35" s="2161"/>
      <c r="BU35" s="2161"/>
      <c r="BV35" s="2161"/>
      <c r="BW35" s="2161"/>
      <c r="BX35" s="2161"/>
      <c r="BY35" s="2161"/>
      <c r="BZ35" s="2161"/>
      <c r="CA35" s="2161"/>
      <c r="CB35" s="2161"/>
      <c r="CC35" s="2161"/>
      <c r="CD35" s="2161"/>
      <c r="CE35" s="2161"/>
      <c r="CF35" s="2161"/>
      <c r="CG35" s="2161"/>
      <c r="CH35" s="2161"/>
      <c r="CI35" s="2161"/>
      <c r="CJ35" s="2161"/>
      <c r="CK35" s="2161"/>
      <c r="CL35" s="2161"/>
      <c r="CM35" s="2161"/>
      <c r="CN35" s="2161"/>
      <c r="CO35" s="2161"/>
      <c r="CP35" s="2161"/>
      <c r="CQ35" s="2161"/>
      <c r="CR35" s="2161"/>
      <c r="CS35" s="2161"/>
      <c r="CT35" s="2161"/>
      <c r="CU35" s="2161"/>
      <c r="CV35" s="2161"/>
      <c r="CW35" s="2161"/>
      <c r="CX35" s="2161"/>
      <c r="CY35" s="2161"/>
      <c r="CZ35" s="2161"/>
      <c r="DA35" s="2161"/>
      <c r="DB35" s="2161"/>
      <c r="DC35" s="2161"/>
      <c r="DD35" s="2161"/>
      <c r="DE35" s="2161"/>
      <c r="DF35" s="2161"/>
      <c r="DG35" s="2161"/>
      <c r="DH35" s="2161"/>
      <c r="DI35" s="2161"/>
      <c r="DJ35" s="2161"/>
      <c r="DK35" s="2161"/>
      <c r="DL35" s="2161"/>
      <c r="DM35" s="2161"/>
      <c r="DN35" s="2161"/>
      <c r="DO35" s="2161"/>
      <c r="DP35" s="2161"/>
      <c r="DQ35" s="2161"/>
      <c r="DR35" s="2161"/>
      <c r="DS35" s="2161"/>
      <c r="DT35" s="2161"/>
      <c r="DU35" s="2161"/>
      <c r="DV35" s="2161"/>
      <c r="DW35" s="2161"/>
      <c r="DX35" s="2161"/>
      <c r="DY35" s="2161"/>
      <c r="DZ35" s="2161"/>
      <c r="EA35" s="2161"/>
      <c r="EB35" s="2161"/>
      <c r="EC35" s="2161"/>
      <c r="ED35" s="2161"/>
      <c r="EE35" s="2161"/>
      <c r="EF35" s="2161"/>
      <c r="EG35" s="2161"/>
      <c r="EH35" s="2161"/>
      <c r="EI35" s="2161"/>
      <c r="EJ35" s="2161"/>
      <c r="EK35" s="2161"/>
      <c r="EL35" s="2161"/>
      <c r="EM35" s="2161"/>
      <c r="EN35" s="2161"/>
      <c r="EO35" s="2161"/>
      <c r="EP35" s="2161"/>
      <c r="EQ35" s="2161"/>
      <c r="ER35" s="2161"/>
      <c r="ES35" s="2161"/>
      <c r="ET35" s="2161"/>
      <c r="EU35" s="2161"/>
      <c r="EV35" s="2161"/>
      <c r="EW35" s="2161"/>
      <c r="EX35" s="2161"/>
      <c r="EY35" s="2161"/>
      <c r="EZ35" s="2161"/>
      <c r="FA35" s="2161"/>
      <c r="FB35" s="2161"/>
      <c r="FC35" s="2161"/>
      <c r="FD35" s="2161"/>
      <c r="FE35" s="2161"/>
    </row>
    <row r="36" spans="1:161" ht="12.75" hidden="1" outlineLevel="1">
      <c r="A36" s="142" t="s">
        <v>641</v>
      </c>
      <c r="B36" s="2161" t="s">
        <v>876</v>
      </c>
      <c r="C36" s="2161"/>
      <c r="D36" s="2161"/>
      <c r="E36" s="2161"/>
      <c r="F36" s="2161"/>
      <c r="G36" s="2161"/>
      <c r="H36" s="2161"/>
      <c r="I36" s="2161"/>
      <c r="J36" s="2161"/>
      <c r="K36" s="2161"/>
      <c r="L36" s="2161"/>
      <c r="M36" s="2161"/>
      <c r="N36" s="2161"/>
      <c r="O36" s="2161"/>
      <c r="P36" s="2161"/>
      <c r="Q36" s="2161"/>
      <c r="R36" s="2161"/>
      <c r="S36" s="2161"/>
      <c r="T36" s="2161"/>
      <c r="U36" s="2161"/>
      <c r="V36" s="2161"/>
      <c r="W36" s="2161"/>
      <c r="X36" s="2161"/>
      <c r="Y36" s="2161"/>
      <c r="Z36" s="2161"/>
      <c r="AA36" s="2161"/>
      <c r="AB36" s="2161"/>
      <c r="AC36" s="2161"/>
      <c r="AD36" s="2161"/>
      <c r="AE36" s="2161"/>
      <c r="AF36" s="2161"/>
      <c r="AG36" s="2161"/>
      <c r="AH36" s="2161"/>
      <c r="AI36" s="2161"/>
      <c r="AJ36" s="2161"/>
      <c r="AK36" s="2161"/>
      <c r="AL36" s="2161"/>
      <c r="AM36" s="2161"/>
      <c r="AN36" s="2161"/>
      <c r="AO36" s="2161"/>
      <c r="AP36" s="2161"/>
      <c r="AQ36" s="2161"/>
      <c r="AR36" s="2161"/>
      <c r="AS36" s="2161"/>
      <c r="AT36" s="2161"/>
      <c r="AU36" s="2161"/>
      <c r="AV36" s="2161"/>
      <c r="AW36" s="2161"/>
      <c r="AX36" s="2161"/>
      <c r="AY36" s="2161"/>
      <c r="AZ36" s="2161"/>
      <c r="BA36" s="2161"/>
      <c r="BB36" s="2161"/>
      <c r="BC36" s="2161"/>
      <c r="BD36" s="2161"/>
      <c r="BE36" s="2161"/>
      <c r="BF36" s="2161"/>
      <c r="BG36" s="2161"/>
      <c r="BH36" s="2161"/>
      <c r="BI36" s="2161"/>
      <c r="BJ36" s="2161"/>
      <c r="BK36" s="2161"/>
      <c r="BL36" s="2161"/>
      <c r="BM36" s="2161"/>
      <c r="BN36" s="2161"/>
      <c r="BO36" s="2161"/>
      <c r="BP36" s="2161"/>
      <c r="BQ36" s="2161"/>
      <c r="BR36" s="2161"/>
      <c r="BS36" s="2161"/>
      <c r="BT36" s="2161"/>
      <c r="BU36" s="2161"/>
      <c r="BV36" s="2161"/>
      <c r="BW36" s="2161"/>
      <c r="BX36" s="2161"/>
      <c r="BY36" s="2161"/>
      <c r="BZ36" s="2161"/>
      <c r="CA36" s="2161"/>
      <c r="CB36" s="2161"/>
      <c r="CC36" s="2161"/>
      <c r="CD36" s="2161"/>
      <c r="CE36" s="2161"/>
      <c r="CF36" s="2161"/>
      <c r="CG36" s="2161"/>
      <c r="CH36" s="2161"/>
      <c r="CI36" s="2161"/>
      <c r="CJ36" s="2161"/>
      <c r="CK36" s="2161"/>
      <c r="CL36" s="2161"/>
      <c r="CM36" s="2161"/>
      <c r="CN36" s="2161"/>
      <c r="CO36" s="2161"/>
      <c r="CP36" s="2161"/>
      <c r="CQ36" s="2161"/>
      <c r="CR36" s="2161"/>
      <c r="CS36" s="2161"/>
      <c r="CT36" s="2161"/>
      <c r="CU36" s="2161"/>
      <c r="CV36" s="2161"/>
      <c r="CW36" s="2161"/>
      <c r="CX36" s="2161"/>
      <c r="CY36" s="2161"/>
      <c r="CZ36" s="2161"/>
      <c r="DA36" s="2161"/>
      <c r="DB36" s="2161"/>
      <c r="DC36" s="2161"/>
      <c r="DD36" s="2161"/>
      <c r="DE36" s="2161"/>
      <c r="DF36" s="2161"/>
      <c r="DG36" s="2161"/>
      <c r="DH36" s="2161"/>
      <c r="DI36" s="2161"/>
      <c r="DJ36" s="2161"/>
      <c r="DK36" s="2161"/>
      <c r="DL36" s="2161"/>
      <c r="DM36" s="2161"/>
      <c r="DN36" s="2161"/>
      <c r="DO36" s="2161"/>
      <c r="DP36" s="2161"/>
      <c r="DQ36" s="2161"/>
      <c r="DR36" s="2161"/>
      <c r="DS36" s="2161"/>
      <c r="DT36" s="2161"/>
      <c r="DU36" s="2161"/>
      <c r="DV36" s="2161"/>
      <c r="DW36" s="2161"/>
      <c r="DX36" s="2161"/>
      <c r="DY36" s="2161"/>
      <c r="DZ36" s="2161"/>
      <c r="EA36" s="2161"/>
      <c r="EB36" s="2161"/>
      <c r="EC36" s="2161"/>
      <c r="ED36" s="2161"/>
      <c r="EE36" s="2161"/>
      <c r="EF36" s="2161"/>
      <c r="EG36" s="2161"/>
      <c r="EH36" s="2161"/>
      <c r="EI36" s="2161"/>
      <c r="EJ36" s="2161"/>
      <c r="EK36" s="2161"/>
      <c r="EL36" s="2161"/>
      <c r="EM36" s="2161"/>
      <c r="EN36" s="2161"/>
      <c r="EO36" s="2161"/>
      <c r="EP36" s="2161"/>
      <c r="EQ36" s="2161"/>
      <c r="ER36" s="2161"/>
      <c r="ES36" s="2161"/>
      <c r="ET36" s="2161"/>
      <c r="EU36" s="2161"/>
      <c r="EV36" s="2161"/>
      <c r="EW36" s="2161"/>
      <c r="EX36" s="2161"/>
      <c r="EY36" s="2161"/>
      <c r="EZ36" s="2161"/>
      <c r="FA36" s="2161"/>
      <c r="FB36" s="2161"/>
      <c r="FC36" s="2161"/>
      <c r="FD36" s="2161"/>
      <c r="FE36" s="2161"/>
    </row>
    <row r="37" spans="1:161" ht="12.75" hidden="1" outlineLevel="1">
      <c r="A37" s="143" t="s">
        <v>642</v>
      </c>
      <c r="B37" s="141" t="s">
        <v>877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</row>
    <row r="38" spans="1:161" ht="12.75" hidden="1" outlineLevel="1">
      <c r="A38" s="143" t="s">
        <v>643</v>
      </c>
      <c r="B38" s="141" t="s">
        <v>878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</row>
    <row r="39" spans="1:161" ht="12.75" hidden="1" outlineLevel="1">
      <c r="A39" s="141"/>
      <c r="B39" s="141" t="s">
        <v>879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</row>
    <row r="40" spans="1:161" ht="12.75" hidden="1" outlineLevel="1">
      <c r="A40" s="141"/>
      <c r="B40" s="141" t="s">
        <v>880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</row>
    <row r="41" spans="1:161" ht="12.75" hidden="1" outlineLevel="1">
      <c r="A41" s="141"/>
      <c r="B41" s="141" t="s">
        <v>881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</row>
    <row r="42" spans="1:161" ht="12.75" hidden="1" outlineLevel="1">
      <c r="A42" s="141"/>
      <c r="B42" s="141" t="s">
        <v>882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</row>
    <row r="43" spans="1:161" ht="12.75" hidden="1" outlineLevel="1">
      <c r="A43" s="141"/>
      <c r="B43" s="141" t="s">
        <v>883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</row>
    <row r="44" spans="1:161" ht="12.75" hidden="1" outlineLevel="1">
      <c r="A44" s="141"/>
      <c r="B44" s="141" t="s">
        <v>884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</row>
    <row r="45" spans="1:161" ht="12.75" hidden="1" outlineLevel="1">
      <c r="A45" s="142" t="s">
        <v>644</v>
      </c>
      <c r="B45" s="2161" t="s">
        <v>1275</v>
      </c>
      <c r="C45" s="2161"/>
      <c r="D45" s="2161"/>
      <c r="E45" s="2161"/>
      <c r="F45" s="2161"/>
      <c r="G45" s="2161"/>
      <c r="H45" s="2161"/>
      <c r="I45" s="2161"/>
      <c r="J45" s="2161"/>
      <c r="K45" s="2161"/>
      <c r="L45" s="2161"/>
      <c r="M45" s="2161"/>
      <c r="N45" s="2161"/>
      <c r="O45" s="2161"/>
      <c r="P45" s="2161"/>
      <c r="Q45" s="2161"/>
      <c r="R45" s="2161"/>
      <c r="S45" s="2161"/>
      <c r="T45" s="2161"/>
      <c r="U45" s="2161"/>
      <c r="V45" s="2161"/>
      <c r="W45" s="2161"/>
      <c r="X45" s="2161"/>
      <c r="Y45" s="2161"/>
      <c r="Z45" s="2161"/>
      <c r="AA45" s="2161"/>
      <c r="AB45" s="2161"/>
      <c r="AC45" s="2161"/>
      <c r="AD45" s="2161"/>
      <c r="AE45" s="2161"/>
      <c r="AF45" s="2161"/>
      <c r="AG45" s="2161"/>
      <c r="AH45" s="2161"/>
      <c r="AI45" s="2161"/>
      <c r="AJ45" s="2161"/>
      <c r="AK45" s="2161"/>
      <c r="AL45" s="2161"/>
      <c r="AM45" s="2161"/>
      <c r="AN45" s="2161"/>
      <c r="AO45" s="2161"/>
      <c r="AP45" s="2161"/>
      <c r="AQ45" s="2161"/>
      <c r="AR45" s="2161"/>
      <c r="AS45" s="2161"/>
      <c r="AT45" s="2161"/>
      <c r="AU45" s="2161"/>
      <c r="AV45" s="2161"/>
      <c r="AW45" s="2161"/>
      <c r="AX45" s="2161"/>
      <c r="AY45" s="2161"/>
      <c r="AZ45" s="2161"/>
      <c r="BA45" s="2161"/>
      <c r="BB45" s="2161"/>
      <c r="BC45" s="2161"/>
      <c r="BD45" s="2161"/>
      <c r="BE45" s="2161"/>
      <c r="BF45" s="2161"/>
      <c r="BG45" s="2161"/>
      <c r="BH45" s="2161"/>
      <c r="BI45" s="2161"/>
      <c r="BJ45" s="2161"/>
      <c r="BK45" s="2161"/>
      <c r="BL45" s="2161"/>
      <c r="BM45" s="2161"/>
      <c r="BN45" s="2161"/>
      <c r="BO45" s="2161"/>
      <c r="BP45" s="2161"/>
      <c r="BQ45" s="2161"/>
      <c r="BR45" s="2161"/>
      <c r="BS45" s="2161"/>
      <c r="BT45" s="2161"/>
      <c r="BU45" s="2161"/>
      <c r="BV45" s="2161"/>
      <c r="BW45" s="2161"/>
      <c r="BX45" s="2161"/>
      <c r="BY45" s="2161"/>
      <c r="BZ45" s="2161"/>
      <c r="CA45" s="2161"/>
      <c r="CB45" s="2161"/>
      <c r="CC45" s="2161"/>
      <c r="CD45" s="2161"/>
      <c r="CE45" s="2161"/>
      <c r="CF45" s="2161"/>
      <c r="CG45" s="2161"/>
      <c r="CH45" s="2161"/>
      <c r="CI45" s="2161"/>
      <c r="CJ45" s="2161"/>
      <c r="CK45" s="2161"/>
      <c r="CL45" s="2161"/>
      <c r="CM45" s="2161"/>
      <c r="CN45" s="2161"/>
      <c r="CO45" s="2161"/>
      <c r="CP45" s="2161"/>
      <c r="CQ45" s="2161"/>
      <c r="CR45" s="2161"/>
      <c r="CS45" s="2161"/>
      <c r="CT45" s="2161"/>
      <c r="CU45" s="2161"/>
      <c r="CV45" s="2161"/>
      <c r="CW45" s="2161"/>
      <c r="CX45" s="2161"/>
      <c r="CY45" s="2161"/>
      <c r="CZ45" s="2161"/>
      <c r="DA45" s="2161"/>
      <c r="DB45" s="2161"/>
      <c r="DC45" s="2161"/>
      <c r="DD45" s="2161"/>
      <c r="DE45" s="2161"/>
      <c r="DF45" s="2161"/>
      <c r="DG45" s="2161"/>
      <c r="DH45" s="2161"/>
      <c r="DI45" s="2161"/>
      <c r="DJ45" s="2161"/>
      <c r="DK45" s="2161"/>
      <c r="DL45" s="2161"/>
      <c r="DM45" s="2161"/>
      <c r="DN45" s="2161"/>
      <c r="DO45" s="2161"/>
      <c r="DP45" s="2161"/>
      <c r="DQ45" s="2161"/>
      <c r="DR45" s="2161"/>
      <c r="DS45" s="2161"/>
      <c r="DT45" s="2161"/>
      <c r="DU45" s="2161"/>
      <c r="DV45" s="2161"/>
      <c r="DW45" s="2161"/>
      <c r="DX45" s="2161"/>
      <c r="DY45" s="2161"/>
      <c r="DZ45" s="2161"/>
      <c r="EA45" s="2161"/>
      <c r="EB45" s="2161"/>
      <c r="EC45" s="2161"/>
      <c r="ED45" s="2161"/>
      <c r="EE45" s="2161"/>
      <c r="EF45" s="2161"/>
      <c r="EG45" s="2161"/>
      <c r="EH45" s="2161"/>
      <c r="EI45" s="2161"/>
      <c r="EJ45" s="2161"/>
      <c r="EK45" s="2161"/>
      <c r="EL45" s="2161"/>
      <c r="EM45" s="2161"/>
      <c r="EN45" s="2161"/>
      <c r="EO45" s="2161"/>
      <c r="EP45" s="2161"/>
      <c r="EQ45" s="2161"/>
      <c r="ER45" s="2161"/>
      <c r="ES45" s="2161"/>
      <c r="ET45" s="2161"/>
      <c r="EU45" s="2161"/>
      <c r="EV45" s="2161"/>
      <c r="EW45" s="2161"/>
      <c r="EX45" s="2161"/>
      <c r="EY45" s="2161"/>
      <c r="EZ45" s="2161"/>
      <c r="FA45" s="2161"/>
      <c r="FB45" s="2161"/>
      <c r="FC45" s="2161"/>
      <c r="FD45" s="2161"/>
      <c r="FE45" s="2161"/>
    </row>
    <row r="46" ht="12.75" collapsed="1"/>
    <row r="48" ht="13.5">
      <c r="A48" s="7" t="s">
        <v>1610</v>
      </c>
    </row>
  </sheetData>
  <sheetProtection/>
  <mergeCells count="22">
    <mergeCell ref="B45:FE45"/>
    <mergeCell ref="AQ8:AU8"/>
    <mergeCell ref="M7:Q8"/>
    <mergeCell ref="R8:V8"/>
    <mergeCell ref="B33:FE33"/>
    <mergeCell ref="B34:FE34"/>
    <mergeCell ref="B35:FE35"/>
    <mergeCell ref="B36:FE36"/>
    <mergeCell ref="AT1:AU1"/>
    <mergeCell ref="AL8:AP8"/>
    <mergeCell ref="C6:Q6"/>
    <mergeCell ref="C7:G8"/>
    <mergeCell ref="H7:L8"/>
    <mergeCell ref="AB8:AF8"/>
    <mergeCell ref="R7:AF7"/>
    <mergeCell ref="AG1:AH1"/>
    <mergeCell ref="A6:A9"/>
    <mergeCell ref="B6:B9"/>
    <mergeCell ref="W8:AA8"/>
    <mergeCell ref="AG8:AK8"/>
    <mergeCell ref="R6:AU6"/>
    <mergeCell ref="AG7:AU7"/>
  </mergeCells>
  <printOptions/>
  <pageMargins left="0.7086614173228347" right="0.7086614173228347" top="0.46" bottom="0.43" header="0.31496062992125984" footer="0.31496062992125984"/>
  <pageSetup fitToHeight="3" fitToWidth="1" horizontalDpi="600" verticalDpi="600" orientation="landscape" paperSize="9" scale="2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5"/>
  <sheetViews>
    <sheetView zoomScaleSheetLayoutView="100" workbookViewId="0" topLeftCell="A1">
      <pane xSplit="2" ySplit="10" topLeftCell="C11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J45" sqref="J45"/>
    </sheetView>
  </sheetViews>
  <sheetFormatPr defaultColWidth="9.140625" defaultRowHeight="15" outlineLevelRow="1"/>
  <cols>
    <col min="1" max="1" width="9.140625" style="1" customWidth="1"/>
    <col min="2" max="2" width="22.00390625" style="1" customWidth="1"/>
    <col min="3" max="3" width="11.28125" style="1" customWidth="1"/>
    <col min="4" max="4" width="9.8515625" style="1" customWidth="1"/>
    <col min="5" max="5" width="14.140625" style="1" customWidth="1"/>
    <col min="6" max="6" width="11.8515625" style="1" customWidth="1"/>
    <col min="7" max="7" width="10.8515625" style="1" customWidth="1"/>
    <col min="8" max="8" width="9.140625" style="1" customWidth="1"/>
    <col min="9" max="9" width="9.28125" style="1" customWidth="1"/>
    <col min="10" max="16384" width="9.140625" style="1" customWidth="1"/>
  </cols>
  <sheetData>
    <row r="1" spans="1:10" ht="15">
      <c r="A1" s="52" t="s">
        <v>1157</v>
      </c>
      <c r="B1" s="52"/>
      <c r="C1" s="52"/>
      <c r="D1" s="52"/>
      <c r="E1" s="52"/>
      <c r="I1" s="2160" t="s">
        <v>827</v>
      </c>
      <c r="J1" s="2160"/>
    </row>
    <row r="2" spans="1:5" ht="12.75">
      <c r="A2" s="52" t="s">
        <v>126</v>
      </c>
      <c r="B2" s="52"/>
      <c r="C2" s="52"/>
      <c r="D2" s="52"/>
      <c r="E2" s="52"/>
    </row>
    <row r="4" spans="1:10" ht="16.5">
      <c r="A4" s="2096" t="s">
        <v>71</v>
      </c>
      <c r="B4" s="2096"/>
      <c r="C4" s="2096"/>
      <c r="D4" s="2096"/>
      <c r="E4" s="2096"/>
      <c r="F4" s="2096"/>
      <c r="G4" s="2096"/>
      <c r="H4" s="2096"/>
      <c r="I4" s="2096"/>
      <c r="J4" s="2096"/>
    </row>
    <row r="5" ht="13.5">
      <c r="A5" s="542" t="s">
        <v>1736</v>
      </c>
    </row>
    <row r="6" spans="1:10" ht="12.75" customHeight="1">
      <c r="A6" s="2006" t="s">
        <v>1008</v>
      </c>
      <c r="B6" s="2020" t="s">
        <v>828</v>
      </c>
      <c r="C6" s="2006" t="s">
        <v>829</v>
      </c>
      <c r="D6" s="2006" t="s">
        <v>830</v>
      </c>
      <c r="E6" s="2005" t="s">
        <v>831</v>
      </c>
      <c r="F6" s="2005"/>
      <c r="G6" s="2005"/>
      <c r="H6" s="2024" t="s">
        <v>832</v>
      </c>
      <c r="I6" s="2025"/>
      <c r="J6" s="2026"/>
    </row>
    <row r="7" spans="1:10" ht="12.75" customHeight="1">
      <c r="A7" s="2007"/>
      <c r="B7" s="1950"/>
      <c r="C7" s="2007"/>
      <c r="D7" s="2007"/>
      <c r="E7" s="2006" t="s">
        <v>1332</v>
      </c>
      <c r="F7" s="2165" t="s">
        <v>833</v>
      </c>
      <c r="G7" s="2166"/>
      <c r="H7" s="2006" t="s">
        <v>834</v>
      </c>
      <c r="I7" s="2006" t="s">
        <v>835</v>
      </c>
      <c r="J7" s="2006" t="s">
        <v>1022</v>
      </c>
    </row>
    <row r="8" spans="1:10" ht="26.25">
      <c r="A8" s="2007"/>
      <c r="B8" s="1950"/>
      <c r="C8" s="2007"/>
      <c r="D8" s="2007"/>
      <c r="E8" s="2003"/>
      <c r="F8" s="22" t="s">
        <v>836</v>
      </c>
      <c r="G8" s="22" t="s">
        <v>837</v>
      </c>
      <c r="H8" s="2007"/>
      <c r="I8" s="2007"/>
      <c r="J8" s="2007"/>
    </row>
    <row r="9" spans="1:10" ht="66">
      <c r="A9" s="2003"/>
      <c r="B9" s="2023"/>
      <c r="C9" s="2003"/>
      <c r="D9" s="2003"/>
      <c r="E9" s="22" t="s">
        <v>838</v>
      </c>
      <c r="F9" s="22" t="s">
        <v>839</v>
      </c>
      <c r="G9" s="22" t="s">
        <v>838</v>
      </c>
      <c r="H9" s="2003"/>
      <c r="I9" s="2003"/>
      <c r="J9" s="2003"/>
    </row>
    <row r="10" spans="1:10" ht="15" customHeight="1">
      <c r="A10" s="4">
        <v>1</v>
      </c>
      <c r="B10" s="5">
        <v>2</v>
      </c>
      <c r="C10" s="4">
        <v>3</v>
      </c>
      <c r="D10" s="5">
        <v>4</v>
      </c>
      <c r="E10" s="4">
        <v>5</v>
      </c>
      <c r="F10" s="5">
        <v>6</v>
      </c>
      <c r="G10" s="4">
        <v>7</v>
      </c>
      <c r="H10" s="5">
        <v>8</v>
      </c>
      <c r="I10" s="4">
        <v>9</v>
      </c>
      <c r="J10" s="4">
        <v>10</v>
      </c>
    </row>
    <row r="11" spans="1:10" s="588" customFormat="1" ht="12.75">
      <c r="A11" s="14"/>
      <c r="B11" s="14"/>
      <c r="C11" s="14"/>
      <c r="D11" s="14"/>
      <c r="E11" s="587"/>
      <c r="F11" s="14"/>
      <c r="G11" s="14"/>
      <c r="H11" s="14"/>
      <c r="I11" s="14"/>
      <c r="J11" s="14"/>
    </row>
    <row r="12" spans="1:10" ht="13.5" customHeight="1">
      <c r="A12" s="2167" t="s">
        <v>1005</v>
      </c>
      <c r="B12" s="2168"/>
      <c r="C12" s="2168"/>
      <c r="D12" s="2168"/>
      <c r="E12" s="2168"/>
      <c r="F12" s="2168"/>
      <c r="G12" s="2168"/>
      <c r="H12" s="2168"/>
      <c r="I12" s="2168"/>
      <c r="J12" s="2169"/>
    </row>
    <row r="13" spans="1:10" ht="12.75" hidden="1">
      <c r="A13" s="2043" t="s">
        <v>851</v>
      </c>
      <c r="B13" s="2031"/>
      <c r="C13" s="2031"/>
      <c r="D13" s="2031"/>
      <c r="E13" s="2031"/>
      <c r="F13" s="2031"/>
      <c r="G13" s="2031"/>
      <c r="H13" s="2031"/>
      <c r="I13" s="2031"/>
      <c r="J13" s="2028"/>
    </row>
    <row r="14" spans="1:10" ht="12.75" hidden="1">
      <c r="A14" s="14" t="s">
        <v>1017</v>
      </c>
      <c r="B14" s="26" t="s">
        <v>1329</v>
      </c>
      <c r="C14" s="19">
        <v>95.779</v>
      </c>
      <c r="D14" s="19">
        <f>C14/(273*24)*1000</f>
        <v>14.618284493284492</v>
      </c>
      <c r="E14" s="807">
        <v>6.58</v>
      </c>
      <c r="F14" s="531"/>
      <c r="G14" s="531"/>
      <c r="H14" s="531"/>
      <c r="I14" s="531"/>
      <c r="J14" s="589">
        <f>C14*E14</f>
        <v>630.22582</v>
      </c>
    </row>
    <row r="15" spans="1:10" ht="12.75" hidden="1">
      <c r="A15" s="14" t="s">
        <v>1009</v>
      </c>
      <c r="B15" s="6" t="s">
        <v>841</v>
      </c>
      <c r="C15" s="590"/>
      <c r="D15" s="4"/>
      <c r="E15" s="18"/>
      <c r="F15" s="4"/>
      <c r="G15" s="4"/>
      <c r="H15" s="4"/>
      <c r="I15" s="4"/>
      <c r="J15" s="590"/>
    </row>
    <row r="16" spans="1:10" ht="12.75" hidden="1">
      <c r="A16" s="14" t="s">
        <v>145</v>
      </c>
      <c r="B16" s="6" t="s">
        <v>842</v>
      </c>
      <c r="C16" s="590"/>
      <c r="D16" s="4"/>
      <c r="E16" s="18"/>
      <c r="F16" s="4"/>
      <c r="G16" s="4"/>
      <c r="H16" s="4"/>
      <c r="I16" s="4"/>
      <c r="J16" s="590"/>
    </row>
    <row r="17" spans="1:10" ht="12.75" hidden="1">
      <c r="A17" s="14" t="s">
        <v>629</v>
      </c>
      <c r="B17" s="808"/>
      <c r="C17" s="18"/>
      <c r="D17" s="182"/>
      <c r="E17" s="590"/>
      <c r="F17" s="4"/>
      <c r="G17" s="4"/>
      <c r="H17" s="4"/>
      <c r="I17" s="4"/>
      <c r="J17" s="590">
        <f>C17*E17</f>
        <v>0</v>
      </c>
    </row>
    <row r="18" spans="1:10" ht="12.75" hidden="1">
      <c r="A18" s="14"/>
      <c r="B18" s="591"/>
      <c r="C18" s="590"/>
      <c r="D18" s="4"/>
      <c r="E18" s="18"/>
      <c r="F18" s="4"/>
      <c r="G18" s="4"/>
      <c r="H18" s="4"/>
      <c r="I18" s="4"/>
      <c r="J18" s="590"/>
    </row>
    <row r="19" spans="1:10" ht="26.25" hidden="1" outlineLevel="1">
      <c r="A19" s="14" t="s">
        <v>1010</v>
      </c>
      <c r="B19" s="26" t="s">
        <v>1293</v>
      </c>
      <c r="C19" s="590"/>
      <c r="D19" s="4"/>
      <c r="E19" s="18"/>
      <c r="F19" s="4"/>
      <c r="G19" s="4"/>
      <c r="H19" s="4"/>
      <c r="I19" s="4"/>
      <c r="J19" s="590"/>
    </row>
    <row r="20" spans="1:10" ht="12.75" hidden="1" outlineLevel="1">
      <c r="A20" s="14" t="s">
        <v>1011</v>
      </c>
      <c r="B20" s="591" t="s">
        <v>1330</v>
      </c>
      <c r="C20" s="590"/>
      <c r="D20" s="4"/>
      <c r="E20" s="18"/>
      <c r="F20" s="4"/>
      <c r="G20" s="4"/>
      <c r="H20" s="4"/>
      <c r="I20" s="4"/>
      <c r="J20" s="590"/>
    </row>
    <row r="21" spans="1:10" ht="12.75" hidden="1" outlineLevel="1">
      <c r="A21" s="14" t="s">
        <v>1012</v>
      </c>
      <c r="B21" s="28" t="s">
        <v>610</v>
      </c>
      <c r="C21" s="590"/>
      <c r="D21" s="4"/>
      <c r="E21" s="18"/>
      <c r="F21" s="4"/>
      <c r="G21" s="4"/>
      <c r="H21" s="4"/>
      <c r="I21" s="4"/>
      <c r="J21" s="590"/>
    </row>
    <row r="22" spans="1:10" ht="12.75" hidden="1">
      <c r="A22" s="2013" t="s">
        <v>850</v>
      </c>
      <c r="B22" s="2014"/>
      <c r="C22" s="2014"/>
      <c r="D22" s="2014"/>
      <c r="E22" s="2014"/>
      <c r="F22" s="2014"/>
      <c r="G22" s="2014"/>
      <c r="H22" s="2014"/>
      <c r="I22" s="2014"/>
      <c r="J22" s="2015"/>
    </row>
    <row r="23" spans="1:10" ht="26.25" hidden="1">
      <c r="A23" s="14" t="s">
        <v>1017</v>
      </c>
      <c r="B23" s="26" t="s">
        <v>840</v>
      </c>
      <c r="C23" s="19">
        <f>SUM(C26:C27)</f>
        <v>0</v>
      </c>
      <c r="D23" s="19">
        <f>SUM(D26:D27)</f>
        <v>0</v>
      </c>
      <c r="E23" s="589">
        <f>SUM(E26:E27)</f>
        <v>0</v>
      </c>
      <c r="F23" s="531"/>
      <c r="G23" s="531"/>
      <c r="H23" s="531"/>
      <c r="I23" s="531"/>
      <c r="J23" s="589">
        <f>SUM(J26:J27)</f>
        <v>0</v>
      </c>
    </row>
    <row r="24" spans="1:10" ht="12.75" hidden="1">
      <c r="A24" s="14" t="s">
        <v>1009</v>
      </c>
      <c r="B24" s="6" t="s">
        <v>841</v>
      </c>
      <c r="C24" s="590"/>
      <c r="D24" s="4"/>
      <c r="E24" s="18"/>
      <c r="F24" s="4"/>
      <c r="G24" s="4"/>
      <c r="H24" s="4"/>
      <c r="I24" s="4"/>
      <c r="J24" s="590"/>
    </row>
    <row r="25" spans="1:10" ht="12.75" hidden="1">
      <c r="A25" s="14" t="s">
        <v>145</v>
      </c>
      <c r="B25" s="6" t="s">
        <v>842</v>
      </c>
      <c r="C25" s="590"/>
      <c r="D25" s="4"/>
      <c r="E25" s="18"/>
      <c r="F25" s="4"/>
      <c r="G25" s="4"/>
      <c r="H25" s="4"/>
      <c r="I25" s="4"/>
      <c r="J25" s="590"/>
    </row>
    <row r="26" spans="1:10" ht="12.75" hidden="1">
      <c r="A26" s="14" t="s">
        <v>629</v>
      </c>
      <c r="B26" s="808"/>
      <c r="C26" s="18"/>
      <c r="D26" s="182"/>
      <c r="E26" s="590"/>
      <c r="F26" s="4"/>
      <c r="G26" s="4"/>
      <c r="H26" s="4"/>
      <c r="I26" s="4"/>
      <c r="J26" s="590">
        <f>C26*E26</f>
        <v>0</v>
      </c>
    </row>
    <row r="27" spans="1:10" ht="12.75" hidden="1">
      <c r="A27" s="14"/>
      <c r="B27" s="591"/>
      <c r="C27" s="590"/>
      <c r="D27" s="4"/>
      <c r="E27" s="18"/>
      <c r="F27" s="4"/>
      <c r="G27" s="4"/>
      <c r="H27" s="4"/>
      <c r="I27" s="4"/>
      <c r="J27" s="590"/>
    </row>
    <row r="28" spans="1:10" ht="26.25" hidden="1" outlineLevel="1">
      <c r="A28" s="14" t="s">
        <v>1010</v>
      </c>
      <c r="B28" s="26" t="s">
        <v>1293</v>
      </c>
      <c r="C28" s="590"/>
      <c r="D28" s="4"/>
      <c r="E28" s="18"/>
      <c r="F28" s="4"/>
      <c r="G28" s="4"/>
      <c r="H28" s="4"/>
      <c r="I28" s="4"/>
      <c r="J28" s="590"/>
    </row>
    <row r="29" spans="1:10" ht="12.75" hidden="1" outlineLevel="1">
      <c r="A29" s="14" t="s">
        <v>1011</v>
      </c>
      <c r="B29" s="591"/>
      <c r="C29" s="590"/>
      <c r="D29" s="4"/>
      <c r="E29" s="18"/>
      <c r="F29" s="4"/>
      <c r="G29" s="4"/>
      <c r="H29" s="4"/>
      <c r="I29" s="4"/>
      <c r="J29" s="590"/>
    </row>
    <row r="30" spans="1:10" ht="12.75" hidden="1" outlineLevel="1">
      <c r="A30" s="14" t="s">
        <v>1012</v>
      </c>
      <c r="B30" s="28" t="s">
        <v>610</v>
      </c>
      <c r="C30" s="590"/>
      <c r="D30" s="4"/>
      <c r="E30" s="18"/>
      <c r="F30" s="4"/>
      <c r="G30" s="4"/>
      <c r="H30" s="4"/>
      <c r="I30" s="4"/>
      <c r="J30" s="590"/>
    </row>
    <row r="31" spans="1:10" ht="15.75" customHeight="1" hidden="1">
      <c r="A31" s="2043" t="s">
        <v>1331</v>
      </c>
      <c r="B31" s="2031"/>
      <c r="C31" s="2031"/>
      <c r="D31" s="2031"/>
      <c r="E31" s="2031"/>
      <c r="F31" s="2031"/>
      <c r="G31" s="2031"/>
      <c r="H31" s="2031"/>
      <c r="I31" s="2031"/>
      <c r="J31" s="2028"/>
    </row>
    <row r="32" spans="1:10" ht="12.75" hidden="1">
      <c r="A32" s="14" t="s">
        <v>1017</v>
      </c>
      <c r="B32" s="26" t="s">
        <v>1329</v>
      </c>
      <c r="C32" s="19">
        <v>60.3</v>
      </c>
      <c r="D32" s="19">
        <f>C32/(273*24)*1000</f>
        <v>9.203296703296704</v>
      </c>
      <c r="E32" s="807">
        <v>6.518</v>
      </c>
      <c r="F32" s="531"/>
      <c r="G32" s="531"/>
      <c r="H32" s="531"/>
      <c r="I32" s="531"/>
      <c r="J32" s="589">
        <f>C32*E32</f>
        <v>393.0354</v>
      </c>
    </row>
    <row r="33" spans="1:10" ht="12.75" hidden="1">
      <c r="A33" s="14" t="s">
        <v>1009</v>
      </c>
      <c r="B33" s="6" t="s">
        <v>841</v>
      </c>
      <c r="C33" s="590"/>
      <c r="D33" s="4"/>
      <c r="E33" s="592"/>
      <c r="F33" s="4"/>
      <c r="G33" s="4"/>
      <c r="H33" s="4"/>
      <c r="I33" s="4"/>
      <c r="J33" s="590"/>
    </row>
    <row r="34" spans="1:10" ht="12.75" hidden="1">
      <c r="A34" s="14" t="s">
        <v>145</v>
      </c>
      <c r="B34" s="6" t="s">
        <v>842</v>
      </c>
      <c r="C34" s="590"/>
      <c r="D34" s="4"/>
      <c r="E34" s="592"/>
      <c r="F34" s="4"/>
      <c r="G34" s="4"/>
      <c r="H34" s="4"/>
      <c r="I34" s="4"/>
      <c r="J34" s="590"/>
    </row>
    <row r="35" spans="1:10" ht="12.75" hidden="1">
      <c r="A35" s="14" t="s">
        <v>629</v>
      </c>
      <c r="B35" s="6"/>
      <c r="C35" s="18">
        <f>C36+C37</f>
        <v>95.779</v>
      </c>
      <c r="D35" s="182">
        <f>D36+D37</f>
        <v>14.565</v>
      </c>
      <c r="E35" s="592">
        <f>J35/C35</f>
        <v>6.577005084621891</v>
      </c>
      <c r="F35" s="4"/>
      <c r="G35" s="4"/>
      <c r="H35" s="4"/>
      <c r="I35" s="4"/>
      <c r="J35" s="590">
        <f>SUM(J36:J37)</f>
        <v>629.93897</v>
      </c>
    </row>
    <row r="36" spans="1:10" ht="12.75" hidden="1">
      <c r="A36" s="14" t="s">
        <v>172</v>
      </c>
      <c r="B36" s="593" t="s">
        <v>707</v>
      </c>
      <c r="C36" s="18">
        <v>61.006</v>
      </c>
      <c r="D36" s="182">
        <v>9.277</v>
      </c>
      <c r="E36" s="592">
        <v>6.41</v>
      </c>
      <c r="F36" s="4"/>
      <c r="G36" s="4"/>
      <c r="H36" s="4"/>
      <c r="I36" s="4"/>
      <c r="J36" s="590">
        <f>C36*E36</f>
        <v>391.04846000000003</v>
      </c>
    </row>
    <row r="37" spans="1:10" ht="12.75" hidden="1">
      <c r="A37" s="14" t="s">
        <v>173</v>
      </c>
      <c r="B37" s="593" t="s">
        <v>708</v>
      </c>
      <c r="C37" s="18">
        <v>34.773</v>
      </c>
      <c r="D37" s="182">
        <v>5.288</v>
      </c>
      <c r="E37" s="592">
        <v>6.87</v>
      </c>
      <c r="F37" s="4"/>
      <c r="G37" s="4"/>
      <c r="H37" s="4"/>
      <c r="I37" s="4"/>
      <c r="J37" s="590">
        <f>C37*E37</f>
        <v>238.89051000000003</v>
      </c>
    </row>
    <row r="38" spans="1:10" ht="12.75" hidden="1">
      <c r="A38" s="14"/>
      <c r="B38" s="591"/>
      <c r="C38" s="590"/>
      <c r="D38" s="4"/>
      <c r="E38" s="18"/>
      <c r="F38" s="4"/>
      <c r="G38" s="4"/>
      <c r="H38" s="4"/>
      <c r="I38" s="4"/>
      <c r="J38" s="590"/>
    </row>
    <row r="39" spans="1:10" ht="26.25" hidden="1" outlineLevel="1">
      <c r="A39" s="14" t="s">
        <v>1010</v>
      </c>
      <c r="B39" s="26" t="s">
        <v>1293</v>
      </c>
      <c r="C39" s="590"/>
      <c r="D39" s="4"/>
      <c r="E39" s="18"/>
      <c r="F39" s="4"/>
      <c r="G39" s="4"/>
      <c r="H39" s="4"/>
      <c r="I39" s="4"/>
      <c r="J39" s="590"/>
    </row>
    <row r="40" spans="1:10" ht="12.75" hidden="1" outlineLevel="1">
      <c r="A40" s="14" t="s">
        <v>1011</v>
      </c>
      <c r="B40" s="591"/>
      <c r="C40" s="590"/>
      <c r="D40" s="4"/>
      <c r="E40" s="18"/>
      <c r="F40" s="4"/>
      <c r="G40" s="4"/>
      <c r="H40" s="4"/>
      <c r="I40" s="4"/>
      <c r="J40" s="590"/>
    </row>
    <row r="41" spans="1:10" ht="12.75" hidden="1" outlineLevel="1">
      <c r="A41" s="14" t="s">
        <v>1012</v>
      </c>
      <c r="B41" s="28" t="s">
        <v>610</v>
      </c>
      <c r="C41" s="590"/>
      <c r="D41" s="4"/>
      <c r="E41" s="18"/>
      <c r="F41" s="4"/>
      <c r="G41" s="4"/>
      <c r="H41" s="4"/>
      <c r="I41" s="4"/>
      <c r="J41" s="590"/>
    </row>
    <row r="42" spans="1:10" ht="13.5" customHeight="1" hidden="1">
      <c r="A42" s="2170" t="s">
        <v>1007</v>
      </c>
      <c r="B42" s="2171"/>
      <c r="C42" s="2171"/>
      <c r="D42" s="2171"/>
      <c r="E42" s="2171"/>
      <c r="F42" s="2171"/>
      <c r="G42" s="2171"/>
      <c r="H42" s="2171"/>
      <c r="I42" s="2171"/>
      <c r="J42" s="2172"/>
    </row>
    <row r="43" spans="1:10" ht="12.75">
      <c r="A43" s="2162" t="s">
        <v>127</v>
      </c>
      <c r="B43" s="2163"/>
      <c r="C43" s="2163"/>
      <c r="D43" s="2163"/>
      <c r="E43" s="2163"/>
      <c r="F43" s="2163"/>
      <c r="G43" s="2163"/>
      <c r="H43" s="2163"/>
      <c r="I43" s="2163"/>
      <c r="J43" s="2164"/>
    </row>
    <row r="44" spans="1:10" ht="12.75">
      <c r="A44" s="14" t="s">
        <v>1017</v>
      </c>
      <c r="B44" s="26" t="s">
        <v>1329</v>
      </c>
      <c r="C44" s="19">
        <f>C47</f>
        <v>0.074</v>
      </c>
      <c r="D44" s="19">
        <f>C44/(273*24)*1000</f>
        <v>0.011294261294261294</v>
      </c>
      <c r="E44" s="807">
        <f>E47</f>
        <v>7789</v>
      </c>
      <c r="F44" s="531"/>
      <c r="G44" s="531"/>
      <c r="H44" s="531"/>
      <c r="I44" s="531"/>
      <c r="J44" s="589">
        <f>J47</f>
        <v>579</v>
      </c>
    </row>
    <row r="45" spans="1:10" ht="12.75">
      <c r="A45" s="14" t="s">
        <v>1009</v>
      </c>
      <c r="B45" s="6" t="s">
        <v>841</v>
      </c>
      <c r="C45" s="590"/>
      <c r="D45" s="4"/>
      <c r="E45" s="592"/>
      <c r="F45" s="4"/>
      <c r="G45" s="4"/>
      <c r="H45" s="4"/>
      <c r="I45" s="4"/>
      <c r="J45" s="590"/>
    </row>
    <row r="46" spans="1:10" ht="12.75">
      <c r="A46" s="14" t="s">
        <v>145</v>
      </c>
      <c r="B46" s="6" t="s">
        <v>842</v>
      </c>
      <c r="C46" s="590"/>
      <c r="D46" s="4"/>
      <c r="E46" s="592"/>
      <c r="F46" s="4"/>
      <c r="G46" s="4"/>
      <c r="H46" s="4"/>
      <c r="I46" s="4"/>
      <c r="J46" s="590"/>
    </row>
    <row r="47" spans="1:10" ht="12.75">
      <c r="A47" s="14" t="s">
        <v>629</v>
      </c>
      <c r="B47" s="990" t="s">
        <v>128</v>
      </c>
      <c r="C47" s="19">
        <f>C48+C49</f>
        <v>0.074</v>
      </c>
      <c r="D47" s="991">
        <f>D48+D49</f>
        <v>0.011253041362530414</v>
      </c>
      <c r="E47" s="589">
        <v>7789</v>
      </c>
      <c r="F47" s="531"/>
      <c r="G47" s="531"/>
      <c r="H47" s="531"/>
      <c r="I47" s="531"/>
      <c r="J47" s="589">
        <f>SUM(J48:J49)</f>
        <v>579</v>
      </c>
    </row>
    <row r="48" spans="1:11" ht="12.75">
      <c r="A48" s="14" t="s">
        <v>172</v>
      </c>
      <c r="B48" s="593" t="s">
        <v>707</v>
      </c>
      <c r="C48" s="18">
        <v>0.046</v>
      </c>
      <c r="D48" s="182">
        <f>C48/(274*24)*1000</f>
        <v>0.006995133819951338</v>
      </c>
      <c r="E48" s="590">
        <v>7561</v>
      </c>
      <c r="F48" s="4"/>
      <c r="G48" s="4"/>
      <c r="H48" s="4"/>
      <c r="I48" s="4"/>
      <c r="J48" s="590">
        <v>351</v>
      </c>
      <c r="K48" s="190"/>
    </row>
    <row r="49" spans="1:10" ht="12.75">
      <c r="A49" s="14" t="s">
        <v>173</v>
      </c>
      <c r="B49" s="593" t="s">
        <v>708</v>
      </c>
      <c r="C49" s="18">
        <v>0.028</v>
      </c>
      <c r="D49" s="182">
        <f>C49/(274*24)*1000</f>
        <v>0.004257907542579075</v>
      </c>
      <c r="E49" s="590">
        <v>8174</v>
      </c>
      <c r="F49" s="4"/>
      <c r="G49" s="4"/>
      <c r="H49" s="4"/>
      <c r="I49" s="4"/>
      <c r="J49" s="590">
        <v>228</v>
      </c>
    </row>
    <row r="50" spans="1:10" ht="12.75">
      <c r="A50" s="14"/>
      <c r="B50" s="591"/>
      <c r="C50" s="590"/>
      <c r="D50" s="4"/>
      <c r="E50" s="18"/>
      <c r="F50" s="4"/>
      <c r="G50" s="4"/>
      <c r="H50" s="4"/>
      <c r="I50" s="4"/>
      <c r="J50" s="590"/>
    </row>
    <row r="51" spans="1:10" ht="26.25" hidden="1" outlineLevel="1">
      <c r="A51" s="14" t="s">
        <v>1010</v>
      </c>
      <c r="B51" s="26" t="s">
        <v>1293</v>
      </c>
      <c r="C51" s="590"/>
      <c r="D51" s="4"/>
      <c r="E51" s="18"/>
      <c r="F51" s="4"/>
      <c r="G51" s="4"/>
      <c r="H51" s="4"/>
      <c r="I51" s="4"/>
      <c r="J51" s="590"/>
    </row>
    <row r="52" spans="1:10" ht="12.75" hidden="1" outlineLevel="1">
      <c r="A52" s="14" t="s">
        <v>1011</v>
      </c>
      <c r="B52" s="591"/>
      <c r="C52" s="590"/>
      <c r="D52" s="4"/>
      <c r="E52" s="18"/>
      <c r="F52" s="4"/>
      <c r="G52" s="4"/>
      <c r="H52" s="4"/>
      <c r="I52" s="4"/>
      <c r="J52" s="590"/>
    </row>
    <row r="53" spans="1:10" ht="12.75" hidden="1" outlineLevel="1">
      <c r="A53" s="14" t="s">
        <v>1012</v>
      </c>
      <c r="B53" s="28" t="s">
        <v>610</v>
      </c>
      <c r="C53" s="590"/>
      <c r="D53" s="4"/>
      <c r="E53" s="18"/>
      <c r="F53" s="4"/>
      <c r="G53" s="4"/>
      <c r="H53" s="4"/>
      <c r="I53" s="4"/>
      <c r="J53" s="590"/>
    </row>
    <row r="54" spans="1:10" ht="12.75" collapsed="1">
      <c r="A54" s="2162" t="s">
        <v>813</v>
      </c>
      <c r="B54" s="2163"/>
      <c r="C54" s="2163"/>
      <c r="D54" s="2163"/>
      <c r="E54" s="2163"/>
      <c r="F54" s="2163"/>
      <c r="G54" s="2163"/>
      <c r="H54" s="2163"/>
      <c r="I54" s="2163"/>
      <c r="J54" s="2164"/>
    </row>
    <row r="55" spans="1:10" ht="12.75">
      <c r="A55" s="594" t="s">
        <v>1017</v>
      </c>
      <c r="B55" s="595" t="s">
        <v>1329</v>
      </c>
      <c r="C55" s="19">
        <f>C58</f>
        <v>107.25623999999999</v>
      </c>
      <c r="D55" s="19">
        <f>C55/(273*24)*1000</f>
        <v>16.369999999999997</v>
      </c>
      <c r="E55" s="589">
        <f>E58</f>
        <v>7799</v>
      </c>
      <c r="F55" s="531"/>
      <c r="G55" s="531"/>
      <c r="H55" s="531"/>
      <c r="I55" s="531"/>
      <c r="J55" s="589">
        <f>C55*E55/1000</f>
        <v>836.4914157599999</v>
      </c>
    </row>
    <row r="56" spans="1:10" ht="12.75">
      <c r="A56" s="594" t="s">
        <v>1009</v>
      </c>
      <c r="B56" s="598" t="s">
        <v>841</v>
      </c>
      <c r="C56" s="599"/>
      <c r="D56" s="32"/>
      <c r="E56" s="91"/>
      <c r="F56" s="32"/>
      <c r="G56" s="32"/>
      <c r="H56" s="32"/>
      <c r="I56" s="32"/>
      <c r="J56" s="599"/>
    </row>
    <row r="57" spans="1:10" ht="12.75">
      <c r="A57" s="594" t="s">
        <v>145</v>
      </c>
      <c r="B57" s="598" t="s">
        <v>842</v>
      </c>
      <c r="C57" s="599"/>
      <c r="D57" s="32"/>
      <c r="E57" s="91"/>
      <c r="F57" s="32"/>
      <c r="G57" s="32"/>
      <c r="H57" s="32"/>
      <c r="I57" s="32"/>
      <c r="J57" s="599"/>
    </row>
    <row r="58" spans="1:10" ht="12.75">
      <c r="A58" s="594" t="s">
        <v>629</v>
      </c>
      <c r="B58" s="990" t="s">
        <v>128</v>
      </c>
      <c r="C58" s="19">
        <f>'4.7 расшиф.-ээ'!J50</f>
        <v>107.25623999999999</v>
      </c>
      <c r="D58" s="19">
        <f>D59+D60</f>
        <v>16.310255474452553</v>
      </c>
      <c r="E58" s="597">
        <v>7799</v>
      </c>
      <c r="F58" s="596"/>
      <c r="G58" s="596"/>
      <c r="H58" s="596"/>
      <c r="I58" s="596"/>
      <c r="J58" s="597">
        <f>SUM(J59:J60)</f>
        <v>836.53312652</v>
      </c>
    </row>
    <row r="59" spans="1:10" ht="12.75">
      <c r="A59" s="594" t="s">
        <v>172</v>
      </c>
      <c r="B59" s="600" t="s">
        <v>707</v>
      </c>
      <c r="C59" s="18">
        <f>'4.7 расшиф.-ээ'!J50/9*5.5</f>
        <v>65.54548</v>
      </c>
      <c r="D59" s="182">
        <f>C59/(274*24)*1000</f>
        <v>9.967378345498783</v>
      </c>
      <c r="E59" s="599">
        <v>7561</v>
      </c>
      <c r="F59" s="32"/>
      <c r="G59" s="32"/>
      <c r="H59" s="32"/>
      <c r="I59" s="32"/>
      <c r="J59" s="599">
        <f>C59*E59/1000</f>
        <v>495.58937428</v>
      </c>
    </row>
    <row r="60" spans="1:10" ht="12.75">
      <c r="A60" s="594" t="s">
        <v>173</v>
      </c>
      <c r="B60" s="600" t="s">
        <v>708</v>
      </c>
      <c r="C60" s="18">
        <f>C58-C59</f>
        <v>41.71075999999999</v>
      </c>
      <c r="D60" s="182">
        <f>C60/(274*24)*1000</f>
        <v>6.342877128953771</v>
      </c>
      <c r="E60" s="599">
        <v>8174</v>
      </c>
      <c r="F60" s="32"/>
      <c r="G60" s="32"/>
      <c r="H60" s="32"/>
      <c r="I60" s="32"/>
      <c r="J60" s="599">
        <f>C60*E60/1000</f>
        <v>340.9437522399999</v>
      </c>
    </row>
    <row r="61" spans="1:10" ht="12.75">
      <c r="A61" s="594"/>
      <c r="B61" s="809"/>
      <c r="C61" s="599"/>
      <c r="D61" s="32"/>
      <c r="E61" s="91"/>
      <c r="F61" s="32"/>
      <c r="G61" s="32"/>
      <c r="H61" s="32"/>
      <c r="I61" s="32"/>
      <c r="J61" s="599"/>
    </row>
    <row r="62" spans="1:10" ht="26.25" hidden="1" outlineLevel="1">
      <c r="A62" s="14" t="s">
        <v>1010</v>
      </c>
      <c r="B62" s="26" t="s">
        <v>1293</v>
      </c>
      <c r="C62" s="590"/>
      <c r="D62" s="4"/>
      <c r="E62" s="18"/>
      <c r="F62" s="4"/>
      <c r="G62" s="4"/>
      <c r="H62" s="4"/>
      <c r="I62" s="4"/>
      <c r="J62" s="590"/>
    </row>
    <row r="63" spans="1:10" ht="12.75" hidden="1" outlineLevel="1">
      <c r="A63" s="14" t="s">
        <v>1011</v>
      </c>
      <c r="B63" s="591"/>
      <c r="C63" s="590"/>
      <c r="D63" s="4"/>
      <c r="E63" s="18"/>
      <c r="F63" s="4"/>
      <c r="G63" s="4"/>
      <c r="H63" s="4"/>
      <c r="I63" s="4"/>
      <c r="J63" s="590"/>
    </row>
    <row r="64" spans="1:10" ht="12.75" hidden="1" outlineLevel="1">
      <c r="A64" s="14" t="s">
        <v>1012</v>
      </c>
      <c r="B64" s="28" t="s">
        <v>610</v>
      </c>
      <c r="C64" s="590"/>
      <c r="D64" s="4"/>
      <c r="E64" s="18"/>
      <c r="F64" s="4"/>
      <c r="G64" s="4"/>
      <c r="H64" s="4"/>
      <c r="I64" s="4"/>
      <c r="J64" s="590"/>
    </row>
    <row r="65" spans="1:10" ht="12.75" collapsed="1">
      <c r="A65" s="2170" t="s">
        <v>1007</v>
      </c>
      <c r="B65" s="2171"/>
      <c r="C65" s="2171"/>
      <c r="D65" s="2171"/>
      <c r="E65" s="2171"/>
      <c r="F65" s="2171"/>
      <c r="G65" s="2171"/>
      <c r="H65" s="2171"/>
      <c r="I65" s="2171"/>
      <c r="J65" s="2172"/>
    </row>
    <row r="66" spans="1:10" ht="12.75">
      <c r="A66" s="2162" t="s">
        <v>465</v>
      </c>
      <c r="B66" s="2163"/>
      <c r="C66" s="2163"/>
      <c r="D66" s="2163"/>
      <c r="E66" s="2163"/>
      <c r="F66" s="2163"/>
      <c r="G66" s="2163"/>
      <c r="H66" s="2163"/>
      <c r="I66" s="2163"/>
      <c r="J66" s="2164"/>
    </row>
    <row r="67" spans="1:10" ht="26.25">
      <c r="A67" s="14" t="s">
        <v>1017</v>
      </c>
      <c r="B67" s="26" t="s">
        <v>840</v>
      </c>
      <c r="C67" s="19">
        <f>SUM(C69:C70)</f>
        <v>107.25623999999999</v>
      </c>
      <c r="D67" s="19">
        <f>C67/(273*24)*1000</f>
        <v>16.369999999999997</v>
      </c>
      <c r="E67" s="589">
        <f>SUM(E68:E70)</f>
        <v>8.485523807141476</v>
      </c>
      <c r="F67" s="531"/>
      <c r="G67" s="531"/>
      <c r="H67" s="531"/>
      <c r="I67" s="531"/>
      <c r="J67" s="589">
        <f>SUM(J68:J70)</f>
        <v>910.1253779844799</v>
      </c>
    </row>
    <row r="68" spans="1:10" ht="12.75">
      <c r="A68" s="14" t="s">
        <v>1009</v>
      </c>
      <c r="B68" s="6" t="s">
        <v>841</v>
      </c>
      <c r="C68" s="590"/>
      <c r="D68" s="4"/>
      <c r="E68" s="590"/>
      <c r="F68" s="4"/>
      <c r="G68" s="4"/>
      <c r="H68" s="4"/>
      <c r="I68" s="4"/>
      <c r="J68" s="590"/>
    </row>
    <row r="69" spans="1:10" ht="12.75">
      <c r="A69" s="14" t="s">
        <v>145</v>
      </c>
      <c r="B69" s="6" t="s">
        <v>842</v>
      </c>
      <c r="C69" s="590"/>
      <c r="D69" s="4"/>
      <c r="E69" s="590"/>
      <c r="F69" s="4"/>
      <c r="G69" s="4"/>
      <c r="H69" s="4"/>
      <c r="I69" s="4"/>
      <c r="J69" s="590"/>
    </row>
    <row r="70" spans="1:10" ht="12.75">
      <c r="A70" s="14" t="s">
        <v>629</v>
      </c>
      <c r="B70" s="990" t="s">
        <v>128</v>
      </c>
      <c r="C70" s="19">
        <f>'4.7 расшиф.-ээ'!J50</f>
        <v>107.25623999999999</v>
      </c>
      <c r="D70" s="19">
        <f>C70/(273*24)*1000</f>
        <v>16.369999999999997</v>
      </c>
      <c r="E70" s="589">
        <f>J70/C70</f>
        <v>8.485523807141476</v>
      </c>
      <c r="F70" s="531"/>
      <c r="G70" s="531"/>
      <c r="H70" s="531"/>
      <c r="I70" s="531"/>
      <c r="J70" s="589">
        <f>SUM(J71:J72)</f>
        <v>910.1253779844799</v>
      </c>
    </row>
    <row r="71" spans="1:10" ht="12.75">
      <c r="A71" s="14" t="s">
        <v>172</v>
      </c>
      <c r="B71" s="593" t="s">
        <v>707</v>
      </c>
      <c r="C71" s="18">
        <v>65.545</v>
      </c>
      <c r="D71" s="18">
        <f>C71/(273*24)*1000</f>
        <v>10.003815628815628</v>
      </c>
      <c r="E71" s="590">
        <f>E60</f>
        <v>8174</v>
      </c>
      <c r="F71" s="4"/>
      <c r="G71" s="4"/>
      <c r="H71" s="4"/>
      <c r="I71" s="4"/>
      <c r="J71" s="590">
        <f>C71*E71/1000</f>
        <v>535.76483</v>
      </c>
    </row>
    <row r="72" spans="1:10" ht="12.75">
      <c r="A72" s="14" t="s">
        <v>173</v>
      </c>
      <c r="B72" s="593" t="s">
        <v>708</v>
      </c>
      <c r="C72" s="18">
        <f>C70-C71</f>
        <v>41.71123999999999</v>
      </c>
      <c r="D72" s="18">
        <f>C72/(273*24)*1000</f>
        <v>6.366184371184369</v>
      </c>
      <c r="E72" s="590">
        <f>E71*1.098</f>
        <v>8975.052000000001</v>
      </c>
      <c r="F72" s="4"/>
      <c r="G72" s="4"/>
      <c r="H72" s="4"/>
      <c r="I72" s="4"/>
      <c r="J72" s="590">
        <f>C72*E72/1000</f>
        <v>374.36054798448</v>
      </c>
    </row>
    <row r="73" spans="1:10" ht="12.75">
      <c r="A73" s="14"/>
      <c r="B73" s="591"/>
      <c r="C73" s="590"/>
      <c r="D73" s="4"/>
      <c r="E73" s="18"/>
      <c r="F73" s="4"/>
      <c r="G73" s="4"/>
      <c r="H73" s="4"/>
      <c r="I73" s="4"/>
      <c r="J73" s="590"/>
    </row>
    <row r="74" spans="1:10" ht="26.25" hidden="1">
      <c r="A74" s="14" t="s">
        <v>1010</v>
      </c>
      <c r="B74" s="26" t="s">
        <v>1293</v>
      </c>
      <c r="C74" s="590"/>
      <c r="D74" s="4"/>
      <c r="E74" s="18"/>
      <c r="F74" s="4"/>
      <c r="G74" s="4"/>
      <c r="H74" s="4"/>
      <c r="I74" s="4"/>
      <c r="J74" s="590"/>
    </row>
    <row r="75" spans="1:10" ht="12.75" hidden="1">
      <c r="A75" s="14" t="s">
        <v>1011</v>
      </c>
      <c r="B75" s="591"/>
      <c r="C75" s="590"/>
      <c r="D75" s="4"/>
      <c r="E75" s="18"/>
      <c r="F75" s="4"/>
      <c r="G75" s="4"/>
      <c r="H75" s="4"/>
      <c r="I75" s="4"/>
      <c r="J75" s="590"/>
    </row>
    <row r="76" spans="1:10" ht="12.75" hidden="1">
      <c r="A76" s="14" t="s">
        <v>1012</v>
      </c>
      <c r="B76" s="28" t="s">
        <v>610</v>
      </c>
      <c r="C76" s="590"/>
      <c r="D76" s="4"/>
      <c r="E76" s="18"/>
      <c r="F76" s="4"/>
      <c r="G76" s="4"/>
      <c r="H76" s="4"/>
      <c r="I76" s="4"/>
      <c r="J76" s="590"/>
    </row>
    <row r="77" spans="1:10" ht="12.75">
      <c r="A77" s="2162" t="s">
        <v>1489</v>
      </c>
      <c r="B77" s="2163"/>
      <c r="C77" s="2163"/>
      <c r="D77" s="2163"/>
      <c r="E77" s="2163"/>
      <c r="F77" s="2163"/>
      <c r="G77" s="2163"/>
      <c r="H77" s="2163"/>
      <c r="I77" s="2163"/>
      <c r="J77" s="2164"/>
    </row>
    <row r="78" spans="1:10" ht="26.25">
      <c r="A78" s="594" t="s">
        <v>1017</v>
      </c>
      <c r="B78" s="26" t="s">
        <v>840</v>
      </c>
      <c r="C78" s="19">
        <f>SUM(C80:C81)</f>
        <v>107.25623999999999</v>
      </c>
      <c r="D78" s="19">
        <f>C78/(273*24)*1000</f>
        <v>16.369999999999997</v>
      </c>
      <c r="E78" s="597">
        <f>E81</f>
        <v>9.264747673422079</v>
      </c>
      <c r="F78" s="596"/>
      <c r="G78" s="596"/>
      <c r="H78" s="596"/>
      <c r="I78" s="596"/>
      <c r="J78" s="597">
        <f>SUM(J79:J81)</f>
        <v>993.702</v>
      </c>
    </row>
    <row r="79" spans="1:10" ht="12.75">
      <c r="A79" s="594" t="s">
        <v>1009</v>
      </c>
      <c r="B79" s="6" t="s">
        <v>841</v>
      </c>
      <c r="C79" s="590"/>
      <c r="D79" s="4"/>
      <c r="E79" s="599"/>
      <c r="F79" s="32"/>
      <c r="G79" s="32"/>
      <c r="H79" s="32"/>
      <c r="I79" s="32"/>
      <c r="J79" s="599"/>
    </row>
    <row r="80" spans="1:10" ht="12.75">
      <c r="A80" s="594" t="s">
        <v>145</v>
      </c>
      <c r="B80" s="6" t="s">
        <v>842</v>
      </c>
      <c r="C80" s="590"/>
      <c r="D80" s="4"/>
      <c r="E80" s="599"/>
      <c r="F80" s="32"/>
      <c r="G80" s="32"/>
      <c r="H80" s="32"/>
      <c r="I80" s="32"/>
      <c r="J80" s="599"/>
    </row>
    <row r="81" spans="1:10" ht="12.75">
      <c r="A81" s="594" t="s">
        <v>629</v>
      </c>
      <c r="B81" s="6"/>
      <c r="C81" s="19">
        <f>'4.7 расшиф.-ээ'!J50</f>
        <v>107.25623999999999</v>
      </c>
      <c r="D81" s="19">
        <f>C81/(273*24)*1000</f>
        <v>16.369999999999997</v>
      </c>
      <c r="E81" s="589">
        <f>J81/C81</f>
        <v>9.264747673422079</v>
      </c>
      <c r="F81" s="596"/>
      <c r="G81" s="596"/>
      <c r="H81" s="596"/>
      <c r="I81" s="596"/>
      <c r="J81" s="597">
        <f>SUM(J82:J83)</f>
        <v>993.702</v>
      </c>
    </row>
    <row r="82" spans="1:10" ht="12.75">
      <c r="A82" s="594" t="s">
        <v>172</v>
      </c>
      <c r="B82" s="593" t="s">
        <v>707</v>
      </c>
      <c r="C82" s="18">
        <v>65.545</v>
      </c>
      <c r="D82" s="18">
        <f>C82/(273*24)*1000</f>
        <v>10.003815628815628</v>
      </c>
      <c r="E82" s="599">
        <f>E72</f>
        <v>8975.052000000001</v>
      </c>
      <c r="F82" s="32"/>
      <c r="G82" s="32"/>
      <c r="H82" s="32"/>
      <c r="I82" s="32"/>
      <c r="J82" s="599">
        <f>ROUND(C82*E82,0)/1000</f>
        <v>588.27</v>
      </c>
    </row>
    <row r="83" spans="1:10" ht="12.75">
      <c r="A83" s="594" t="s">
        <v>173</v>
      </c>
      <c r="B83" s="593" t="s">
        <v>708</v>
      </c>
      <c r="C83" s="18">
        <f>C81-C82</f>
        <v>41.71123999999999</v>
      </c>
      <c r="D83" s="18">
        <f>C83/(273*24)*1000</f>
        <v>6.366184371184369</v>
      </c>
      <c r="E83" s="599">
        <f>E82*1.083</f>
        <v>9719.981316000001</v>
      </c>
      <c r="F83" s="32"/>
      <c r="G83" s="32"/>
      <c r="H83" s="32"/>
      <c r="I83" s="32"/>
      <c r="J83" s="599">
        <f>ROUND(C83*E83,0)/1000</f>
        <v>405.432</v>
      </c>
    </row>
    <row r="84" spans="1:10" ht="12.75">
      <c r="A84" s="594"/>
      <c r="B84" s="809"/>
      <c r="C84" s="599"/>
      <c r="D84" s="32"/>
      <c r="E84" s="91"/>
      <c r="F84" s="32"/>
      <c r="G84" s="32"/>
      <c r="H84" s="32"/>
      <c r="I84" s="32"/>
      <c r="J84" s="599"/>
    </row>
    <row r="85" spans="1:10" ht="12.75">
      <c r="A85" s="2162" t="s">
        <v>814</v>
      </c>
      <c r="B85" s="2163"/>
      <c r="C85" s="2163"/>
      <c r="D85" s="2163"/>
      <c r="E85" s="2163"/>
      <c r="F85" s="2163"/>
      <c r="G85" s="2163"/>
      <c r="H85" s="2163"/>
      <c r="I85" s="2163"/>
      <c r="J85" s="2164"/>
    </row>
    <row r="86" spans="1:10" ht="26.25">
      <c r="A86" s="594" t="s">
        <v>1017</v>
      </c>
      <c r="B86" s="26" t="s">
        <v>840</v>
      </c>
      <c r="C86" s="19">
        <f>SUM(C88:C89)</f>
        <v>107.25623999999999</v>
      </c>
      <c r="D86" s="19">
        <f>C86/(273*24)*1000</f>
        <v>16.369999999999997</v>
      </c>
      <c r="E86" s="597">
        <f>E89</f>
        <v>10.033719250273926</v>
      </c>
      <c r="F86" s="596"/>
      <c r="G86" s="596"/>
      <c r="H86" s="596"/>
      <c r="I86" s="596"/>
      <c r="J86" s="597">
        <f>SUM(J87:J89)</f>
        <v>1076.179</v>
      </c>
    </row>
    <row r="87" spans="1:10" ht="12.75">
      <c r="A87" s="594" t="s">
        <v>1009</v>
      </c>
      <c r="B87" s="6" t="s">
        <v>841</v>
      </c>
      <c r="C87" s="590"/>
      <c r="D87" s="4"/>
      <c r="E87" s="599"/>
      <c r="F87" s="32"/>
      <c r="G87" s="32"/>
      <c r="H87" s="32"/>
      <c r="I87" s="32"/>
      <c r="J87" s="599"/>
    </row>
    <row r="88" spans="1:10" ht="12.75">
      <c r="A88" s="594" t="s">
        <v>145</v>
      </c>
      <c r="B88" s="6" t="s">
        <v>842</v>
      </c>
      <c r="C88" s="590"/>
      <c r="D88" s="4"/>
      <c r="E88" s="599"/>
      <c r="F88" s="32"/>
      <c r="G88" s="32"/>
      <c r="H88" s="32"/>
      <c r="I88" s="32"/>
      <c r="J88" s="599"/>
    </row>
    <row r="89" spans="1:10" ht="12.75">
      <c r="A89" s="594" t="s">
        <v>629</v>
      </c>
      <c r="B89" s="6"/>
      <c r="C89" s="19">
        <f>'4.7 расшиф.-ээ'!J50</f>
        <v>107.25623999999999</v>
      </c>
      <c r="D89" s="19">
        <f>C89/(273*24)*1000</f>
        <v>16.369999999999997</v>
      </c>
      <c r="E89" s="589">
        <f>J89/C89</f>
        <v>10.033719250273926</v>
      </c>
      <c r="F89" s="596"/>
      <c r="G89" s="596"/>
      <c r="H89" s="596"/>
      <c r="I89" s="596"/>
      <c r="J89" s="597">
        <f>SUM(J90:J91)</f>
        <v>1076.179</v>
      </c>
    </row>
    <row r="90" spans="1:10" ht="12.75">
      <c r="A90" s="594" t="s">
        <v>172</v>
      </c>
      <c r="B90" s="593" t="s">
        <v>707</v>
      </c>
      <c r="C90" s="18">
        <v>65.545</v>
      </c>
      <c r="D90" s="18">
        <f>C90/(273*24)*1000</f>
        <v>10.003815628815628</v>
      </c>
      <c r="E90" s="599">
        <f>E82*1.083</f>
        <v>9719.981316000001</v>
      </c>
      <c r="F90" s="32"/>
      <c r="G90" s="32"/>
      <c r="H90" s="32"/>
      <c r="I90" s="32"/>
      <c r="J90" s="599">
        <f>ROUND(C90*E90,0)/1000</f>
        <v>637.096</v>
      </c>
    </row>
    <row r="91" spans="1:10" ht="12.75">
      <c r="A91" s="594" t="s">
        <v>173</v>
      </c>
      <c r="B91" s="593" t="s">
        <v>708</v>
      </c>
      <c r="C91" s="18">
        <f>C89-C90</f>
        <v>41.71123999999999</v>
      </c>
      <c r="D91" s="18">
        <f>C91/(273*24)*1000</f>
        <v>6.366184371184369</v>
      </c>
      <c r="E91" s="599">
        <f>E90*1.083</f>
        <v>10526.739765228001</v>
      </c>
      <c r="F91" s="32"/>
      <c r="G91" s="32"/>
      <c r="H91" s="32"/>
      <c r="I91" s="32"/>
      <c r="J91" s="599">
        <f>ROUND(C91*E91,0)/1000</f>
        <v>439.083</v>
      </c>
    </row>
    <row r="92" spans="1:10" ht="12.75">
      <c r="A92" s="594"/>
      <c r="B92" s="809"/>
      <c r="C92" s="599"/>
      <c r="D92" s="32"/>
      <c r="E92" s="91"/>
      <c r="F92" s="32"/>
      <c r="G92" s="32"/>
      <c r="H92" s="32"/>
      <c r="I92" s="32"/>
      <c r="J92" s="599"/>
    </row>
    <row r="95" ht="12.75">
      <c r="A95" s="1" t="s">
        <v>4</v>
      </c>
    </row>
  </sheetData>
  <sheetProtection/>
  <mergeCells count="24">
    <mergeCell ref="A77:J77"/>
    <mergeCell ref="A66:J66"/>
    <mergeCell ref="A65:J65"/>
    <mergeCell ref="A42:J42"/>
    <mergeCell ref="A54:J54"/>
    <mergeCell ref="A43:J43"/>
    <mergeCell ref="A22:J22"/>
    <mergeCell ref="A31:J31"/>
    <mergeCell ref="E6:G6"/>
    <mergeCell ref="A13:J13"/>
    <mergeCell ref="F7:G7"/>
    <mergeCell ref="H6:J6"/>
    <mergeCell ref="A12:J12"/>
    <mergeCell ref="E7:E8"/>
    <mergeCell ref="A85:J85"/>
    <mergeCell ref="I1:J1"/>
    <mergeCell ref="A4:J4"/>
    <mergeCell ref="A6:A9"/>
    <mergeCell ref="B6:B9"/>
    <mergeCell ref="C6:C9"/>
    <mergeCell ref="H7:H9"/>
    <mergeCell ref="I7:I9"/>
    <mergeCell ref="J7:J9"/>
    <mergeCell ref="D6:D9"/>
  </mergeCells>
  <printOptions/>
  <pageMargins left="0.7874015748031497" right="0.35433070866141736" top="0.4724409448818898" bottom="0.4330708661417323" header="0.31496062992125984" footer="0.3149606299212598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84"/>
  <sheetViews>
    <sheetView workbookViewId="0" topLeftCell="A1">
      <selection activeCell="B20" sqref="B20"/>
    </sheetView>
  </sheetViews>
  <sheetFormatPr defaultColWidth="9.140625" defaultRowHeight="15"/>
  <cols>
    <col min="2" max="2" width="10.28125" style="0" customWidth="1"/>
    <col min="3" max="3" width="7.421875" style="0" customWidth="1"/>
    <col min="4" max="4" width="6.57421875" style="0" customWidth="1"/>
    <col min="5" max="5" width="6.140625" style="0" customWidth="1"/>
    <col min="6" max="6" width="5.57421875" style="0" customWidth="1"/>
    <col min="7" max="7" width="26.57421875" style="0" customWidth="1"/>
    <col min="8" max="8" width="6.8515625" style="0" customWidth="1"/>
    <col min="9" max="10" width="6.421875" style="0" customWidth="1"/>
    <col min="11" max="11" width="6.28125" style="0" customWidth="1"/>
    <col min="12" max="12" width="5.8515625" style="0" customWidth="1"/>
    <col min="13" max="13" width="6.57421875" style="0" customWidth="1"/>
    <col min="14" max="15" width="7.00390625" style="0" customWidth="1"/>
    <col min="16" max="16" width="7.140625" style="0" customWidth="1"/>
    <col min="17" max="17" width="6.8515625" style="0" customWidth="1"/>
    <col min="18" max="19" width="6.57421875" style="0" customWidth="1"/>
    <col min="20" max="20" width="6.8515625" style="0" customWidth="1"/>
    <col min="21" max="21" width="7.140625" style="0" customWidth="1"/>
    <col min="22" max="22" width="6.28125" style="0" customWidth="1"/>
    <col min="23" max="23" width="6.57421875" style="0" customWidth="1"/>
    <col min="24" max="24" width="6.8515625" style="0" customWidth="1"/>
    <col min="25" max="25" width="7.57421875" style="0" customWidth="1"/>
    <col min="26" max="26" width="6.7109375" style="0" customWidth="1"/>
    <col min="27" max="27" width="6.8515625" style="0" customWidth="1"/>
    <col min="28" max="28" width="7.421875" style="0" customWidth="1"/>
    <col min="29" max="29" width="6.7109375" style="0" customWidth="1"/>
    <col min="30" max="30" width="7.00390625" style="0" customWidth="1"/>
    <col min="31" max="31" width="7.7109375" style="0" customWidth="1"/>
    <col min="32" max="32" width="6.421875" style="0" customWidth="1"/>
    <col min="33" max="33" width="6.00390625" style="0" customWidth="1"/>
    <col min="34" max="34" width="7.7109375" style="0" customWidth="1"/>
    <col min="35" max="37" width="6.7109375" style="0" customWidth="1"/>
    <col min="38" max="38" width="6.421875" style="0" customWidth="1"/>
    <col min="39" max="40" width="7.57421875" style="0" customWidth="1"/>
    <col min="41" max="41" width="7.421875" style="0" customWidth="1"/>
    <col min="42" max="42" width="7.28125" style="0" customWidth="1"/>
    <col min="43" max="43" width="7.57421875" style="0" customWidth="1"/>
    <col min="45" max="45" width="5.8515625" style="0" hidden="1" customWidth="1"/>
    <col min="46" max="46" width="7.57421875" style="0" hidden="1" customWidth="1"/>
    <col min="47" max="47" width="7.140625" style="0" hidden="1" customWidth="1"/>
    <col min="48" max="48" width="7.28125" style="0" hidden="1" customWidth="1"/>
    <col min="49" max="50" width="7.00390625" style="0" hidden="1" customWidth="1"/>
    <col min="51" max="51" width="7.140625" style="0" hidden="1" customWidth="1"/>
    <col min="52" max="53" width="7.28125" style="0" hidden="1" customWidth="1"/>
    <col min="54" max="54" width="7.57421875" style="0" hidden="1" customWidth="1"/>
    <col min="55" max="55" width="6.8515625" style="0" hidden="1" customWidth="1"/>
    <col min="56" max="56" width="7.140625" style="0" hidden="1" customWidth="1"/>
    <col min="57" max="57" width="5.8515625" style="0" hidden="1" customWidth="1"/>
    <col min="58" max="58" width="7.28125" style="0" hidden="1" customWidth="1"/>
  </cols>
  <sheetData>
    <row r="1" spans="1:61" ht="18">
      <c r="A1" s="772" t="s">
        <v>1215</v>
      </c>
      <c r="B1" s="773"/>
      <c r="C1" s="774"/>
      <c r="D1" s="775"/>
      <c r="E1" s="776"/>
      <c r="F1" s="1487"/>
      <c r="G1" s="1488"/>
      <c r="H1" s="1488" t="s">
        <v>710</v>
      </c>
      <c r="I1" s="1489"/>
      <c r="J1" s="1490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  <c r="AA1" s="776"/>
      <c r="AB1" s="776"/>
      <c r="AC1" s="776"/>
      <c r="AD1" s="776"/>
      <c r="AE1" s="776"/>
      <c r="AF1" s="776"/>
      <c r="AG1" s="776"/>
      <c r="AH1" s="776"/>
      <c r="AI1" s="776"/>
      <c r="AJ1" s="776"/>
      <c r="AK1" s="776"/>
      <c r="AL1" s="776"/>
      <c r="AM1" s="776"/>
      <c r="AN1" s="776"/>
      <c r="AO1" s="776"/>
      <c r="AP1" s="776"/>
      <c r="AQ1" s="776"/>
      <c r="AR1" s="779"/>
      <c r="AS1" s="779"/>
      <c r="AT1" s="776"/>
      <c r="AU1" s="776"/>
      <c r="AV1" s="776"/>
      <c r="AW1" s="776"/>
      <c r="AX1" s="776"/>
      <c r="AY1" s="776"/>
      <c r="AZ1" s="776"/>
      <c r="BA1" s="776"/>
      <c r="BB1" s="776"/>
      <c r="BC1" s="776"/>
      <c r="BD1" s="776"/>
      <c r="BE1" s="776"/>
      <c r="BF1" s="776"/>
      <c r="BG1" s="776"/>
      <c r="BH1" s="776"/>
      <c r="BI1" s="777"/>
    </row>
    <row r="2" spans="1:61" ht="15.75">
      <c r="A2" s="779" t="s">
        <v>711</v>
      </c>
      <c r="B2" s="778"/>
      <c r="C2" s="778"/>
      <c r="D2" s="779"/>
      <c r="E2" s="776"/>
      <c r="F2" s="1491"/>
      <c r="G2" s="1492">
        <v>0.0489</v>
      </c>
      <c r="H2" s="1491" t="s">
        <v>712</v>
      </c>
      <c r="I2" s="1493"/>
      <c r="J2" s="1493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  <c r="AJ2" s="776"/>
      <c r="AK2" s="776"/>
      <c r="AL2" s="776"/>
      <c r="AM2" s="776"/>
      <c r="AN2" s="776"/>
      <c r="AO2" s="776"/>
      <c r="AP2" s="776"/>
      <c r="AQ2" s="776"/>
      <c r="AR2" s="779"/>
      <c r="AS2" s="779"/>
      <c r="AT2" s="776"/>
      <c r="AU2" s="776"/>
      <c r="AV2" s="776"/>
      <c r="AW2" s="776"/>
      <c r="AX2" s="776"/>
      <c r="AY2" s="776"/>
      <c r="AZ2" s="776"/>
      <c r="BA2" s="776"/>
      <c r="BB2" s="776"/>
      <c r="BC2" s="776"/>
      <c r="BD2" s="776"/>
      <c r="BE2" s="776"/>
      <c r="BF2" s="776"/>
      <c r="BG2" s="776"/>
      <c r="BH2" s="776"/>
      <c r="BI2" s="777"/>
    </row>
    <row r="3" spans="1:61" ht="16.5" thickBot="1">
      <c r="A3" s="779" t="s">
        <v>713</v>
      </c>
      <c r="B3" s="778"/>
      <c r="C3" s="778"/>
      <c r="D3" s="779"/>
      <c r="E3" s="776"/>
      <c r="F3" s="776"/>
      <c r="G3" s="776"/>
      <c r="H3" s="776"/>
      <c r="I3" s="776"/>
      <c r="J3" s="776"/>
      <c r="K3" s="781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  <c r="AG3" s="776"/>
      <c r="AH3" s="776"/>
      <c r="AI3" s="776"/>
      <c r="AJ3" s="776"/>
      <c r="AK3" s="776"/>
      <c r="AL3" s="776"/>
      <c r="AM3" s="776"/>
      <c r="AN3" s="776"/>
      <c r="AO3" s="776"/>
      <c r="AP3" s="776"/>
      <c r="AQ3" s="776"/>
      <c r="AR3" s="1486"/>
      <c r="AS3" s="779"/>
      <c r="AT3" s="776"/>
      <c r="AU3" s="776"/>
      <c r="AV3" s="776"/>
      <c r="AW3" s="776"/>
      <c r="AX3" s="776"/>
      <c r="AY3" s="776"/>
      <c r="AZ3" s="776"/>
      <c r="BA3" s="776"/>
      <c r="BB3" s="776"/>
      <c r="BC3" s="776"/>
      <c r="BD3" s="776"/>
      <c r="BE3" s="776"/>
      <c r="BF3" s="776"/>
      <c r="BG3" s="776"/>
      <c r="BH3" s="776"/>
      <c r="BI3" s="777"/>
    </row>
    <row r="4" spans="1:66" ht="15">
      <c r="A4" s="2056" t="s">
        <v>1216</v>
      </c>
      <c r="B4" s="2058" t="s">
        <v>1217</v>
      </c>
      <c r="C4" s="2060" t="s">
        <v>1218</v>
      </c>
      <c r="D4" s="2060" t="s">
        <v>1219</v>
      </c>
      <c r="E4" s="2056" t="s">
        <v>652</v>
      </c>
      <c r="F4" s="2064" t="s">
        <v>1220</v>
      </c>
      <c r="G4" s="2066" t="s">
        <v>1016</v>
      </c>
      <c r="H4" s="2062" t="s">
        <v>1221</v>
      </c>
      <c r="I4" s="2063"/>
      <c r="J4" s="2063"/>
      <c r="K4" s="2062" t="s">
        <v>1222</v>
      </c>
      <c r="L4" s="2063"/>
      <c r="M4" s="2063"/>
      <c r="N4" s="2062" t="s">
        <v>149</v>
      </c>
      <c r="O4" s="2063"/>
      <c r="P4" s="2063"/>
      <c r="Q4" s="2062" t="s">
        <v>150</v>
      </c>
      <c r="R4" s="2063"/>
      <c r="S4" s="2063"/>
      <c r="T4" s="2062" t="s">
        <v>94</v>
      </c>
      <c r="U4" s="2063"/>
      <c r="V4" s="2063"/>
      <c r="W4" s="2062" t="s">
        <v>95</v>
      </c>
      <c r="X4" s="2063"/>
      <c r="Y4" s="2063"/>
      <c r="Z4" s="2062" t="s">
        <v>96</v>
      </c>
      <c r="AA4" s="2063"/>
      <c r="AB4" s="2069"/>
      <c r="AC4" s="2062" t="s">
        <v>97</v>
      </c>
      <c r="AD4" s="2063"/>
      <c r="AE4" s="2063"/>
      <c r="AF4" s="2062" t="s">
        <v>98</v>
      </c>
      <c r="AG4" s="2063"/>
      <c r="AH4" s="2063"/>
      <c r="AI4" s="2062" t="s">
        <v>99</v>
      </c>
      <c r="AJ4" s="2063"/>
      <c r="AK4" s="2063"/>
      <c r="AL4" s="2062" t="s">
        <v>100</v>
      </c>
      <c r="AM4" s="2063"/>
      <c r="AN4" s="2063"/>
      <c r="AO4" s="2062" t="s">
        <v>101</v>
      </c>
      <c r="AP4" s="2063"/>
      <c r="AQ4" s="2069"/>
      <c r="AR4" s="2070" t="s">
        <v>102</v>
      </c>
      <c r="AS4" s="2071"/>
      <c r="AT4" s="2072"/>
      <c r="AU4" s="2062" t="s">
        <v>103</v>
      </c>
      <c r="AV4" s="2063"/>
      <c r="AW4" s="2063"/>
      <c r="AX4" s="2062" t="s">
        <v>104</v>
      </c>
      <c r="AY4" s="2063"/>
      <c r="AZ4" s="2063"/>
      <c r="BA4" s="2062" t="s">
        <v>105</v>
      </c>
      <c r="BB4" s="2063"/>
      <c r="BC4" s="2063"/>
      <c r="BD4" s="2062" t="s">
        <v>106</v>
      </c>
      <c r="BE4" s="2063"/>
      <c r="BF4" s="2068"/>
      <c r="BG4" s="1651" t="s">
        <v>1136</v>
      </c>
      <c r="BH4" s="1817" t="s">
        <v>1137</v>
      </c>
      <c r="BI4" s="1652"/>
      <c r="BJ4" s="527"/>
      <c r="BK4" s="527"/>
      <c r="BL4" s="527"/>
      <c r="BM4" s="527"/>
      <c r="BN4" s="527"/>
    </row>
    <row r="5" spans="1:66" ht="57.75" customHeight="1">
      <c r="A5" s="2057"/>
      <c r="B5" s="2059"/>
      <c r="C5" s="2061"/>
      <c r="D5" s="2061"/>
      <c r="E5" s="2057"/>
      <c r="F5" s="2065"/>
      <c r="G5" s="2067"/>
      <c r="H5" s="1653" t="s">
        <v>107</v>
      </c>
      <c r="I5" s="1653" t="s">
        <v>108</v>
      </c>
      <c r="J5" s="1653" t="s">
        <v>109</v>
      </c>
      <c r="K5" s="1653" t="s">
        <v>107</v>
      </c>
      <c r="L5" s="1653" t="s">
        <v>108</v>
      </c>
      <c r="M5" s="1653" t="s">
        <v>109</v>
      </c>
      <c r="N5" s="1653" t="s">
        <v>107</v>
      </c>
      <c r="O5" s="1653" t="s">
        <v>108</v>
      </c>
      <c r="P5" s="1653" t="s">
        <v>109</v>
      </c>
      <c r="Q5" s="1653" t="s">
        <v>107</v>
      </c>
      <c r="R5" s="1653" t="s">
        <v>108</v>
      </c>
      <c r="S5" s="1653" t="s">
        <v>109</v>
      </c>
      <c r="T5" s="1653" t="s">
        <v>107</v>
      </c>
      <c r="U5" s="1653" t="s">
        <v>108</v>
      </c>
      <c r="V5" s="1653" t="s">
        <v>109</v>
      </c>
      <c r="W5" s="1653" t="s">
        <v>107</v>
      </c>
      <c r="X5" s="1653" t="s">
        <v>108</v>
      </c>
      <c r="Y5" s="1653" t="s">
        <v>109</v>
      </c>
      <c r="Z5" s="1653" t="s">
        <v>107</v>
      </c>
      <c r="AA5" s="1653" t="s">
        <v>108</v>
      </c>
      <c r="AB5" s="1653" t="s">
        <v>109</v>
      </c>
      <c r="AC5" s="1653" t="s">
        <v>107</v>
      </c>
      <c r="AD5" s="1653" t="s">
        <v>108</v>
      </c>
      <c r="AE5" s="1653" t="s">
        <v>109</v>
      </c>
      <c r="AF5" s="1653" t="s">
        <v>107</v>
      </c>
      <c r="AG5" s="1653" t="s">
        <v>108</v>
      </c>
      <c r="AH5" s="1653" t="s">
        <v>109</v>
      </c>
      <c r="AI5" s="1653" t="s">
        <v>107</v>
      </c>
      <c r="AJ5" s="1653" t="s">
        <v>108</v>
      </c>
      <c r="AK5" s="1653" t="s">
        <v>109</v>
      </c>
      <c r="AL5" s="1653" t="s">
        <v>107</v>
      </c>
      <c r="AM5" s="1653" t="s">
        <v>108</v>
      </c>
      <c r="AN5" s="1653" t="s">
        <v>109</v>
      </c>
      <c r="AO5" s="1653" t="s">
        <v>107</v>
      </c>
      <c r="AP5" s="1653" t="s">
        <v>108</v>
      </c>
      <c r="AQ5" s="1654" t="s">
        <v>109</v>
      </c>
      <c r="AR5" s="1655" t="s">
        <v>107</v>
      </c>
      <c r="AS5" s="1656" t="s">
        <v>108</v>
      </c>
      <c r="AT5" s="1656" t="s">
        <v>109</v>
      </c>
      <c r="AU5" s="1653" t="s">
        <v>107</v>
      </c>
      <c r="AV5" s="1653" t="s">
        <v>108</v>
      </c>
      <c r="AW5" s="1653" t="s">
        <v>109</v>
      </c>
      <c r="AX5" s="1653" t="s">
        <v>107</v>
      </c>
      <c r="AY5" s="1653" t="s">
        <v>108</v>
      </c>
      <c r="AZ5" s="1653" t="s">
        <v>109</v>
      </c>
      <c r="BA5" s="1653" t="s">
        <v>107</v>
      </c>
      <c r="BB5" s="1653" t="s">
        <v>108</v>
      </c>
      <c r="BC5" s="1653" t="s">
        <v>109</v>
      </c>
      <c r="BD5" s="1653" t="s">
        <v>107</v>
      </c>
      <c r="BE5" s="1653" t="s">
        <v>107</v>
      </c>
      <c r="BF5" s="1657" t="s">
        <v>107</v>
      </c>
      <c r="BG5" s="1658" t="s">
        <v>107</v>
      </c>
      <c r="BH5" s="1659" t="s">
        <v>107</v>
      </c>
      <c r="BI5" s="1652"/>
      <c r="BJ5" s="527"/>
      <c r="BK5" s="527"/>
      <c r="BL5" s="527"/>
      <c r="BM5" s="527"/>
      <c r="BN5" s="527"/>
    </row>
    <row r="6" spans="1:66" ht="15">
      <c r="A6" s="1660"/>
      <c r="B6" s="1661"/>
      <c r="C6" s="1661"/>
      <c r="D6" s="1662"/>
      <c r="E6" s="1662"/>
      <c r="F6" s="1663"/>
      <c r="G6" s="1662"/>
      <c r="H6" s="1664"/>
      <c r="I6" s="1664"/>
      <c r="J6" s="1664"/>
      <c r="K6" s="1664"/>
      <c r="L6" s="1664"/>
      <c r="M6" s="1664"/>
      <c r="N6" s="1664"/>
      <c r="O6" s="1664"/>
      <c r="P6" s="1664"/>
      <c r="Q6" s="1664"/>
      <c r="R6" s="1664"/>
      <c r="S6" s="1664"/>
      <c r="T6" s="1664"/>
      <c r="U6" s="1664"/>
      <c r="V6" s="1664"/>
      <c r="W6" s="1664"/>
      <c r="X6" s="1664"/>
      <c r="Y6" s="1664"/>
      <c r="Z6" s="1664"/>
      <c r="AA6" s="1664"/>
      <c r="AB6" s="1664"/>
      <c r="AC6" s="1664"/>
      <c r="AD6" s="1664"/>
      <c r="AE6" s="1664"/>
      <c r="AF6" s="1664"/>
      <c r="AG6" s="1664"/>
      <c r="AH6" s="1664"/>
      <c r="AI6" s="1664"/>
      <c r="AJ6" s="1664"/>
      <c r="AK6" s="1664"/>
      <c r="AL6" s="1664"/>
      <c r="AM6" s="1664"/>
      <c r="AN6" s="1664"/>
      <c r="AO6" s="1664"/>
      <c r="AP6" s="1664"/>
      <c r="AQ6" s="1665"/>
      <c r="AR6" s="1664"/>
      <c r="AS6" s="1664"/>
      <c r="AT6" s="1665"/>
      <c r="AU6" s="1664"/>
      <c r="AV6" s="1664"/>
      <c r="AW6" s="1664"/>
      <c r="AX6" s="1664"/>
      <c r="AY6" s="1664"/>
      <c r="AZ6" s="1664"/>
      <c r="BA6" s="1664"/>
      <c r="BB6" s="1664"/>
      <c r="BC6" s="1664"/>
      <c r="BD6" s="1666"/>
      <c r="BE6" s="1666"/>
      <c r="BF6" s="1667"/>
      <c r="BG6" s="1668"/>
      <c r="BH6" s="1669"/>
      <c r="BI6" s="1652"/>
      <c r="BJ6" s="527"/>
      <c r="BK6" s="527"/>
      <c r="BL6" s="527"/>
      <c r="BM6" s="527"/>
      <c r="BN6" s="527"/>
    </row>
    <row r="7" spans="1:66" ht="15">
      <c r="A7" s="2073" t="s">
        <v>714</v>
      </c>
      <c r="B7" s="782" t="s">
        <v>110</v>
      </c>
      <c r="C7" s="782" t="s">
        <v>715</v>
      </c>
      <c r="D7" s="783" t="s">
        <v>111</v>
      </c>
      <c r="E7" s="1670" t="s">
        <v>637</v>
      </c>
      <c r="F7" s="1670" t="s">
        <v>112</v>
      </c>
      <c r="G7" s="1671" t="s">
        <v>113</v>
      </c>
      <c r="H7" s="1672">
        <f>SUM(H8:H9)</f>
        <v>155.89272087660916</v>
      </c>
      <c r="I7" s="1672">
        <f>SUM(I8:I9)</f>
        <v>0</v>
      </c>
      <c r="J7" s="1673">
        <f aca="true" t="shared" si="0" ref="J7:J12">H7-I7</f>
        <v>155.89272087660916</v>
      </c>
      <c r="K7" s="1672">
        <f>SUM(K8:K9)</f>
        <v>140.30231216052914</v>
      </c>
      <c r="L7" s="1672">
        <f>SUM(L8:L9)</f>
        <v>0</v>
      </c>
      <c r="M7" s="1673">
        <f>L7-K7</f>
        <v>-140.30231216052914</v>
      </c>
      <c r="N7" s="1672">
        <f>SUM(N8:N9)</f>
        <v>135.21951652993542</v>
      </c>
      <c r="O7" s="1672">
        <f>SUM(O8:O9)</f>
        <v>0</v>
      </c>
      <c r="P7" s="1673">
        <f>O7-N7</f>
        <v>-135.21951652993542</v>
      </c>
      <c r="Q7" s="1672">
        <f>SUM(Q8:Q9)</f>
        <v>103.82067310101681</v>
      </c>
      <c r="R7" s="1672">
        <f>SUM(R8:R9)</f>
        <v>0</v>
      </c>
      <c r="S7" s="1673">
        <f>R7-Q7</f>
        <v>-103.82067310101681</v>
      </c>
      <c r="T7" s="1672">
        <f>SUM(T8:T9)</f>
        <v>76.5498574306308</v>
      </c>
      <c r="U7" s="1672">
        <f>SUM(U8:U9)</f>
        <v>0</v>
      </c>
      <c r="V7" s="1673">
        <f>U7-T7</f>
        <v>-76.5498574306308</v>
      </c>
      <c r="W7" s="1672">
        <f>SUM(W8:W9)</f>
        <v>22.170453964224105</v>
      </c>
      <c r="X7" s="1672">
        <f>SUM(X8:X9)</f>
        <v>0</v>
      </c>
      <c r="Y7" s="1673">
        <f>X7-W7</f>
        <v>-22.170453964224105</v>
      </c>
      <c r="Z7" s="1672">
        <f>SUM(Z8:Z9)</f>
        <v>0</v>
      </c>
      <c r="AA7" s="1673">
        <f>SUM(AA8:AA9)</f>
        <v>0</v>
      </c>
      <c r="AB7" s="1673">
        <f>AA7-Z7</f>
        <v>0</v>
      </c>
      <c r="AC7" s="1672">
        <f>SUM(AC8:AC9)</f>
        <v>0</v>
      </c>
      <c r="AD7" s="1673">
        <f>SUM(AD8:AD9)</f>
        <v>0</v>
      </c>
      <c r="AE7" s="1673">
        <f>AD7-AC7</f>
        <v>0</v>
      </c>
      <c r="AF7" s="1672">
        <f>SUM(AF8:AF9)</f>
        <v>20.81786614547087</v>
      </c>
      <c r="AG7" s="1673">
        <f>SUM(AG8:AG9)</f>
        <v>0</v>
      </c>
      <c r="AH7" s="1673">
        <f>AG7-AF7</f>
        <v>-20.81786614547087</v>
      </c>
      <c r="AI7" s="1672">
        <f>SUM(AI8:AI9)</f>
        <v>72.63882237029391</v>
      </c>
      <c r="AJ7" s="1672">
        <f>SUM(AJ8:AJ9)</f>
        <v>0</v>
      </c>
      <c r="AK7" s="1673">
        <f>AJ7-AI7</f>
        <v>-72.63882237029391</v>
      </c>
      <c r="AL7" s="1672">
        <f>SUM(AL8:AL9)</f>
        <v>106.5237821413976</v>
      </c>
      <c r="AM7" s="1672">
        <f>SUM(AM8:AM9)</f>
        <v>0</v>
      </c>
      <c r="AN7" s="1673">
        <f>AM7-AL7</f>
        <v>-106.5237821413976</v>
      </c>
      <c r="AO7" s="1672">
        <f>SUM(AO8:AO9)</f>
        <v>136.3365122763619</v>
      </c>
      <c r="AP7" s="1672">
        <f>SUM(AP8:AP9)</f>
        <v>0</v>
      </c>
      <c r="AQ7" s="1673">
        <f>AP7-AO7</f>
        <v>-136.3365122763619</v>
      </c>
      <c r="AR7" s="1674">
        <f>SUMIF($H$5:$AQ$5,$AR$5,H7:AQ7)</f>
        <v>970.2725169964697</v>
      </c>
      <c r="AS7" s="1675">
        <f>SUMIF($H$5:$AQ$5,$AS$5,H7:AQ7)</f>
        <v>0</v>
      </c>
      <c r="AT7" s="1675">
        <f>AR7-AS7</f>
        <v>970.2725169964697</v>
      </c>
      <c r="AU7" s="1672">
        <f>SUM(AU8:AU9)</f>
        <v>431.4145495670737</v>
      </c>
      <c r="AV7" s="1672">
        <v>0</v>
      </c>
      <c r="AW7" s="1676">
        <f aca="true" t="shared" si="1" ref="AW7:AW12">AU7-AV7</f>
        <v>431.4145495670737</v>
      </c>
      <c r="AX7" s="1672">
        <f>SUM(AX8:AX9)</f>
        <v>202.5409844958717</v>
      </c>
      <c r="AY7" s="1672">
        <v>0</v>
      </c>
      <c r="AZ7" s="1676">
        <f aca="true" t="shared" si="2" ref="AZ7:AZ12">AX7-AY7</f>
        <v>202.5409844958717</v>
      </c>
      <c r="BA7" s="1672">
        <f>SUM(BA8:BA9)</f>
        <v>20.81786614547087</v>
      </c>
      <c r="BB7" s="1672">
        <v>0</v>
      </c>
      <c r="BC7" s="1676">
        <f aca="true" t="shared" si="3" ref="BC7:BC12">BA7-BB7</f>
        <v>20.81786614547087</v>
      </c>
      <c r="BD7" s="1672">
        <f>SUM(BD8:BD9)</f>
        <v>315.49911678805347</v>
      </c>
      <c r="BE7" s="1672">
        <v>0</v>
      </c>
      <c r="BF7" s="1677">
        <f aca="true" t="shared" si="4" ref="BF7:BF12">BD7-BE7</f>
        <v>315.49911678805347</v>
      </c>
      <c r="BG7" s="1678">
        <f>SUM(BG8:BG9)</f>
        <v>633.9555340629454</v>
      </c>
      <c r="BH7" s="1679">
        <f>SUM(BH8:BH9)</f>
        <v>336.3169829335243</v>
      </c>
      <c r="BI7" s="1652"/>
      <c r="BJ7" s="527"/>
      <c r="BK7" s="527"/>
      <c r="BL7" s="527"/>
      <c r="BM7" s="527"/>
      <c r="BN7" s="527"/>
    </row>
    <row r="8" spans="1:66" ht="15">
      <c r="A8" s="2074"/>
      <c r="B8" s="784" t="s">
        <v>114</v>
      </c>
      <c r="C8" s="782" t="s">
        <v>715</v>
      </c>
      <c r="D8" s="785" t="s">
        <v>111</v>
      </c>
      <c r="E8" s="1670" t="s">
        <v>639</v>
      </c>
      <c r="F8" s="1670" t="s">
        <v>112</v>
      </c>
      <c r="G8" s="1671" t="s">
        <v>816</v>
      </c>
      <c r="H8" s="1680">
        <f>H9*0.01/0.99</f>
        <v>1.5589272087660917</v>
      </c>
      <c r="I8" s="1680">
        <f>I9*0.01/0.99</f>
        <v>0</v>
      </c>
      <c r="J8" s="1673">
        <f t="shared" si="0"/>
        <v>1.5589272087660917</v>
      </c>
      <c r="K8" s="1681">
        <f>K9*0.01/0.99</f>
        <v>1.4030231216052915</v>
      </c>
      <c r="L8" s="1681">
        <f>L9*0.01/0.99</f>
        <v>0</v>
      </c>
      <c r="M8" s="1673">
        <f>L8-K8</f>
        <v>-1.4030231216052915</v>
      </c>
      <c r="N8" s="1681">
        <f>N9*0.01/0.99</f>
        <v>1.3521951652993545</v>
      </c>
      <c r="O8" s="1681">
        <f>O9*0.01/0.99</f>
        <v>0</v>
      </c>
      <c r="P8" s="1673">
        <f>O8-N8</f>
        <v>-1.3521951652993545</v>
      </c>
      <c r="Q8" s="1681">
        <f>Q9*0.01/0.99</f>
        <v>1.0382067310101681</v>
      </c>
      <c r="R8" s="1681">
        <f>R9*0.01/0.99</f>
        <v>0</v>
      </c>
      <c r="S8" s="1673">
        <f>R8-Q8</f>
        <v>-1.0382067310101681</v>
      </c>
      <c r="T8" s="1681">
        <f>T9*0.01/0.99</f>
        <v>0.765498574306308</v>
      </c>
      <c r="U8" s="1681">
        <f>U9*0.01/0.99</f>
        <v>0</v>
      </c>
      <c r="V8" s="1673">
        <f>U8-T8</f>
        <v>-0.765498574306308</v>
      </c>
      <c r="W8" s="1681">
        <f>W9*0.01/0.99</f>
        <v>0.22170453964224104</v>
      </c>
      <c r="X8" s="1681">
        <f>X9*0.01/0.99</f>
        <v>0</v>
      </c>
      <c r="Y8" s="1673">
        <f>X8-W8</f>
        <v>-0.22170453964224104</v>
      </c>
      <c r="Z8" s="1681">
        <f>Z9*0.01/0.99</f>
        <v>0</v>
      </c>
      <c r="AA8" s="1682"/>
      <c r="AB8" s="1673">
        <f>AA8-Z8</f>
        <v>0</v>
      </c>
      <c r="AC8" s="1681">
        <f>AC9*0.01/0.99</f>
        <v>0</v>
      </c>
      <c r="AD8" s="1682"/>
      <c r="AE8" s="1673">
        <f>AD8-AC8</f>
        <v>0</v>
      </c>
      <c r="AF8" s="1681">
        <f>AF9*0.01/0.99</f>
        <v>0.20817866145470867</v>
      </c>
      <c r="AG8" s="1682"/>
      <c r="AH8" s="1673">
        <f>AG8-AF8</f>
        <v>-0.20817866145470867</v>
      </c>
      <c r="AI8" s="1681">
        <f>AI9*0.01/0.99</f>
        <v>0.7263882237029391</v>
      </c>
      <c r="AJ8" s="1681">
        <f>AJ9*0.01/0.99</f>
        <v>0</v>
      </c>
      <c r="AK8" s="1673">
        <f>AJ8-AI8</f>
        <v>-0.7263882237029391</v>
      </c>
      <c r="AL8" s="1681">
        <f>AL9*0.01/0.99</f>
        <v>1.065237821413976</v>
      </c>
      <c r="AM8" s="1681">
        <f>AM9*0.01/0.99</f>
        <v>0</v>
      </c>
      <c r="AN8" s="1673">
        <f>AM8-AL8</f>
        <v>-1.065237821413976</v>
      </c>
      <c r="AO8" s="1681">
        <f>AO9*0.01/0.99</f>
        <v>1.3633651227636192</v>
      </c>
      <c r="AP8" s="1681">
        <f>AP9*0.01/0.99</f>
        <v>0</v>
      </c>
      <c r="AQ8" s="1673">
        <f>AP8-AO8</f>
        <v>-1.3633651227636192</v>
      </c>
      <c r="AR8" s="1674">
        <f>SUMIF($H$5:$AQ$5,$AR$5,H8:AQ8)</f>
        <v>9.7027251699647</v>
      </c>
      <c r="AS8" s="1675">
        <f>SUMIF($H$5:$AQ$5,$AS$5,H8:AQ8)</f>
        <v>0</v>
      </c>
      <c r="AT8" s="1675">
        <f>AR8-AS8</f>
        <v>9.7027251699647</v>
      </c>
      <c r="AU8" s="1681">
        <f>AU9*0.01/0.99</f>
        <v>4.314145495670737</v>
      </c>
      <c r="AV8" s="1681">
        <v>0</v>
      </c>
      <c r="AW8" s="1676">
        <f t="shared" si="1"/>
        <v>4.314145495670737</v>
      </c>
      <c r="AX8" s="1681">
        <f>AX9*0.01/0.99</f>
        <v>2.025409844958717</v>
      </c>
      <c r="AY8" s="1681">
        <v>0</v>
      </c>
      <c r="AZ8" s="1676">
        <f t="shared" si="2"/>
        <v>2.025409844958717</v>
      </c>
      <c r="BA8" s="1681">
        <f>BA9*0.01/0.99</f>
        <v>0.20817866145470867</v>
      </c>
      <c r="BB8" s="1681">
        <v>0</v>
      </c>
      <c r="BC8" s="1676">
        <f t="shared" si="3"/>
        <v>0.20817866145470867</v>
      </c>
      <c r="BD8" s="1681">
        <f>BD9*0.01/0.99</f>
        <v>3.1549911678805347</v>
      </c>
      <c r="BE8" s="1681">
        <v>0</v>
      </c>
      <c r="BF8" s="1677">
        <f t="shared" si="4"/>
        <v>3.1549911678805347</v>
      </c>
      <c r="BG8" s="1683">
        <f>BG9*0.01/0.99</f>
        <v>6.339555340629454</v>
      </c>
      <c r="BH8" s="1684">
        <f>BH9*0.01/0.99</f>
        <v>3.363169829335243</v>
      </c>
      <c r="BI8" s="1652"/>
      <c r="BJ8" s="527"/>
      <c r="BK8" s="527"/>
      <c r="BL8" s="527"/>
      <c r="BM8" s="527"/>
      <c r="BN8" s="527"/>
    </row>
    <row r="9" spans="1:66" ht="15">
      <c r="A9" s="2074"/>
      <c r="B9" s="784"/>
      <c r="C9" s="782" t="s">
        <v>715</v>
      </c>
      <c r="D9" s="785" t="s">
        <v>111</v>
      </c>
      <c r="E9" s="1670" t="s">
        <v>640</v>
      </c>
      <c r="F9" s="1670" t="s">
        <v>112</v>
      </c>
      <c r="G9" s="1671" t="s">
        <v>817</v>
      </c>
      <c r="H9" s="1685">
        <f>SUM(H10,H12)</f>
        <v>154.33379366784308</v>
      </c>
      <c r="I9" s="1686">
        <f>SUM(I10,I12)</f>
        <v>0</v>
      </c>
      <c r="J9" s="1673">
        <f t="shared" si="0"/>
        <v>154.33379366784308</v>
      </c>
      <c r="K9" s="1685">
        <f>SUM(K10,K12)</f>
        <v>138.89928903892385</v>
      </c>
      <c r="L9" s="1686">
        <f>SUM(L10,L12)</f>
        <v>0</v>
      </c>
      <c r="M9" s="1673">
        <f>L9-K9</f>
        <v>-138.89928903892385</v>
      </c>
      <c r="N9" s="1685">
        <f>SUM(N10,N12)</f>
        <v>133.86732136463607</v>
      </c>
      <c r="O9" s="1686">
        <f>SUM(O10,O12)</f>
        <v>0</v>
      </c>
      <c r="P9" s="1673">
        <f>O9-N9</f>
        <v>-133.86732136463607</v>
      </c>
      <c r="Q9" s="1685">
        <f>SUM(Q10,Q12)</f>
        <v>102.78246637000665</v>
      </c>
      <c r="R9" s="1686">
        <f>SUM(R10,R12)</f>
        <v>0</v>
      </c>
      <c r="S9" s="1673">
        <f>R9-Q9</f>
        <v>-102.78246637000665</v>
      </c>
      <c r="T9" s="1685">
        <f>SUM(T10,T12)</f>
        <v>75.78435885632449</v>
      </c>
      <c r="U9" s="1686">
        <f>SUM(U10,U12)</f>
        <v>0</v>
      </c>
      <c r="V9" s="1673">
        <f>U9-T9</f>
        <v>-75.78435885632449</v>
      </c>
      <c r="W9" s="1685">
        <f>SUM(W10,W12)</f>
        <v>21.948749424581862</v>
      </c>
      <c r="X9" s="1685">
        <f>SUM(X10,X12)</f>
        <v>0</v>
      </c>
      <c r="Y9" s="1673">
        <f>X9-W9</f>
        <v>-21.948749424581862</v>
      </c>
      <c r="Z9" s="1685">
        <f>SUM(Z10,Z12)</f>
        <v>0</v>
      </c>
      <c r="AA9" s="1686">
        <f>SUM(AA10,AA12)</f>
        <v>0</v>
      </c>
      <c r="AB9" s="1673">
        <f>AA9-Z9</f>
        <v>0</v>
      </c>
      <c r="AC9" s="1685">
        <f>SUM(AC10,AC12)</f>
        <v>0</v>
      </c>
      <c r="AD9" s="1686">
        <f>SUM(AD10,AD12)</f>
        <v>0</v>
      </c>
      <c r="AE9" s="1673">
        <f>AD9-AC9</f>
        <v>0</v>
      </c>
      <c r="AF9" s="1685">
        <f>SUM(AF10,AF12)</f>
        <v>20.60968748401616</v>
      </c>
      <c r="AG9" s="1686">
        <f>SUM(AG10,AG12)</f>
        <v>0</v>
      </c>
      <c r="AH9" s="1673">
        <f>AG9-AF9</f>
        <v>-20.60968748401616</v>
      </c>
      <c r="AI9" s="1685">
        <f>SUM(AI10,AI12)</f>
        <v>71.91243414659097</v>
      </c>
      <c r="AJ9" s="1686">
        <f>SUM(AJ10,AJ12)</f>
        <v>0</v>
      </c>
      <c r="AK9" s="1673">
        <f>AJ9-AI9</f>
        <v>-71.91243414659097</v>
      </c>
      <c r="AL9" s="1685">
        <f>SUM(AL10,AL12)</f>
        <v>105.45854431998363</v>
      </c>
      <c r="AM9" s="1686">
        <f>SUM(AM10,AM12)</f>
        <v>0</v>
      </c>
      <c r="AN9" s="1673">
        <f>AM9-AL9</f>
        <v>-105.45854431998363</v>
      </c>
      <c r="AO9" s="1685">
        <f>SUM(AO10,AO12)</f>
        <v>134.9731471535983</v>
      </c>
      <c r="AP9" s="1686">
        <f>SUM(AP10,AP12)</f>
        <v>0</v>
      </c>
      <c r="AQ9" s="1673">
        <f>AP9-AO9</f>
        <v>-134.9731471535983</v>
      </c>
      <c r="AR9" s="1674">
        <f>SUMIF($H$5:$AQ$5,$AR$5,H9:AQ9)</f>
        <v>960.569791826505</v>
      </c>
      <c r="AS9" s="1675">
        <f>SUMIF($H$5:$AQ$5,$AS$5,H9:AQ9)</f>
        <v>0</v>
      </c>
      <c r="AT9" s="1675">
        <f>AR9-AS9</f>
        <v>960.569791826505</v>
      </c>
      <c r="AU9" s="1687">
        <f>H9+K9+N9</f>
        <v>427.100404071403</v>
      </c>
      <c r="AV9" s="1687">
        <v>0</v>
      </c>
      <c r="AW9" s="1676">
        <f t="shared" si="1"/>
        <v>427.100404071403</v>
      </c>
      <c r="AX9" s="1687">
        <f>Q9+T9+W9</f>
        <v>200.51557465091298</v>
      </c>
      <c r="AY9" s="1687">
        <v>0</v>
      </c>
      <c r="AZ9" s="1676">
        <f t="shared" si="2"/>
        <v>200.51557465091298</v>
      </c>
      <c r="BA9" s="1687">
        <f>Z9+AC9+AF9</f>
        <v>20.60968748401616</v>
      </c>
      <c r="BB9" s="1687">
        <v>0</v>
      </c>
      <c r="BC9" s="1676">
        <f t="shared" si="3"/>
        <v>20.60968748401616</v>
      </c>
      <c r="BD9" s="1687">
        <f>AI9+AL9+AO9</f>
        <v>312.3441256201729</v>
      </c>
      <c r="BE9" s="1687">
        <v>0</v>
      </c>
      <c r="BF9" s="1677">
        <f t="shared" si="4"/>
        <v>312.3441256201729</v>
      </c>
      <c r="BG9" s="1688">
        <f>AU9+AX9</f>
        <v>627.615978722316</v>
      </c>
      <c r="BH9" s="1689">
        <f>BA9+BD9</f>
        <v>332.95381310418907</v>
      </c>
      <c r="BI9" s="1652"/>
      <c r="BJ9" s="527"/>
      <c r="BK9" s="527"/>
      <c r="BL9" s="527"/>
      <c r="BM9" s="527"/>
      <c r="BN9" s="527"/>
    </row>
    <row r="10" spans="1:66" ht="15">
      <c r="A10" s="2074"/>
      <c r="B10" s="784"/>
      <c r="C10" s="782" t="s">
        <v>715</v>
      </c>
      <c r="D10" s="785" t="s">
        <v>111</v>
      </c>
      <c r="E10" s="1670" t="s">
        <v>641</v>
      </c>
      <c r="F10" s="1670" t="s">
        <v>112</v>
      </c>
      <c r="G10" s="1690" t="s">
        <v>1223</v>
      </c>
      <c r="H10" s="1680">
        <f>H12*0.02245/(1-0.02245)</f>
        <v>3.464793667843077</v>
      </c>
      <c r="I10" s="1680">
        <f aca="true" t="shared" si="5" ref="I10:AO10">I12*0.02245/(1-0.02245)</f>
        <v>0</v>
      </c>
      <c r="J10" s="1673">
        <f t="shared" si="0"/>
        <v>3.464793667843077</v>
      </c>
      <c r="K10" s="1680">
        <f t="shared" si="5"/>
        <v>3.1182890389238405</v>
      </c>
      <c r="L10" s="1680">
        <f t="shared" si="5"/>
        <v>0</v>
      </c>
      <c r="M10" s="1680">
        <f t="shared" si="5"/>
        <v>-3.1182890389238405</v>
      </c>
      <c r="N10" s="1680">
        <f t="shared" si="5"/>
        <v>3.00532136463608</v>
      </c>
      <c r="O10" s="1680">
        <f t="shared" si="5"/>
        <v>0</v>
      </c>
      <c r="P10" s="1680">
        <f t="shared" si="5"/>
        <v>-3.00532136463608</v>
      </c>
      <c r="Q10" s="1680">
        <f t="shared" si="5"/>
        <v>2.307466370006649</v>
      </c>
      <c r="R10" s="1680">
        <f t="shared" si="5"/>
        <v>0</v>
      </c>
      <c r="S10" s="1680">
        <f t="shared" si="5"/>
        <v>-2.307466370006649</v>
      </c>
      <c r="T10" s="1680">
        <f t="shared" si="5"/>
        <v>1.7013588563244846</v>
      </c>
      <c r="U10" s="1680">
        <f t="shared" si="5"/>
        <v>0</v>
      </c>
      <c r="V10" s="1680">
        <f t="shared" si="5"/>
        <v>-1.7013588563244846</v>
      </c>
      <c r="W10" s="1680">
        <f t="shared" si="5"/>
        <v>0.4927494245818628</v>
      </c>
      <c r="X10" s="1680">
        <f t="shared" si="5"/>
        <v>0</v>
      </c>
      <c r="Y10" s="1680">
        <f t="shared" si="5"/>
        <v>-0.4927494245818628</v>
      </c>
      <c r="Z10" s="1680">
        <f t="shared" si="5"/>
        <v>0</v>
      </c>
      <c r="AA10" s="1680">
        <f t="shared" si="5"/>
        <v>0</v>
      </c>
      <c r="AB10" s="1680">
        <f t="shared" si="5"/>
        <v>0</v>
      </c>
      <c r="AC10" s="1680">
        <f t="shared" si="5"/>
        <v>0</v>
      </c>
      <c r="AD10" s="1680">
        <f t="shared" si="5"/>
        <v>0</v>
      </c>
      <c r="AE10" s="1680">
        <f t="shared" si="5"/>
        <v>0</v>
      </c>
      <c r="AF10" s="1680">
        <f t="shared" si="5"/>
        <v>0.46268748401616283</v>
      </c>
      <c r="AG10" s="1680">
        <f t="shared" si="5"/>
        <v>0</v>
      </c>
      <c r="AH10" s="1680">
        <f t="shared" si="5"/>
        <v>-0.46268748401616283</v>
      </c>
      <c r="AI10" s="1680">
        <f t="shared" si="5"/>
        <v>1.6144341465909673</v>
      </c>
      <c r="AJ10" s="1680">
        <f t="shared" si="5"/>
        <v>0</v>
      </c>
      <c r="AK10" s="1680">
        <f t="shared" si="5"/>
        <v>-1.6144341465909673</v>
      </c>
      <c r="AL10" s="1680">
        <f t="shared" si="5"/>
        <v>2.367544319983632</v>
      </c>
      <c r="AM10" s="1680">
        <f t="shared" si="5"/>
        <v>0</v>
      </c>
      <c r="AN10" s="1680">
        <f t="shared" si="5"/>
        <v>-2.367544319983632</v>
      </c>
      <c r="AO10" s="1680">
        <f t="shared" si="5"/>
        <v>3.030147153598282</v>
      </c>
      <c r="AP10" s="1680">
        <f>AP12*0.00561/(1-0.00561)</f>
        <v>0</v>
      </c>
      <c r="AQ10" s="1673">
        <f>AP10-AO10</f>
        <v>-3.030147153598282</v>
      </c>
      <c r="AR10" s="1674">
        <f>SUMIF($H$5:$AQ$5,$AR$5,H10:AQ10)</f>
        <v>21.56479182650504</v>
      </c>
      <c r="AS10" s="1675">
        <f>SUMIF($H$5:$AQ$5,$AS$5,H10:AQ10)</f>
        <v>0</v>
      </c>
      <c r="AT10" s="1675">
        <f>AR10-AS10</f>
        <v>21.56479182650504</v>
      </c>
      <c r="AU10" s="1687">
        <f>H10+K10+N10</f>
        <v>9.588404071402998</v>
      </c>
      <c r="AV10" s="1687">
        <v>0</v>
      </c>
      <c r="AW10" s="1676">
        <f t="shared" si="1"/>
        <v>9.588404071402998</v>
      </c>
      <c r="AX10" s="1687">
        <f>Q10+T10+W10</f>
        <v>4.501574650912996</v>
      </c>
      <c r="AY10" s="1687">
        <v>0</v>
      </c>
      <c r="AZ10" s="1676">
        <f t="shared" si="2"/>
        <v>4.501574650912996</v>
      </c>
      <c r="BA10" s="1687">
        <f>Z10+AC10+AF10</f>
        <v>0.46268748401616283</v>
      </c>
      <c r="BB10" s="1687">
        <v>0</v>
      </c>
      <c r="BC10" s="1676">
        <f t="shared" si="3"/>
        <v>0.46268748401616283</v>
      </c>
      <c r="BD10" s="1687">
        <f>AI10+AL10+AO10</f>
        <v>7.012125620172881</v>
      </c>
      <c r="BE10" s="1687">
        <v>0</v>
      </c>
      <c r="BF10" s="1677">
        <f t="shared" si="4"/>
        <v>7.012125620172881</v>
      </c>
      <c r="BG10" s="1688">
        <f>AU10+AX10</f>
        <v>14.089978722315994</v>
      </c>
      <c r="BH10" s="1689">
        <f>BA10+BD10</f>
        <v>7.474813104189044</v>
      </c>
      <c r="BI10" s="1652"/>
      <c r="BJ10" s="527"/>
      <c r="BK10" s="527"/>
      <c r="BL10" s="527"/>
      <c r="BM10" s="527"/>
      <c r="BN10" s="527"/>
    </row>
    <row r="11" spans="1:66" ht="15">
      <c r="A11" s="2074"/>
      <c r="B11" s="784"/>
      <c r="C11" s="782" t="s">
        <v>715</v>
      </c>
      <c r="D11" s="785" t="s">
        <v>111</v>
      </c>
      <c r="E11" s="1670" t="s">
        <v>642</v>
      </c>
      <c r="F11" s="1670" t="s">
        <v>112</v>
      </c>
      <c r="G11" s="1671" t="s">
        <v>1224</v>
      </c>
      <c r="H11" s="1691">
        <f>IF(H9&gt;0,ROUND(H10/H9,3),0%)</f>
        <v>0.022</v>
      </c>
      <c r="I11" s="1691">
        <f aca="true" t="shared" si="6" ref="I11:AR11">IF(I9&gt;0,ROUND(I10/I9,3),0%)</f>
        <v>0</v>
      </c>
      <c r="J11" s="1673">
        <f t="shared" si="0"/>
        <v>0.022</v>
      </c>
      <c r="K11" s="1691">
        <f t="shared" si="6"/>
        <v>0.022</v>
      </c>
      <c r="L11" s="1691">
        <f t="shared" si="6"/>
        <v>0</v>
      </c>
      <c r="M11" s="1691">
        <f t="shared" si="6"/>
        <v>0</v>
      </c>
      <c r="N11" s="1691">
        <f t="shared" si="6"/>
        <v>0.022</v>
      </c>
      <c r="O11" s="1691">
        <f t="shared" si="6"/>
        <v>0</v>
      </c>
      <c r="P11" s="1691">
        <f t="shared" si="6"/>
        <v>0</v>
      </c>
      <c r="Q11" s="1691">
        <f t="shared" si="6"/>
        <v>0.022</v>
      </c>
      <c r="R11" s="1691">
        <f t="shared" si="6"/>
        <v>0</v>
      </c>
      <c r="S11" s="1691">
        <f t="shared" si="6"/>
        <v>0</v>
      </c>
      <c r="T11" s="1691">
        <f t="shared" si="6"/>
        <v>0.022</v>
      </c>
      <c r="U11" s="1691">
        <f t="shared" si="6"/>
        <v>0</v>
      </c>
      <c r="V11" s="1691">
        <f t="shared" si="6"/>
        <v>0</v>
      </c>
      <c r="W11" s="1691">
        <f t="shared" si="6"/>
        <v>0.022</v>
      </c>
      <c r="X11" s="1691">
        <f t="shared" si="6"/>
        <v>0</v>
      </c>
      <c r="Y11" s="1691">
        <f t="shared" si="6"/>
        <v>0</v>
      </c>
      <c r="Z11" s="1691">
        <f t="shared" si="6"/>
        <v>0</v>
      </c>
      <c r="AA11" s="1691">
        <f t="shared" si="6"/>
        <v>0</v>
      </c>
      <c r="AB11" s="1691">
        <f t="shared" si="6"/>
        <v>0</v>
      </c>
      <c r="AC11" s="1691">
        <f t="shared" si="6"/>
        <v>0</v>
      </c>
      <c r="AD11" s="1691">
        <f t="shared" si="6"/>
        <v>0</v>
      </c>
      <c r="AE11" s="1691">
        <f t="shared" si="6"/>
        <v>0</v>
      </c>
      <c r="AF11" s="1691">
        <f t="shared" si="6"/>
        <v>0.022</v>
      </c>
      <c r="AG11" s="1691">
        <f t="shared" si="6"/>
        <v>0</v>
      </c>
      <c r="AH11" s="1691">
        <f t="shared" si="6"/>
        <v>0</v>
      </c>
      <c r="AI11" s="1691">
        <f t="shared" si="6"/>
        <v>0.022</v>
      </c>
      <c r="AJ11" s="1691">
        <f t="shared" si="6"/>
        <v>0</v>
      </c>
      <c r="AK11" s="1691">
        <f t="shared" si="6"/>
        <v>0</v>
      </c>
      <c r="AL11" s="1691">
        <f t="shared" si="6"/>
        <v>0.022</v>
      </c>
      <c r="AM11" s="1691">
        <f t="shared" si="6"/>
        <v>0</v>
      </c>
      <c r="AN11" s="1691">
        <f t="shared" si="6"/>
        <v>0</v>
      </c>
      <c r="AO11" s="1692">
        <f t="shared" si="6"/>
        <v>0.022</v>
      </c>
      <c r="AP11" s="1693">
        <f t="shared" si="6"/>
        <v>0</v>
      </c>
      <c r="AQ11" s="1693">
        <f t="shared" si="6"/>
        <v>0</v>
      </c>
      <c r="AR11" s="1694">
        <f t="shared" si="6"/>
        <v>0.022</v>
      </c>
      <c r="AS11" s="1695"/>
      <c r="AT11" s="1692">
        <v>0</v>
      </c>
      <c r="AU11" s="1692">
        <f aca="true" t="shared" si="7" ref="AU11:BH11">IF(AU9&gt;0,ROUND(AU10/AU9,3),0%)</f>
        <v>0.022</v>
      </c>
      <c r="AV11" s="1692">
        <v>0</v>
      </c>
      <c r="AW11" s="1676">
        <f t="shared" si="1"/>
        <v>0.022</v>
      </c>
      <c r="AX11" s="1692">
        <f t="shared" si="7"/>
        <v>0.022</v>
      </c>
      <c r="AY11" s="1692">
        <v>0</v>
      </c>
      <c r="AZ11" s="1676">
        <f t="shared" si="2"/>
        <v>0.022</v>
      </c>
      <c r="BA11" s="1692">
        <f t="shared" si="7"/>
        <v>0.022</v>
      </c>
      <c r="BB11" s="1692">
        <f t="shared" si="7"/>
        <v>0</v>
      </c>
      <c r="BC11" s="1676">
        <f t="shared" si="3"/>
        <v>0.022</v>
      </c>
      <c r="BD11" s="1692">
        <f t="shared" si="7"/>
        <v>0.022</v>
      </c>
      <c r="BE11" s="1692">
        <f t="shared" si="7"/>
        <v>0</v>
      </c>
      <c r="BF11" s="1677">
        <f t="shared" si="4"/>
        <v>0.022</v>
      </c>
      <c r="BG11" s="1696">
        <f t="shared" si="7"/>
        <v>0.022</v>
      </c>
      <c r="BH11" s="1697">
        <f t="shared" si="7"/>
        <v>0.022</v>
      </c>
      <c r="BI11" s="1652"/>
      <c r="BJ11" s="527"/>
      <c r="BK11" s="527"/>
      <c r="BL11" s="527"/>
      <c r="BM11" s="527"/>
      <c r="BN11" s="527"/>
    </row>
    <row r="12" spans="1:66" ht="15">
      <c r="A12" s="2074"/>
      <c r="B12" s="784"/>
      <c r="C12" s="782" t="s">
        <v>715</v>
      </c>
      <c r="D12" s="785" t="s">
        <v>111</v>
      </c>
      <c r="E12" s="1670" t="s">
        <v>643</v>
      </c>
      <c r="F12" s="1670" t="s">
        <v>112</v>
      </c>
      <c r="G12" s="1671" t="s">
        <v>1225</v>
      </c>
      <c r="H12" s="1686">
        <f>SUM(H14:H15)</f>
        <v>150.869</v>
      </c>
      <c r="I12" s="1686">
        <f>SUM(I14:I15)</f>
        <v>0</v>
      </c>
      <c r="J12" s="1673">
        <f t="shared" si="0"/>
        <v>150.869</v>
      </c>
      <c r="K12" s="1686">
        <f>SUM(K14:K15)</f>
        <v>135.781</v>
      </c>
      <c r="L12" s="1686">
        <f>SUM(L14:L15)</f>
        <v>0</v>
      </c>
      <c r="M12" s="1673">
        <f>L12-K12</f>
        <v>-135.781</v>
      </c>
      <c r="N12" s="1686">
        <f>SUM(N14:N15)</f>
        <v>130.862</v>
      </c>
      <c r="O12" s="1686">
        <f>SUM(O14:O15)</f>
        <v>0</v>
      </c>
      <c r="P12" s="1673">
        <f>O12-N12</f>
        <v>-130.862</v>
      </c>
      <c r="Q12" s="1686">
        <f>SUM(Q14:Q15)</f>
        <v>100.475</v>
      </c>
      <c r="R12" s="1686">
        <f>SUM(R14:R15)</f>
        <v>0</v>
      </c>
      <c r="S12" s="1673">
        <f>R12-Q12</f>
        <v>-100.475</v>
      </c>
      <c r="T12" s="1686">
        <f>SUM(T14:T15)</f>
        <v>74.083</v>
      </c>
      <c r="U12" s="1686">
        <f>SUM(U14:U15)</f>
        <v>0</v>
      </c>
      <c r="V12" s="1673">
        <f>U12-T12</f>
        <v>-74.083</v>
      </c>
      <c r="W12" s="1686">
        <f>SUM(W14:W15)</f>
        <v>21.456</v>
      </c>
      <c r="X12" s="1686">
        <f>SUM(X14:X15)</f>
        <v>0</v>
      </c>
      <c r="Y12" s="1686">
        <f>SUM(Y14:Y15)</f>
        <v>-21.456</v>
      </c>
      <c r="Z12" s="1686">
        <f>SUM(Z14:Z15)</f>
        <v>0</v>
      </c>
      <c r="AA12" s="1686">
        <f>SUM(AA14:AA15)</f>
        <v>0</v>
      </c>
      <c r="AB12" s="1673">
        <f>AA12-Z12</f>
        <v>0</v>
      </c>
      <c r="AC12" s="1686">
        <f>SUM(AC14:AC15)</f>
        <v>0</v>
      </c>
      <c r="AD12" s="1686">
        <f>SUM(AD14:AD15)</f>
        <v>0</v>
      </c>
      <c r="AE12" s="1673">
        <f>AD12-AC12</f>
        <v>0</v>
      </c>
      <c r="AF12" s="1686">
        <f>SUM(AF14:AF15)</f>
        <v>20.147</v>
      </c>
      <c r="AG12" s="1686">
        <f>SUM(AG14:AG15)</f>
        <v>0</v>
      </c>
      <c r="AH12" s="1673">
        <f>AG12-AF12</f>
        <v>-20.147</v>
      </c>
      <c r="AI12" s="1686">
        <f>SUM(AI14:AI15)</f>
        <v>70.298</v>
      </c>
      <c r="AJ12" s="1686">
        <f>SUM(AJ14:AJ15)</f>
        <v>0</v>
      </c>
      <c r="AK12" s="1673">
        <f>AJ12-AI12</f>
        <v>-70.298</v>
      </c>
      <c r="AL12" s="1686">
        <f>SUM(AL14:AL15)</f>
        <v>103.091</v>
      </c>
      <c r="AM12" s="1686">
        <f>SUM(AM14:AM15)</f>
        <v>0</v>
      </c>
      <c r="AN12" s="1673">
        <f>AM12-AL12</f>
        <v>-103.091</v>
      </c>
      <c r="AO12" s="1686">
        <f>SUM(AO14:AO15)</f>
        <v>131.943</v>
      </c>
      <c r="AP12" s="1686">
        <f>SUM(AP14:AP15)</f>
        <v>0</v>
      </c>
      <c r="AQ12" s="1673">
        <f>AP12-AO12</f>
        <v>-131.943</v>
      </c>
      <c r="AR12" s="1674">
        <f>SUMIF($H$5:$AQ$5,$AR$5,H12:AQ12)</f>
        <v>939.005</v>
      </c>
      <c r="AS12" s="1675">
        <f>SUMIF($H$5:$AQ$5,$AS$5,H12:AQ12)</f>
        <v>0</v>
      </c>
      <c r="AT12" s="1675">
        <f>AR12-AS12</f>
        <v>939.005</v>
      </c>
      <c r="AU12" s="1687">
        <f>SUM(H12,K12,N12)</f>
        <v>417.51199999999994</v>
      </c>
      <c r="AV12" s="1687">
        <f>SUM(I12,L12,O12)</f>
        <v>0</v>
      </c>
      <c r="AW12" s="1676">
        <f t="shared" si="1"/>
        <v>417.51199999999994</v>
      </c>
      <c r="AX12" s="1687">
        <f>SUM(Q12,T12,W12)</f>
        <v>196.01399999999998</v>
      </c>
      <c r="AY12" s="1687">
        <f>SUM(R12,U12,X12)</f>
        <v>0</v>
      </c>
      <c r="AZ12" s="1676">
        <f t="shared" si="2"/>
        <v>196.01399999999998</v>
      </c>
      <c r="BA12" s="1687">
        <f>SUM(Z12,AC12,AF12)</f>
        <v>20.147</v>
      </c>
      <c r="BB12" s="1687">
        <f>SUM(AA12,AD12,AG12)</f>
        <v>0</v>
      </c>
      <c r="BC12" s="1676">
        <f t="shared" si="3"/>
        <v>20.147</v>
      </c>
      <c r="BD12" s="1687">
        <f>SUM(AI12,AL12,AO12)</f>
        <v>305.332</v>
      </c>
      <c r="BE12" s="1687">
        <f>SUM(AJ12,AM12,AP12)</f>
        <v>0</v>
      </c>
      <c r="BF12" s="1677">
        <f t="shared" si="4"/>
        <v>305.332</v>
      </c>
      <c r="BG12" s="1688">
        <f aca="true" t="shared" si="8" ref="BG12:BG18">AU12+AX12</f>
        <v>613.526</v>
      </c>
      <c r="BH12" s="1689">
        <f aca="true" t="shared" si="9" ref="BH12:BH18">BA12+BD12</f>
        <v>325.479</v>
      </c>
      <c r="BI12" s="1652"/>
      <c r="BJ12" s="527"/>
      <c r="BK12" s="527"/>
      <c r="BL12" s="527"/>
      <c r="BM12" s="527"/>
      <c r="BN12" s="527"/>
    </row>
    <row r="13" spans="1:66" ht="15">
      <c r="A13" s="2074"/>
      <c r="B13" s="784"/>
      <c r="C13" s="782" t="s">
        <v>715</v>
      </c>
      <c r="D13" s="785" t="s">
        <v>111</v>
      </c>
      <c r="E13" s="1670"/>
      <c r="F13" s="1670"/>
      <c r="G13" s="1698" t="s">
        <v>1032</v>
      </c>
      <c r="H13" s="1699"/>
      <c r="I13" s="1699"/>
      <c r="J13" s="1699"/>
      <c r="K13" s="1699"/>
      <c r="L13" s="1699"/>
      <c r="M13" s="1699"/>
      <c r="N13" s="1699"/>
      <c r="O13" s="1699"/>
      <c r="P13" s="1699"/>
      <c r="Q13" s="1699"/>
      <c r="R13" s="1699"/>
      <c r="S13" s="1699"/>
      <c r="T13" s="1699"/>
      <c r="U13" s="1699"/>
      <c r="V13" s="1699"/>
      <c r="W13" s="1699"/>
      <c r="X13" s="1699"/>
      <c r="Y13" s="1699"/>
      <c r="Z13" s="1699"/>
      <c r="AA13" s="1699"/>
      <c r="AB13" s="1699"/>
      <c r="AC13" s="1699"/>
      <c r="AD13" s="1699"/>
      <c r="AE13" s="1699"/>
      <c r="AF13" s="1699"/>
      <c r="AG13" s="1699"/>
      <c r="AH13" s="1699"/>
      <c r="AI13" s="1699"/>
      <c r="AJ13" s="1699"/>
      <c r="AK13" s="1699"/>
      <c r="AL13" s="1699"/>
      <c r="AM13" s="1699"/>
      <c r="AN13" s="1699"/>
      <c r="AO13" s="1699"/>
      <c r="AP13" s="1699"/>
      <c r="AQ13" s="1699"/>
      <c r="AR13" s="1674"/>
      <c r="AS13" s="1675"/>
      <c r="AT13" s="1700"/>
      <c r="AU13" s="1687"/>
      <c r="AV13" s="1687"/>
      <c r="AW13" s="1687"/>
      <c r="AX13" s="1687"/>
      <c r="AY13" s="1687"/>
      <c r="AZ13" s="1687"/>
      <c r="BA13" s="1687"/>
      <c r="BB13" s="1687"/>
      <c r="BC13" s="1687"/>
      <c r="BD13" s="1687"/>
      <c r="BE13" s="1687"/>
      <c r="BF13" s="1701"/>
      <c r="BG13" s="1688">
        <f t="shared" si="8"/>
        <v>0</v>
      </c>
      <c r="BH13" s="1689">
        <f t="shared" si="9"/>
        <v>0</v>
      </c>
      <c r="BI13" s="1652"/>
      <c r="BJ13" s="527"/>
      <c r="BK13" s="527"/>
      <c r="BL13" s="527"/>
      <c r="BM13" s="527"/>
      <c r="BN13" s="527"/>
    </row>
    <row r="14" spans="1:66" ht="15">
      <c r="A14" s="2074"/>
      <c r="B14" s="786"/>
      <c r="C14" s="782" t="s">
        <v>715</v>
      </c>
      <c r="D14" s="787" t="s">
        <v>111</v>
      </c>
      <c r="E14" s="1702" t="s">
        <v>1510</v>
      </c>
      <c r="F14" s="1702" t="s">
        <v>112</v>
      </c>
      <c r="G14" s="1703" t="s">
        <v>1226</v>
      </c>
      <c r="H14" s="1704">
        <v>150.869</v>
      </c>
      <c r="I14" s="1704"/>
      <c r="J14" s="1705">
        <f>I14-H14</f>
        <v>-150.869</v>
      </c>
      <c r="K14" s="1704">
        <v>135.781</v>
      </c>
      <c r="L14" s="1704"/>
      <c r="M14" s="1705">
        <f>L14-K14</f>
        <v>-135.781</v>
      </c>
      <c r="N14" s="1704">
        <v>130.862</v>
      </c>
      <c r="O14" s="1704"/>
      <c r="P14" s="1705">
        <f>O14-N14</f>
        <v>-130.862</v>
      </c>
      <c r="Q14" s="1704">
        <v>100.475</v>
      </c>
      <c r="R14" s="1704"/>
      <c r="S14" s="1705">
        <f>R14-Q14</f>
        <v>-100.475</v>
      </c>
      <c r="T14" s="1704">
        <v>74.083</v>
      </c>
      <c r="U14" s="1704"/>
      <c r="V14" s="1705">
        <f>U14-T14</f>
        <v>-74.083</v>
      </c>
      <c r="W14" s="1704">
        <v>21.456</v>
      </c>
      <c r="X14" s="1704"/>
      <c r="Y14" s="1705">
        <f>X14-W14</f>
        <v>-21.456</v>
      </c>
      <c r="Z14" s="1704"/>
      <c r="AA14" s="1704"/>
      <c r="AB14" s="1705">
        <f>AA14-Z14</f>
        <v>0</v>
      </c>
      <c r="AC14" s="1704"/>
      <c r="AD14" s="1704"/>
      <c r="AE14" s="1705">
        <f>AD14-AC14</f>
        <v>0</v>
      </c>
      <c r="AF14" s="1704">
        <v>20.147</v>
      </c>
      <c r="AG14" s="1704"/>
      <c r="AH14" s="1705">
        <f>AG14-AF14</f>
        <v>-20.147</v>
      </c>
      <c r="AI14" s="1704">
        <v>70.298</v>
      </c>
      <c r="AJ14" s="1704"/>
      <c r="AK14" s="1705">
        <f>AJ14-AI14</f>
        <v>-70.298</v>
      </c>
      <c r="AL14" s="1704">
        <v>103.091</v>
      </c>
      <c r="AM14" s="1704"/>
      <c r="AN14" s="1705">
        <f>AM14-AL14</f>
        <v>-103.091</v>
      </c>
      <c r="AO14" s="1704">
        <v>131.943</v>
      </c>
      <c r="AP14" s="1704"/>
      <c r="AQ14" s="1705">
        <f>AP14-AO14</f>
        <v>-131.943</v>
      </c>
      <c r="AR14" s="1706">
        <f>SUMIF($H$5:$AQ$5,$AR$5,H14:AQ14)</f>
        <v>939.005</v>
      </c>
      <c r="AS14" s="1707">
        <f>SUMIF($H$5:$AQ$5,$AS$5,H14:AQ14)</f>
        <v>0</v>
      </c>
      <c r="AT14" s="1708">
        <f>AS14-AR14</f>
        <v>-939.005</v>
      </c>
      <c r="AU14" s="1708">
        <f>SUM(H14,K14,N14)</f>
        <v>417.51199999999994</v>
      </c>
      <c r="AV14" s="1708">
        <f>SUM(I14,L14,O14)</f>
        <v>0</v>
      </c>
      <c r="AW14" s="1708">
        <f>AV14-AU14</f>
        <v>-417.51199999999994</v>
      </c>
      <c r="AX14" s="1708">
        <f>SUM(Q14,T14,W14)</f>
        <v>196.01399999999998</v>
      </c>
      <c r="AY14" s="1708">
        <f>SUM(R14,U14,X14)</f>
        <v>0</v>
      </c>
      <c r="AZ14" s="1708">
        <f>AY14-AX14</f>
        <v>-196.01399999999998</v>
      </c>
      <c r="BA14" s="1708">
        <f>SUM(Z14,AC14,AF14)</f>
        <v>20.147</v>
      </c>
      <c r="BB14" s="1708">
        <f>SUM(AA14,AD14,AG14)</f>
        <v>0</v>
      </c>
      <c r="BC14" s="1708">
        <f>BB14-BA14</f>
        <v>-20.147</v>
      </c>
      <c r="BD14" s="1708">
        <f>SUM(AI14,AL14,AO14)</f>
        <v>305.332</v>
      </c>
      <c r="BE14" s="1708">
        <f>SUM(AJ14,AM14,AP14)</f>
        <v>0</v>
      </c>
      <c r="BF14" s="1709">
        <f>BE14-BD14</f>
        <v>-305.332</v>
      </c>
      <c r="BG14" s="1688">
        <f t="shared" si="8"/>
        <v>613.526</v>
      </c>
      <c r="BH14" s="1689">
        <f t="shared" si="9"/>
        <v>325.479</v>
      </c>
      <c r="BI14" s="1652"/>
      <c r="BJ14" s="527"/>
      <c r="BK14" s="527"/>
      <c r="BL14" s="527"/>
      <c r="BM14" s="527"/>
      <c r="BN14" s="527"/>
    </row>
    <row r="15" spans="1:66" ht="15">
      <c r="A15" s="2074"/>
      <c r="B15" s="786"/>
      <c r="C15" s="782" t="s">
        <v>715</v>
      </c>
      <c r="D15" s="787" t="s">
        <v>111</v>
      </c>
      <c r="E15" s="1702" t="s">
        <v>1511</v>
      </c>
      <c r="F15" s="1702" t="s">
        <v>112</v>
      </c>
      <c r="G15" s="1710" t="s">
        <v>1227</v>
      </c>
      <c r="H15" s="1711">
        <f>SUM(H17:H18)</f>
        <v>0</v>
      </c>
      <c r="I15" s="1711">
        <f>SUM(I17:I18)</f>
        <v>0</v>
      </c>
      <c r="J15" s="1712">
        <f>I15-H15</f>
        <v>0</v>
      </c>
      <c r="K15" s="1711">
        <f>SUM(K17:K18)</f>
        <v>0</v>
      </c>
      <c r="L15" s="1711">
        <f>SUM(L17:L18)</f>
        <v>0</v>
      </c>
      <c r="M15" s="1712">
        <f>L15-K15</f>
        <v>0</v>
      </c>
      <c r="N15" s="1711">
        <f>SUM(N17:N18)</f>
        <v>0</v>
      </c>
      <c r="O15" s="1711">
        <f>SUM(O17:O18)</f>
        <v>0</v>
      </c>
      <c r="P15" s="1712">
        <f>O15-N15</f>
        <v>0</v>
      </c>
      <c r="Q15" s="1711">
        <f>SUM(Q17:Q18)</f>
        <v>0</v>
      </c>
      <c r="R15" s="1711">
        <f>SUM(R17:R18)</f>
        <v>0</v>
      </c>
      <c r="S15" s="1712">
        <f>R15-Q15</f>
        <v>0</v>
      </c>
      <c r="T15" s="1711">
        <f>SUM(T17:T18)</f>
        <v>0</v>
      </c>
      <c r="U15" s="1711">
        <f>SUM(U17:U18)</f>
        <v>0</v>
      </c>
      <c r="V15" s="1712">
        <f>U15-T15</f>
        <v>0</v>
      </c>
      <c r="W15" s="1711">
        <f>SUM(W17:W18)</f>
        <v>0</v>
      </c>
      <c r="X15" s="1711">
        <f>SUM(X17:X18)</f>
        <v>0</v>
      </c>
      <c r="Y15" s="1712">
        <f>X15-W15</f>
        <v>0</v>
      </c>
      <c r="Z15" s="1711">
        <f>SUM(Z17:Z18)</f>
        <v>0</v>
      </c>
      <c r="AA15" s="1711">
        <f>SUM(AA17:AA18)</f>
        <v>0</v>
      </c>
      <c r="AB15" s="1712">
        <f>AA15-Z15</f>
        <v>0</v>
      </c>
      <c r="AC15" s="1711">
        <f>SUM(AC17:AC18)</f>
        <v>0</v>
      </c>
      <c r="AD15" s="1711">
        <f>SUM(AD17:AD18)</f>
        <v>0</v>
      </c>
      <c r="AE15" s="1712">
        <f>AD15-AC15</f>
        <v>0</v>
      </c>
      <c r="AF15" s="1711">
        <f>SUM(AF17:AF18)</f>
        <v>0</v>
      </c>
      <c r="AG15" s="1711">
        <f>SUM(AG17:AG18)</f>
        <v>0</v>
      </c>
      <c r="AH15" s="1712">
        <f>AG15-AF15</f>
        <v>0</v>
      </c>
      <c r="AI15" s="1711">
        <f>SUM(AI17:AI18)</f>
        <v>0</v>
      </c>
      <c r="AJ15" s="1711">
        <f>SUM(AJ17:AJ18)</f>
        <v>0</v>
      </c>
      <c r="AK15" s="1712">
        <f>AJ15-AI15</f>
        <v>0</v>
      </c>
      <c r="AL15" s="1711">
        <f>SUM(AL17:AL18)</f>
        <v>0</v>
      </c>
      <c r="AM15" s="1711">
        <f>SUM(AM17:AM18)</f>
        <v>0</v>
      </c>
      <c r="AN15" s="1712">
        <f>AM15-AL15</f>
        <v>0</v>
      </c>
      <c r="AO15" s="1711">
        <f>SUM(AO17:AO18)</f>
        <v>0</v>
      </c>
      <c r="AP15" s="1711">
        <f>SUM(AP17:AP18)</f>
        <v>0</v>
      </c>
      <c r="AQ15" s="1712">
        <f>AP15-AO15</f>
        <v>0</v>
      </c>
      <c r="AR15" s="1706">
        <f>SUMIF($H$5:$AQ$5,$AR$5,H15:AQ15)</f>
        <v>0</v>
      </c>
      <c r="AS15" s="1675">
        <f>SUMIF($H$5:$AQ$5,$AS$5,H15:AQ15)</f>
        <v>0</v>
      </c>
      <c r="AT15" s="1675">
        <f>AS15-AR15</f>
        <v>0</v>
      </c>
      <c r="AU15" s="1700">
        <f>SUM(AU17:AU18)</f>
        <v>0</v>
      </c>
      <c r="AV15" s="1700">
        <f>SUM(AV17:AV18)</f>
        <v>0</v>
      </c>
      <c r="AW15" s="1675">
        <f>AV15-AU15</f>
        <v>0</v>
      </c>
      <c r="AX15" s="1700">
        <f>SUM(AX17:AX18)</f>
        <v>0</v>
      </c>
      <c r="AY15" s="1700">
        <f>SUM(AY17:AY18)</f>
        <v>0</v>
      </c>
      <c r="AZ15" s="1675">
        <f>AY15-AX15</f>
        <v>0</v>
      </c>
      <c r="BA15" s="1700">
        <f>SUM(BA17:BA18)</f>
        <v>0</v>
      </c>
      <c r="BB15" s="1700">
        <f>SUM(BB17:BB18)</f>
        <v>0</v>
      </c>
      <c r="BC15" s="1675">
        <f>BB15-BA15</f>
        <v>0</v>
      </c>
      <c r="BD15" s="1700">
        <f>SUM(BD17:BD18)</f>
        <v>0</v>
      </c>
      <c r="BE15" s="1700">
        <f>SUM(BE17:BE18)</f>
        <v>0</v>
      </c>
      <c r="BF15" s="1713">
        <f>BE15-BD15</f>
        <v>0</v>
      </c>
      <c r="BG15" s="1688">
        <f t="shared" si="8"/>
        <v>0</v>
      </c>
      <c r="BH15" s="1689">
        <f t="shared" si="9"/>
        <v>0</v>
      </c>
      <c r="BI15" s="1652"/>
      <c r="BJ15" s="527"/>
      <c r="BK15" s="527"/>
      <c r="BL15" s="527"/>
      <c r="BM15" s="527"/>
      <c r="BN15" s="527"/>
    </row>
    <row r="16" spans="1:66" ht="15">
      <c r="A16" s="2074"/>
      <c r="B16" s="786"/>
      <c r="C16" s="782" t="s">
        <v>715</v>
      </c>
      <c r="D16" s="787" t="s">
        <v>111</v>
      </c>
      <c r="E16" s="1702"/>
      <c r="F16" s="1702"/>
      <c r="G16" s="1714" t="s">
        <v>1032</v>
      </c>
      <c r="H16" s="1715"/>
      <c r="I16" s="1715"/>
      <c r="J16" s="1715"/>
      <c r="K16" s="1715"/>
      <c r="L16" s="1715"/>
      <c r="M16" s="1715"/>
      <c r="N16" s="1715"/>
      <c r="O16" s="1715"/>
      <c r="P16" s="1715"/>
      <c r="Q16" s="1715"/>
      <c r="R16" s="1715"/>
      <c r="S16" s="1715"/>
      <c r="T16" s="1715"/>
      <c r="U16" s="1715"/>
      <c r="V16" s="1715"/>
      <c r="W16" s="1715"/>
      <c r="X16" s="1715"/>
      <c r="Y16" s="1715"/>
      <c r="Z16" s="1715"/>
      <c r="AA16" s="1715"/>
      <c r="AB16" s="1715"/>
      <c r="AC16" s="1715"/>
      <c r="AD16" s="1715"/>
      <c r="AE16" s="1715"/>
      <c r="AF16" s="1715"/>
      <c r="AG16" s="1715"/>
      <c r="AH16" s="1715"/>
      <c r="AI16" s="1715"/>
      <c r="AJ16" s="1715"/>
      <c r="AK16" s="1715"/>
      <c r="AL16" s="1715"/>
      <c r="AM16" s="1715"/>
      <c r="AN16" s="1715"/>
      <c r="AO16" s="1715"/>
      <c r="AP16" s="1715"/>
      <c r="AQ16" s="1715"/>
      <c r="AR16" s="1674"/>
      <c r="AS16" s="1675"/>
      <c r="AT16" s="1700"/>
      <c r="AU16" s="1700"/>
      <c r="AV16" s="1700"/>
      <c r="AW16" s="1700"/>
      <c r="AX16" s="1700"/>
      <c r="AY16" s="1700"/>
      <c r="AZ16" s="1700"/>
      <c r="BA16" s="1700"/>
      <c r="BB16" s="1700"/>
      <c r="BC16" s="1700"/>
      <c r="BD16" s="1700"/>
      <c r="BE16" s="1700"/>
      <c r="BF16" s="1716"/>
      <c r="BG16" s="1688">
        <f t="shared" si="8"/>
        <v>0</v>
      </c>
      <c r="BH16" s="1689">
        <f t="shared" si="9"/>
        <v>0</v>
      </c>
      <c r="BI16" s="1652"/>
      <c r="BJ16" s="527"/>
      <c r="BK16" s="527"/>
      <c r="BL16" s="527"/>
      <c r="BM16" s="527"/>
      <c r="BN16" s="527"/>
    </row>
    <row r="17" spans="1:66" ht="15">
      <c r="A17" s="2074"/>
      <c r="B17" s="786"/>
      <c r="C17" s="782" t="s">
        <v>715</v>
      </c>
      <c r="D17" s="787" t="s">
        <v>111</v>
      </c>
      <c r="E17" s="1702" t="s">
        <v>1228</v>
      </c>
      <c r="F17" s="1702" t="s">
        <v>112</v>
      </c>
      <c r="G17" s="1717" t="s">
        <v>1229</v>
      </c>
      <c r="H17" s="1704">
        <v>0</v>
      </c>
      <c r="I17" s="1704"/>
      <c r="J17" s="1705">
        <f>I17-H17</f>
        <v>0</v>
      </c>
      <c r="K17" s="1704">
        <v>0</v>
      </c>
      <c r="L17" s="1704"/>
      <c r="M17" s="1705">
        <f>L17-K17</f>
        <v>0</v>
      </c>
      <c r="N17" s="1704">
        <v>0</v>
      </c>
      <c r="O17" s="1704"/>
      <c r="P17" s="1705">
        <f>O17-N17</f>
        <v>0</v>
      </c>
      <c r="Q17" s="1704">
        <v>0</v>
      </c>
      <c r="R17" s="1704"/>
      <c r="S17" s="1705">
        <f>R17-Q17</f>
        <v>0</v>
      </c>
      <c r="T17" s="1704">
        <v>0</v>
      </c>
      <c r="U17" s="1704"/>
      <c r="V17" s="1705">
        <f>U17-T17</f>
        <v>0</v>
      </c>
      <c r="W17" s="1704">
        <v>0</v>
      </c>
      <c r="X17" s="1704"/>
      <c r="Y17" s="1705">
        <f>X17-W17</f>
        <v>0</v>
      </c>
      <c r="Z17" s="1704"/>
      <c r="AA17" s="1704"/>
      <c r="AB17" s="1705">
        <f>AA17-Z17</f>
        <v>0</v>
      </c>
      <c r="AC17" s="1704"/>
      <c r="AD17" s="1704"/>
      <c r="AE17" s="1705">
        <f>AD17-AC17</f>
        <v>0</v>
      </c>
      <c r="AF17" s="1704">
        <v>0</v>
      </c>
      <c r="AG17" s="1704"/>
      <c r="AH17" s="1705">
        <f>AG17-AF17</f>
        <v>0</v>
      </c>
      <c r="AI17" s="1704">
        <v>0</v>
      </c>
      <c r="AJ17" s="1704"/>
      <c r="AK17" s="1705">
        <f>AJ17-AI17</f>
        <v>0</v>
      </c>
      <c r="AL17" s="1704">
        <v>0</v>
      </c>
      <c r="AM17" s="1704"/>
      <c r="AN17" s="1705">
        <f>AM17-AL17</f>
        <v>0</v>
      </c>
      <c r="AO17" s="1704">
        <v>0</v>
      </c>
      <c r="AP17" s="1704"/>
      <c r="AQ17" s="1705">
        <f>AP17-AO17</f>
        <v>0</v>
      </c>
      <c r="AR17" s="1674">
        <f>SUMIF($H$5:$AQ$5,$AR$5,H17:AQ17)</f>
        <v>0</v>
      </c>
      <c r="AS17" s="1707">
        <f>SUMIF($H$5:$AQ$5,$AS$5,H17:AQ17)</f>
        <v>0</v>
      </c>
      <c r="AT17" s="1708">
        <f>AS17-AR17</f>
        <v>0</v>
      </c>
      <c r="AU17" s="1708">
        <f>SUM(H17,K17,N17)</f>
        <v>0</v>
      </c>
      <c r="AV17" s="1708">
        <f>SUM(I17,L17,O17)</f>
        <v>0</v>
      </c>
      <c r="AW17" s="1708">
        <f>AV17-AU17</f>
        <v>0</v>
      </c>
      <c r="AX17" s="1708">
        <f>SUM(Q17,T17,W17)</f>
        <v>0</v>
      </c>
      <c r="AY17" s="1708">
        <f>SUM(R17,U17,X17)</f>
        <v>0</v>
      </c>
      <c r="AZ17" s="1708">
        <f>AY17-AX17</f>
        <v>0</v>
      </c>
      <c r="BA17" s="1708">
        <f>SUM(Z17,AC17,AF17)</f>
        <v>0</v>
      </c>
      <c r="BB17" s="1708">
        <f>SUM(AA17,AD17,AG17)</f>
        <v>0</v>
      </c>
      <c r="BC17" s="1708">
        <f>BB17-BA17</f>
        <v>0</v>
      </c>
      <c r="BD17" s="1708">
        <f>SUM(AI17,AL17,AO17)</f>
        <v>0</v>
      </c>
      <c r="BE17" s="1708">
        <f>SUM(AJ17,AM17,AP17)</f>
        <v>0</v>
      </c>
      <c r="BF17" s="1709">
        <f>BE17-BD17</f>
        <v>0</v>
      </c>
      <c r="BG17" s="1688">
        <f t="shared" si="8"/>
        <v>0</v>
      </c>
      <c r="BH17" s="1689">
        <f t="shared" si="9"/>
        <v>0</v>
      </c>
      <c r="BI17" s="1652"/>
      <c r="BJ17" s="527"/>
      <c r="BK17" s="527"/>
      <c r="BL17" s="527"/>
      <c r="BM17" s="527"/>
      <c r="BN17" s="527"/>
    </row>
    <row r="18" spans="1:66" ht="15">
      <c r="A18" s="2074"/>
      <c r="B18" s="784"/>
      <c r="C18" s="782" t="s">
        <v>715</v>
      </c>
      <c r="D18" s="785" t="s">
        <v>111</v>
      </c>
      <c r="E18" s="1670" t="s">
        <v>1230</v>
      </c>
      <c r="F18" s="1670" t="s">
        <v>112</v>
      </c>
      <c r="G18" s="1718" t="s">
        <v>1231</v>
      </c>
      <c r="H18" s="1682"/>
      <c r="I18" s="1682"/>
      <c r="J18" s="1673">
        <f>I18-H18</f>
        <v>0</v>
      </c>
      <c r="K18" s="1682"/>
      <c r="L18" s="1682"/>
      <c r="M18" s="1673">
        <f>L18-K18</f>
        <v>0</v>
      </c>
      <c r="N18" s="1682"/>
      <c r="O18" s="1682"/>
      <c r="P18" s="1673">
        <f>O18-N18</f>
        <v>0</v>
      </c>
      <c r="Q18" s="1682"/>
      <c r="R18" s="1682"/>
      <c r="S18" s="1673">
        <f>R18-Q18</f>
        <v>0</v>
      </c>
      <c r="T18" s="1682"/>
      <c r="U18" s="1682"/>
      <c r="V18" s="1673">
        <f>U18-T18</f>
        <v>0</v>
      </c>
      <c r="W18" s="1682"/>
      <c r="X18" s="1682"/>
      <c r="Y18" s="1673">
        <f>X18-W18</f>
        <v>0</v>
      </c>
      <c r="Z18" s="1682"/>
      <c r="AA18" s="1682"/>
      <c r="AB18" s="1673">
        <f>AA18-Z18</f>
        <v>0</v>
      </c>
      <c r="AC18" s="1682"/>
      <c r="AD18" s="1682"/>
      <c r="AE18" s="1673">
        <f>AD18-AC18</f>
        <v>0</v>
      </c>
      <c r="AF18" s="1682"/>
      <c r="AG18" s="1682"/>
      <c r="AH18" s="1673">
        <f>AG18-AF18</f>
        <v>0</v>
      </c>
      <c r="AI18" s="1682"/>
      <c r="AJ18" s="1682"/>
      <c r="AK18" s="1673">
        <f>AJ18-AI18</f>
        <v>0</v>
      </c>
      <c r="AL18" s="1682"/>
      <c r="AM18" s="1682"/>
      <c r="AN18" s="1673">
        <f>AM18-AL18</f>
        <v>0</v>
      </c>
      <c r="AO18" s="1682"/>
      <c r="AP18" s="1682"/>
      <c r="AQ18" s="1673">
        <f>AP18-AO18</f>
        <v>0</v>
      </c>
      <c r="AR18" s="1674">
        <f>SUMIF($H$5:$AQ$5,$AR$5,H18:AQ18)</f>
        <v>0</v>
      </c>
      <c r="AS18" s="1675">
        <f>SUMIF($H$5:$AQ$5,$AS$5,H18:AQ18)</f>
        <v>0</v>
      </c>
      <c r="AT18" s="1700">
        <f>AS18-AR18</f>
        <v>0</v>
      </c>
      <c r="AU18" s="1687">
        <f>SUM(H18,K18,N18)</f>
        <v>0</v>
      </c>
      <c r="AV18" s="1687">
        <f>SUM(I18,L18,O18)</f>
        <v>0</v>
      </c>
      <c r="AW18" s="1687">
        <f>AV18-AU18</f>
        <v>0</v>
      </c>
      <c r="AX18" s="1687">
        <f>SUM(Q18,T18,W18)</f>
        <v>0</v>
      </c>
      <c r="AY18" s="1687">
        <f>SUM(R18,U18,X18)</f>
        <v>0</v>
      </c>
      <c r="AZ18" s="1687">
        <f>AY18-AX18</f>
        <v>0</v>
      </c>
      <c r="BA18" s="1687">
        <f>SUM(Z18,AC18,AF18)</f>
        <v>0</v>
      </c>
      <c r="BB18" s="1687">
        <f>SUM(AA18,AD18,AG18)</f>
        <v>0</v>
      </c>
      <c r="BC18" s="1687">
        <f>BB18-BA18</f>
        <v>0</v>
      </c>
      <c r="BD18" s="1687">
        <f>SUM(AI18,AL18,AO18)</f>
        <v>0</v>
      </c>
      <c r="BE18" s="1687">
        <f>SUM(AJ18,AM18,AP18)</f>
        <v>0</v>
      </c>
      <c r="BF18" s="1701">
        <f>BE18-BD18</f>
        <v>0</v>
      </c>
      <c r="BG18" s="1688">
        <f t="shared" si="8"/>
        <v>0</v>
      </c>
      <c r="BH18" s="1689">
        <f t="shared" si="9"/>
        <v>0</v>
      </c>
      <c r="BI18" s="1652"/>
      <c r="BJ18" s="527"/>
      <c r="BK18" s="527"/>
      <c r="BL18" s="527"/>
      <c r="BM18" s="527"/>
      <c r="BN18" s="527"/>
    </row>
    <row r="19" spans="1:66" ht="15">
      <c r="A19" s="2074"/>
      <c r="B19" s="784"/>
      <c r="C19" s="782" t="s">
        <v>715</v>
      </c>
      <c r="D19" s="785" t="s">
        <v>111</v>
      </c>
      <c r="E19" s="1670" t="s">
        <v>1512</v>
      </c>
      <c r="F19" s="1670" t="s">
        <v>1232</v>
      </c>
      <c r="G19" s="1671" t="s">
        <v>1233</v>
      </c>
      <c r="H19" s="1685">
        <f>SUM(H21:H22)</f>
        <v>0</v>
      </c>
      <c r="I19" s="1685">
        <f>SUM(I21:I22)</f>
        <v>0</v>
      </c>
      <c r="J19" s="1673">
        <f>I19-H19</f>
        <v>0</v>
      </c>
      <c r="K19" s="1685">
        <f>SUM(K21:K22)</f>
        <v>0</v>
      </c>
      <c r="L19" s="1685">
        <f>SUM(L21:L22)</f>
        <v>0</v>
      </c>
      <c r="M19" s="1673">
        <f>L19-K19</f>
        <v>0</v>
      </c>
      <c r="N19" s="1685">
        <f>SUM(N21:N22)</f>
        <v>0</v>
      </c>
      <c r="O19" s="1685">
        <f>SUM(O21:O22)</f>
        <v>0</v>
      </c>
      <c r="P19" s="1673">
        <f>O19-N19</f>
        <v>0</v>
      </c>
      <c r="Q19" s="1685">
        <f>SUM(Q21:Q22)</f>
        <v>0</v>
      </c>
      <c r="R19" s="1685">
        <f>SUM(R21:R22)</f>
        <v>0</v>
      </c>
      <c r="S19" s="1673">
        <f>R19-Q19</f>
        <v>0</v>
      </c>
      <c r="T19" s="1685">
        <f>SUM(T21:T22)</f>
        <v>0</v>
      </c>
      <c r="U19" s="1685">
        <f>SUM(U21:U22)</f>
        <v>0</v>
      </c>
      <c r="V19" s="1673">
        <f>U19-T19</f>
        <v>0</v>
      </c>
      <c r="W19" s="1685">
        <f>SUM(W21:W22)</f>
        <v>0</v>
      </c>
      <c r="X19" s="1685">
        <f>SUM(X21:X22)</f>
        <v>0</v>
      </c>
      <c r="Y19" s="1673">
        <f>X19-W19</f>
        <v>0</v>
      </c>
      <c r="Z19" s="1686">
        <f>SUM(Z21:Z25)</f>
        <v>0</v>
      </c>
      <c r="AA19" s="1686">
        <f>SUM(AA21:AA25)</f>
        <v>0</v>
      </c>
      <c r="AB19" s="1673">
        <f>AA19-Z19</f>
        <v>0</v>
      </c>
      <c r="AC19" s="1686">
        <f>SUM(AC21:AC25)</f>
        <v>0</v>
      </c>
      <c r="AD19" s="1686">
        <v>0</v>
      </c>
      <c r="AE19" s="1673">
        <f>AD19-AC19</f>
        <v>0</v>
      </c>
      <c r="AF19" s="1685">
        <f>SUM(AF21:AF22)</f>
        <v>0</v>
      </c>
      <c r="AG19" s="1685">
        <f>SUM(AG21:AG22)</f>
        <v>0</v>
      </c>
      <c r="AH19" s="1673">
        <f>AG19-AF19</f>
        <v>0</v>
      </c>
      <c r="AI19" s="1685">
        <f>SUM(AI21:AI22)</f>
        <v>0</v>
      </c>
      <c r="AJ19" s="1685">
        <f>SUM(AJ21:AJ22)</f>
        <v>0</v>
      </c>
      <c r="AK19" s="1673">
        <f>AJ19-AI19</f>
        <v>0</v>
      </c>
      <c r="AL19" s="1685">
        <f>SUM(AL21:AL22)</f>
        <v>0</v>
      </c>
      <c r="AM19" s="1685">
        <f>SUM(AM21:AM22)</f>
        <v>0</v>
      </c>
      <c r="AN19" s="1673">
        <f>AM19-AL19</f>
        <v>0</v>
      </c>
      <c r="AO19" s="1685">
        <f>SUM(AO21:AO22)</f>
        <v>0</v>
      </c>
      <c r="AP19" s="1685">
        <f>SUM(AP21:AP22)</f>
        <v>0</v>
      </c>
      <c r="AQ19" s="1673">
        <f>AP19-AO19</f>
        <v>0</v>
      </c>
      <c r="AR19" s="1706">
        <f>SUMIF($H$5:$AQ$5,$AR$5,H19:AQ19)</f>
        <v>0</v>
      </c>
      <c r="AS19" s="1675">
        <f>SUMIF($H$5:$AQ$5,$AS$5,H19:AQ19)</f>
        <v>0</v>
      </c>
      <c r="AT19" s="1675">
        <f>AS19-AR19</f>
        <v>0</v>
      </c>
      <c r="AU19" s="1685">
        <f aca="true" t="shared" si="10" ref="AU19:BH19">SUM(AU21:AU22)</f>
        <v>0</v>
      </c>
      <c r="AV19" s="1685">
        <f t="shared" si="10"/>
        <v>0</v>
      </c>
      <c r="AW19" s="1685">
        <f t="shared" si="10"/>
        <v>0</v>
      </c>
      <c r="AX19" s="1685">
        <f t="shared" si="10"/>
        <v>0</v>
      </c>
      <c r="AY19" s="1685">
        <f t="shared" si="10"/>
        <v>0</v>
      </c>
      <c r="AZ19" s="1685">
        <f t="shared" si="10"/>
        <v>0</v>
      </c>
      <c r="BA19" s="1685">
        <f t="shared" si="10"/>
        <v>0</v>
      </c>
      <c r="BB19" s="1685">
        <f t="shared" si="10"/>
        <v>0</v>
      </c>
      <c r="BC19" s="1685">
        <f t="shared" si="10"/>
        <v>0</v>
      </c>
      <c r="BD19" s="1685">
        <f t="shared" si="10"/>
        <v>0</v>
      </c>
      <c r="BE19" s="1685">
        <f t="shared" si="10"/>
        <v>0</v>
      </c>
      <c r="BF19" s="1719">
        <f t="shared" si="10"/>
        <v>0</v>
      </c>
      <c r="BG19" s="1720">
        <f t="shared" si="10"/>
        <v>0</v>
      </c>
      <c r="BH19" s="1721">
        <f t="shared" si="10"/>
        <v>0</v>
      </c>
      <c r="BI19" s="1652"/>
      <c r="BJ19" s="527"/>
      <c r="BK19" s="527"/>
      <c r="BL19" s="527"/>
      <c r="BM19" s="527"/>
      <c r="BN19" s="527"/>
    </row>
    <row r="20" spans="1:66" ht="15">
      <c r="A20" s="2074"/>
      <c r="B20" s="784"/>
      <c r="C20" s="782" t="s">
        <v>715</v>
      </c>
      <c r="D20" s="785" t="s">
        <v>111</v>
      </c>
      <c r="E20" s="1670"/>
      <c r="F20" s="1670"/>
      <c r="G20" s="1698" t="s">
        <v>1032</v>
      </c>
      <c r="H20" s="1687"/>
      <c r="I20" s="1687"/>
      <c r="J20" s="1699"/>
      <c r="K20" s="1687"/>
      <c r="L20" s="1687"/>
      <c r="M20" s="1699"/>
      <c r="N20" s="1687"/>
      <c r="O20" s="1687"/>
      <c r="P20" s="1699"/>
      <c r="Q20" s="1687"/>
      <c r="R20" s="1687"/>
      <c r="S20" s="1699"/>
      <c r="T20" s="1687"/>
      <c r="U20" s="1687"/>
      <c r="V20" s="1699"/>
      <c r="W20" s="1687"/>
      <c r="X20" s="1687"/>
      <c r="Y20" s="1699"/>
      <c r="Z20" s="1687"/>
      <c r="AA20" s="1687"/>
      <c r="AB20" s="1699"/>
      <c r="AC20" s="1687"/>
      <c r="AD20" s="1687"/>
      <c r="AE20" s="1699"/>
      <c r="AF20" s="1687"/>
      <c r="AG20" s="1687"/>
      <c r="AH20" s="1699"/>
      <c r="AI20" s="1687"/>
      <c r="AJ20" s="1687"/>
      <c r="AK20" s="1699"/>
      <c r="AL20" s="1687"/>
      <c r="AM20" s="1687"/>
      <c r="AN20" s="1699"/>
      <c r="AO20" s="1687"/>
      <c r="AP20" s="1687"/>
      <c r="AQ20" s="1699"/>
      <c r="AR20" s="1674"/>
      <c r="AS20" s="1675"/>
      <c r="AT20" s="1700"/>
      <c r="AU20" s="1687"/>
      <c r="AV20" s="1687"/>
      <c r="AW20" s="1687"/>
      <c r="AX20" s="1687"/>
      <c r="AY20" s="1687"/>
      <c r="AZ20" s="1687"/>
      <c r="BA20" s="1687"/>
      <c r="BB20" s="1687"/>
      <c r="BC20" s="1687"/>
      <c r="BD20" s="1687"/>
      <c r="BE20" s="1687"/>
      <c r="BF20" s="1701"/>
      <c r="BG20" s="1688">
        <f>AU20+AX20</f>
        <v>0</v>
      </c>
      <c r="BH20" s="1689">
        <f>BA20+BD20</f>
        <v>0</v>
      </c>
      <c r="BI20" s="1652"/>
      <c r="BJ20" s="527"/>
      <c r="BK20" s="527"/>
      <c r="BL20" s="527"/>
      <c r="BM20" s="527"/>
      <c r="BN20" s="527"/>
    </row>
    <row r="21" spans="1:66" ht="15">
      <c r="A21" s="2074"/>
      <c r="B21" s="784"/>
      <c r="C21" s="782" t="s">
        <v>715</v>
      </c>
      <c r="D21" s="785" t="s">
        <v>111</v>
      </c>
      <c r="E21" s="1670" t="s">
        <v>1234</v>
      </c>
      <c r="F21" s="1670" t="s">
        <v>1232</v>
      </c>
      <c r="G21" s="1718" t="s">
        <v>1229</v>
      </c>
      <c r="H21" s="1722">
        <f>H17/0.0512</f>
        <v>0</v>
      </c>
      <c r="I21" s="1722">
        <f>I17/0.0512</f>
        <v>0</v>
      </c>
      <c r="J21" s="1673">
        <f>I21-H21</f>
        <v>0</v>
      </c>
      <c r="K21" s="1722">
        <f>K17/0.0512</f>
        <v>0</v>
      </c>
      <c r="L21" s="1722">
        <f>L17/0.0512</f>
        <v>0</v>
      </c>
      <c r="M21" s="1673">
        <f>L21-K21</f>
        <v>0</v>
      </c>
      <c r="N21" s="1722">
        <f>N17/0.0512</f>
        <v>0</v>
      </c>
      <c r="O21" s="1722">
        <f>O17/0.0512</f>
        <v>0</v>
      </c>
      <c r="P21" s="1673">
        <f>O21-N21</f>
        <v>0</v>
      </c>
      <c r="Q21" s="1722">
        <f>Q17/0.0512</f>
        <v>0</v>
      </c>
      <c r="R21" s="1722">
        <f>R17/0.0512</f>
        <v>0</v>
      </c>
      <c r="S21" s="1673">
        <f>R21-Q21</f>
        <v>0</v>
      </c>
      <c r="T21" s="1722">
        <f>T17/0.0512</f>
        <v>0</v>
      </c>
      <c r="U21" s="1722">
        <f>U17/0.0512</f>
        <v>0</v>
      </c>
      <c r="V21" s="1673">
        <f>U21-T21</f>
        <v>0</v>
      </c>
      <c r="W21" s="1722">
        <f>W17/0.0512</f>
        <v>0</v>
      </c>
      <c r="X21" s="1722">
        <f>X17/0.0512</f>
        <v>0</v>
      </c>
      <c r="Y21" s="1673">
        <f>X21-W21</f>
        <v>0</v>
      </c>
      <c r="Z21" s="1682"/>
      <c r="AA21" s="1682"/>
      <c r="AB21" s="1673">
        <f>AA21-Z21</f>
        <v>0</v>
      </c>
      <c r="AC21" s="1682"/>
      <c r="AD21" s="1682"/>
      <c r="AE21" s="1673">
        <f>AD21-AC21</f>
        <v>0</v>
      </c>
      <c r="AF21" s="1722">
        <f>AF17/0.0512</f>
        <v>0</v>
      </c>
      <c r="AG21" s="1722">
        <f>AG17/0.0512</f>
        <v>0</v>
      </c>
      <c r="AH21" s="1673">
        <f>AG21-AF21</f>
        <v>0</v>
      </c>
      <c r="AI21" s="1722">
        <f>AI17/0.0512</f>
        <v>0</v>
      </c>
      <c r="AJ21" s="1722">
        <f>AJ17/0.0512</f>
        <v>0</v>
      </c>
      <c r="AK21" s="1673">
        <f>AJ21-AI21</f>
        <v>0</v>
      </c>
      <c r="AL21" s="1722">
        <f>AL17/0.0512</f>
        <v>0</v>
      </c>
      <c r="AM21" s="1722">
        <f>AM17/0.0512</f>
        <v>0</v>
      </c>
      <c r="AN21" s="1673">
        <f>AM21-AL21</f>
        <v>0</v>
      </c>
      <c r="AO21" s="1722">
        <f>AO17/0.0512</f>
        <v>0</v>
      </c>
      <c r="AP21" s="1722">
        <f>AP17/0.0512</f>
        <v>0</v>
      </c>
      <c r="AQ21" s="1673">
        <f>AP21-AO21</f>
        <v>0</v>
      </c>
      <c r="AR21" s="1722">
        <f>AR17/0.0512</f>
        <v>0</v>
      </c>
      <c r="AS21" s="1722">
        <f>AS17/0.0512</f>
        <v>0</v>
      </c>
      <c r="AT21" s="1700">
        <f>AS21-AR21</f>
        <v>0</v>
      </c>
      <c r="AU21" s="1722">
        <f>AU17/0.0512</f>
        <v>0</v>
      </c>
      <c r="AV21" s="1722">
        <f>AV17/0.0512</f>
        <v>0</v>
      </c>
      <c r="AW21" s="1687">
        <f>AV21-AU21</f>
        <v>0</v>
      </c>
      <c r="AX21" s="1722">
        <f>AX17/0.0512</f>
        <v>0</v>
      </c>
      <c r="AY21" s="1722">
        <f>AY17/0.0512</f>
        <v>0</v>
      </c>
      <c r="AZ21" s="1687">
        <f>AY21-AX21</f>
        <v>0</v>
      </c>
      <c r="BA21" s="1722">
        <f>BA17/0.0512</f>
        <v>0</v>
      </c>
      <c r="BB21" s="1722">
        <f>BB17/0.0512</f>
        <v>0</v>
      </c>
      <c r="BC21" s="1687">
        <f>BB21-BA21</f>
        <v>0</v>
      </c>
      <c r="BD21" s="1722">
        <f>BD17/0.0512</f>
        <v>0</v>
      </c>
      <c r="BE21" s="1722">
        <f>BE17/0.0512</f>
        <v>0</v>
      </c>
      <c r="BF21" s="1701">
        <f>BE21-BD21</f>
        <v>0</v>
      </c>
      <c r="BG21" s="1688">
        <f>AU21+AX21</f>
        <v>0</v>
      </c>
      <c r="BH21" s="1689">
        <f>BA21+BD21</f>
        <v>0</v>
      </c>
      <c r="BI21" s="1652"/>
      <c r="BJ21" s="527"/>
      <c r="BK21" s="527"/>
      <c r="BL21" s="527"/>
      <c r="BM21" s="527"/>
      <c r="BN21" s="527"/>
    </row>
    <row r="22" spans="1:66" ht="15">
      <c r="A22" s="2074"/>
      <c r="B22" s="784"/>
      <c r="C22" s="782" t="s">
        <v>715</v>
      </c>
      <c r="D22" s="785" t="s">
        <v>111</v>
      </c>
      <c r="E22" s="1670" t="s">
        <v>1235</v>
      </c>
      <c r="F22" s="1670" t="s">
        <v>1232</v>
      </c>
      <c r="G22" s="1718" t="s">
        <v>1231</v>
      </c>
      <c r="H22" s="1682"/>
      <c r="I22" s="1682"/>
      <c r="J22" s="1673">
        <f>I22-H22</f>
        <v>0</v>
      </c>
      <c r="K22" s="1682"/>
      <c r="L22" s="1682"/>
      <c r="M22" s="1673">
        <f>L22-K22</f>
        <v>0</v>
      </c>
      <c r="N22" s="1682"/>
      <c r="O22" s="1682"/>
      <c r="P22" s="1673">
        <f>O22-N22</f>
        <v>0</v>
      </c>
      <c r="Q22" s="1682"/>
      <c r="R22" s="1682"/>
      <c r="S22" s="1673">
        <f>R22-Q22</f>
        <v>0</v>
      </c>
      <c r="T22" s="1682"/>
      <c r="U22" s="1682"/>
      <c r="V22" s="1673">
        <f>U22-T22</f>
        <v>0</v>
      </c>
      <c r="W22" s="1682"/>
      <c r="X22" s="1682"/>
      <c r="Y22" s="1673">
        <f>X22-W22</f>
        <v>0</v>
      </c>
      <c r="Z22" s="1682"/>
      <c r="AA22" s="1682"/>
      <c r="AB22" s="1673">
        <f>AA22-Z22</f>
        <v>0</v>
      </c>
      <c r="AC22" s="1682"/>
      <c r="AD22" s="1682"/>
      <c r="AE22" s="1673">
        <f>AD22-AC22</f>
        <v>0</v>
      </c>
      <c r="AF22" s="1682"/>
      <c r="AG22" s="1682"/>
      <c r="AH22" s="1673">
        <f>AG22-AF22</f>
        <v>0</v>
      </c>
      <c r="AI22" s="1682"/>
      <c r="AJ22" s="1682"/>
      <c r="AK22" s="1673">
        <f>AJ22-AI22</f>
        <v>0</v>
      </c>
      <c r="AL22" s="1682"/>
      <c r="AM22" s="1682"/>
      <c r="AN22" s="1673">
        <f>AM22-AL22</f>
        <v>0</v>
      </c>
      <c r="AO22" s="1682"/>
      <c r="AP22" s="1682"/>
      <c r="AQ22" s="1673">
        <f>AP22-AO22</f>
        <v>0</v>
      </c>
      <c r="AR22" s="1674">
        <f>SUMIF($H$5:$AQ$5,$AR$5,H22:AQ22)</f>
        <v>0</v>
      </c>
      <c r="AS22" s="1675">
        <f>SUMIF($H$5:$AQ$5,$AS$5,H22:AQ22)</f>
        <v>0</v>
      </c>
      <c r="AT22" s="1700">
        <f>AS22-AR22</f>
        <v>0</v>
      </c>
      <c r="AU22" s="1687"/>
      <c r="AV22" s="1687"/>
      <c r="AW22" s="1687"/>
      <c r="AX22" s="1687"/>
      <c r="AY22" s="1687"/>
      <c r="AZ22" s="1687"/>
      <c r="BA22" s="1687"/>
      <c r="BB22" s="1687"/>
      <c r="BC22" s="1687"/>
      <c r="BD22" s="1687"/>
      <c r="BE22" s="1687"/>
      <c r="BF22" s="1701"/>
      <c r="BG22" s="1688"/>
      <c r="BH22" s="1689"/>
      <c r="BI22" s="1652"/>
      <c r="BJ22" s="527"/>
      <c r="BK22" s="527"/>
      <c r="BL22" s="527"/>
      <c r="BM22" s="527"/>
      <c r="BN22" s="527"/>
    </row>
    <row r="23" spans="1:66" ht="15">
      <c r="A23" s="2074"/>
      <c r="B23" s="784"/>
      <c r="C23" s="782" t="s">
        <v>715</v>
      </c>
      <c r="D23" s="785" t="s">
        <v>111</v>
      </c>
      <c r="E23" s="1670" t="s">
        <v>1513</v>
      </c>
      <c r="F23" s="1670" t="s">
        <v>1236</v>
      </c>
      <c r="G23" s="1723" t="s">
        <v>1237</v>
      </c>
      <c r="H23" s="1682">
        <v>4</v>
      </c>
      <c r="I23" s="1682">
        <v>4</v>
      </c>
      <c r="J23" s="1673">
        <f>I23-H23</f>
        <v>0</v>
      </c>
      <c r="K23" s="1682">
        <v>4</v>
      </c>
      <c r="L23" s="1682">
        <v>0</v>
      </c>
      <c r="M23" s="1673">
        <f>L23-K23</f>
        <v>-4</v>
      </c>
      <c r="N23" s="1682">
        <v>4</v>
      </c>
      <c r="O23" s="1682">
        <v>0</v>
      </c>
      <c r="P23" s="1673">
        <f>O23-N23</f>
        <v>-4</v>
      </c>
      <c r="Q23" s="1682">
        <v>3</v>
      </c>
      <c r="R23" s="1682">
        <v>0</v>
      </c>
      <c r="S23" s="1673">
        <f>R23-Q23</f>
        <v>-3</v>
      </c>
      <c r="T23" s="1682">
        <v>2</v>
      </c>
      <c r="U23" s="1682">
        <v>0</v>
      </c>
      <c r="V23" s="1673">
        <f>U23-T23</f>
        <v>-2</v>
      </c>
      <c r="W23" s="1682">
        <v>1</v>
      </c>
      <c r="X23" s="1682">
        <v>0</v>
      </c>
      <c r="Y23" s="1673">
        <f>X23-W23</f>
        <v>-1</v>
      </c>
      <c r="Z23" s="1682"/>
      <c r="AA23" s="1682"/>
      <c r="AB23" s="1673">
        <f>AA23-Z23</f>
        <v>0</v>
      </c>
      <c r="AC23" s="1682"/>
      <c r="AD23" s="1682"/>
      <c r="AE23" s="1673">
        <f>AD23-AC23</f>
        <v>0</v>
      </c>
      <c r="AF23" s="1682">
        <v>1</v>
      </c>
      <c r="AG23" s="1682"/>
      <c r="AH23" s="1673">
        <f>AG23-AF23</f>
        <v>-1</v>
      </c>
      <c r="AI23" s="1682">
        <v>2</v>
      </c>
      <c r="AJ23" s="1682">
        <v>2</v>
      </c>
      <c r="AK23" s="1673">
        <f>AJ23-AI23</f>
        <v>0</v>
      </c>
      <c r="AL23" s="1682">
        <v>3</v>
      </c>
      <c r="AM23" s="1682">
        <v>3</v>
      </c>
      <c r="AN23" s="1673">
        <f>AM23-AL23</f>
        <v>0</v>
      </c>
      <c r="AO23" s="1682">
        <v>3</v>
      </c>
      <c r="AP23" s="1682">
        <v>3</v>
      </c>
      <c r="AQ23" s="1673">
        <f>AP23-AO23</f>
        <v>0</v>
      </c>
      <c r="AR23" s="1724">
        <f>SUMIF($H$5:$AQ$5,$AR$5,H23:AQ23)</f>
        <v>27</v>
      </c>
      <c r="AS23" s="1725">
        <v>0</v>
      </c>
      <c r="AT23" s="1687">
        <f>AS23-AR23</f>
        <v>-27</v>
      </c>
      <c r="AU23" s="1708">
        <f>SUM(H23,K23,N23)</f>
        <v>12</v>
      </c>
      <c r="AV23" s="1708">
        <f>SUM(I23,L23,O23)</f>
        <v>4</v>
      </c>
      <c r="AW23" s="1708">
        <f>AV23-AU23</f>
        <v>-8</v>
      </c>
      <c r="AX23" s="1708">
        <f>SUM(Q23,T23,W23)</f>
        <v>6</v>
      </c>
      <c r="AY23" s="1708">
        <f>SUM(R23,U23,X23)</f>
        <v>0</v>
      </c>
      <c r="AZ23" s="1708">
        <f>AY23-AX23</f>
        <v>-6</v>
      </c>
      <c r="BA23" s="1708">
        <f>SUM(Z23,AC23,AF23)</f>
        <v>1</v>
      </c>
      <c r="BB23" s="1708">
        <f>SUM(AA23,AD23,AG23)</f>
        <v>0</v>
      </c>
      <c r="BC23" s="1708">
        <f>BB23-BA23</f>
        <v>-1</v>
      </c>
      <c r="BD23" s="1708">
        <f>SUM(AI23,AL23,AO23)</f>
        <v>8</v>
      </c>
      <c r="BE23" s="1687">
        <v>0</v>
      </c>
      <c r="BF23" s="1701">
        <f>BE23-BD23</f>
        <v>-8</v>
      </c>
      <c r="BG23" s="1688">
        <f>AU23+AX23</f>
        <v>18</v>
      </c>
      <c r="BH23" s="1689">
        <f>BA23+BD23</f>
        <v>9</v>
      </c>
      <c r="BI23" s="1652"/>
      <c r="BJ23" s="527"/>
      <c r="BK23" s="527"/>
      <c r="BL23" s="527"/>
      <c r="BM23" s="527"/>
      <c r="BN23" s="527"/>
    </row>
    <row r="24" spans="1:66" ht="15">
      <c r="A24" s="2074"/>
      <c r="B24" s="784"/>
      <c r="C24" s="782" t="s">
        <v>715</v>
      </c>
      <c r="D24" s="785" t="s">
        <v>111</v>
      </c>
      <c r="E24" s="1670" t="s">
        <v>1238</v>
      </c>
      <c r="F24" s="1670" t="s">
        <v>1232</v>
      </c>
      <c r="G24" s="1723" t="s">
        <v>1239</v>
      </c>
      <c r="H24" s="1682">
        <f>9.245/9</f>
        <v>1.027222222222222</v>
      </c>
      <c r="I24" s="1682">
        <v>0</v>
      </c>
      <c r="J24" s="1682">
        <f>8.484/9</f>
        <v>0.9426666666666667</v>
      </c>
      <c r="K24" s="1682">
        <f>9.245/9</f>
        <v>1.027222222222222</v>
      </c>
      <c r="L24" s="1682">
        <v>0</v>
      </c>
      <c r="M24" s="1673">
        <f>L24-K24</f>
        <v>-1.027222222222222</v>
      </c>
      <c r="N24" s="1682">
        <f>9.245/9</f>
        <v>1.027222222222222</v>
      </c>
      <c r="O24" s="1682">
        <v>0</v>
      </c>
      <c r="P24" s="1673">
        <f>O24-N24</f>
        <v>-1.027222222222222</v>
      </c>
      <c r="Q24" s="1682">
        <f>9.245/9</f>
        <v>1.027222222222222</v>
      </c>
      <c r="R24" s="1682">
        <v>0</v>
      </c>
      <c r="S24" s="1673">
        <f>R24-Q24</f>
        <v>-1.027222222222222</v>
      </c>
      <c r="T24" s="1682">
        <f>9.245/9</f>
        <v>1.027222222222222</v>
      </c>
      <c r="U24" s="1682">
        <v>0</v>
      </c>
      <c r="V24" s="1673">
        <f>U24-T24</f>
        <v>-1.027222222222222</v>
      </c>
      <c r="W24" s="1682">
        <f>9.245/9/2</f>
        <v>0.513611111111111</v>
      </c>
      <c r="X24" s="1682">
        <f>8.484/9</f>
        <v>0.9426666666666667</v>
      </c>
      <c r="Y24" s="1682">
        <f>8.484/9</f>
        <v>0.9426666666666667</v>
      </c>
      <c r="Z24" s="1682"/>
      <c r="AA24" s="1682"/>
      <c r="AB24" s="1682"/>
      <c r="AC24" s="1682">
        <v>0</v>
      </c>
      <c r="AD24" s="1682">
        <v>0</v>
      </c>
      <c r="AE24" s="1682"/>
      <c r="AF24" s="1682">
        <f>9.245/9/2</f>
        <v>0.513611111111111</v>
      </c>
      <c r="AG24" s="1682">
        <f>8.484/9</f>
        <v>0.9426666666666667</v>
      </c>
      <c r="AH24" s="1682">
        <f>8.484/9</f>
        <v>0.9426666666666667</v>
      </c>
      <c r="AI24" s="1682">
        <f>9.245/9</f>
        <v>1.027222222222222</v>
      </c>
      <c r="AJ24" s="1682">
        <f>8.484/9</f>
        <v>0.9426666666666667</v>
      </c>
      <c r="AK24" s="1682">
        <f>8.484/9</f>
        <v>0.9426666666666667</v>
      </c>
      <c r="AL24" s="1682">
        <f>9.245/9</f>
        <v>1.027222222222222</v>
      </c>
      <c r="AM24" s="1682">
        <f>8.484/9</f>
        <v>0.9426666666666667</v>
      </c>
      <c r="AN24" s="1682">
        <f>8.484/9</f>
        <v>0.9426666666666667</v>
      </c>
      <c r="AO24" s="1682">
        <f>9.245/9</f>
        <v>1.027222222222222</v>
      </c>
      <c r="AP24" s="1726">
        <v>1</v>
      </c>
      <c r="AQ24" s="1727">
        <f>AP24-AO24</f>
        <v>-0.027222222222222037</v>
      </c>
      <c r="AR24" s="1728">
        <f>SUMIF($H$5:$AQ$5,$AR$5,H24:AQ24)</f>
        <v>9.244999999999997</v>
      </c>
      <c r="AS24" s="1725">
        <f>SUMIF($H$5:$AQ$5,$AS$5,H24:AQ24)</f>
        <v>4.770666666666667</v>
      </c>
      <c r="AT24" s="1687">
        <f>AS24-AR24</f>
        <v>-4.47433333333333</v>
      </c>
      <c r="AU24" s="1708">
        <f>SUM(H24,K24,N24)</f>
        <v>3.081666666666666</v>
      </c>
      <c r="AV24" s="1708">
        <f>SUM(I24,L24,O24)</f>
        <v>0</v>
      </c>
      <c r="AW24" s="1708">
        <f>AV24-AU24</f>
        <v>-3.081666666666666</v>
      </c>
      <c r="AX24" s="1708">
        <f>SUM(Q24,T24,W24)</f>
        <v>2.568055555555555</v>
      </c>
      <c r="AY24" s="1708">
        <f>SUM(R24,U24,X24)</f>
        <v>0.9426666666666667</v>
      </c>
      <c r="AZ24" s="1708">
        <f>AY24-AX24</f>
        <v>-1.6253888888888883</v>
      </c>
      <c r="BA24" s="1708">
        <f>SUM(Z24,AC24,AF24)</f>
        <v>0.513611111111111</v>
      </c>
      <c r="BB24" s="1708">
        <f>SUM(AA24,AD24,AG24)</f>
        <v>0.9426666666666667</v>
      </c>
      <c r="BC24" s="1708">
        <f>BB24-BA24</f>
        <v>0.42905555555555563</v>
      </c>
      <c r="BD24" s="1708">
        <f>SUM(AI24,AL24,AO24)</f>
        <v>3.081666666666666</v>
      </c>
      <c r="BE24" s="1687">
        <v>0</v>
      </c>
      <c r="BF24" s="1701">
        <f>BE24-BD24</f>
        <v>-3.081666666666666</v>
      </c>
      <c r="BG24" s="1688">
        <f>AU24+AX24</f>
        <v>5.649722222222222</v>
      </c>
      <c r="BH24" s="1689">
        <f>BA24+BD24</f>
        <v>3.595277777777777</v>
      </c>
      <c r="BI24" s="1652"/>
      <c r="BJ24" s="527"/>
      <c r="BK24" s="527"/>
      <c r="BL24" s="527"/>
      <c r="BM24" s="527"/>
      <c r="BN24" s="527"/>
    </row>
    <row r="25" spans="1:66" ht="14.25">
      <c r="A25" s="2075"/>
      <c r="B25" s="784"/>
      <c r="C25" s="782" t="s">
        <v>715</v>
      </c>
      <c r="D25" s="785" t="s">
        <v>111</v>
      </c>
      <c r="E25" s="1670" t="s">
        <v>1240</v>
      </c>
      <c r="F25" s="1670" t="s">
        <v>1232</v>
      </c>
      <c r="G25" s="1729" t="s">
        <v>1241</v>
      </c>
      <c r="H25" s="1682"/>
      <c r="I25" s="1682"/>
      <c r="J25" s="1673">
        <f>I25-H25</f>
        <v>0</v>
      </c>
      <c r="K25" s="1682"/>
      <c r="L25" s="1682"/>
      <c r="M25" s="1673">
        <f>L25-K25</f>
        <v>0</v>
      </c>
      <c r="N25" s="1682"/>
      <c r="O25" s="1682"/>
      <c r="P25" s="1673">
        <f>O25-N25</f>
        <v>0</v>
      </c>
      <c r="Q25" s="1682"/>
      <c r="R25" s="1682"/>
      <c r="S25" s="1673">
        <f>R25-Q25</f>
        <v>0</v>
      </c>
      <c r="T25" s="1682"/>
      <c r="U25" s="1682"/>
      <c r="V25" s="1673">
        <f>U25-T25</f>
        <v>0</v>
      </c>
      <c r="W25" s="1682"/>
      <c r="X25" s="1682"/>
      <c r="Y25" s="1673">
        <f>X25-W25</f>
        <v>0</v>
      </c>
      <c r="Z25" s="1682"/>
      <c r="AA25" s="1682"/>
      <c r="AB25" s="1673">
        <f>AA25-Z25</f>
        <v>0</v>
      </c>
      <c r="AC25" s="1682"/>
      <c r="AD25" s="1682"/>
      <c r="AE25" s="1673">
        <f>AD25-AC25</f>
        <v>0</v>
      </c>
      <c r="AF25" s="1682"/>
      <c r="AG25" s="1682"/>
      <c r="AH25" s="1673">
        <f>AG25-AF25</f>
        <v>0</v>
      </c>
      <c r="AI25" s="1682"/>
      <c r="AJ25" s="1682"/>
      <c r="AK25" s="1673">
        <f>AJ25-AI25</f>
        <v>0</v>
      </c>
      <c r="AL25" s="1682"/>
      <c r="AM25" s="1682"/>
      <c r="AN25" s="1673">
        <f>AM25-AL25</f>
        <v>0</v>
      </c>
      <c r="AO25" s="1682"/>
      <c r="AP25" s="1682"/>
      <c r="AQ25" s="1673">
        <f>AP25-AO25</f>
        <v>0</v>
      </c>
      <c r="AR25" s="1674">
        <f>SUMIF($H$5:$AQ$5,$AR$5,H25:AQ25)</f>
        <v>0</v>
      </c>
      <c r="AS25" s="1675">
        <f>SUMIF($H$5:$AQ$5,$AS$5,H25:AQ25)</f>
        <v>0</v>
      </c>
      <c r="AT25" s="1700">
        <f>AS25-AR25</f>
        <v>0</v>
      </c>
      <c r="AU25" s="1687">
        <v>0</v>
      </c>
      <c r="AV25" s="1687">
        <v>0</v>
      </c>
      <c r="AW25" s="1687">
        <v>0</v>
      </c>
      <c r="AX25" s="1687">
        <v>0</v>
      </c>
      <c r="AY25" s="1687">
        <v>0</v>
      </c>
      <c r="AZ25" s="1687">
        <v>0</v>
      </c>
      <c r="BA25" s="1687">
        <v>0</v>
      </c>
      <c r="BB25" s="1687">
        <v>0</v>
      </c>
      <c r="BC25" s="1687">
        <v>0</v>
      </c>
      <c r="BD25" s="1687">
        <v>0</v>
      </c>
      <c r="BE25" s="1687">
        <v>0</v>
      </c>
      <c r="BF25" s="1701">
        <v>0</v>
      </c>
      <c r="BG25" s="1730">
        <v>0</v>
      </c>
      <c r="BH25" s="1731">
        <v>0</v>
      </c>
      <c r="BI25" s="1652"/>
      <c r="BJ25" s="527"/>
      <c r="BK25" s="527"/>
      <c r="BL25" s="527"/>
      <c r="BM25" s="527"/>
      <c r="BN25" s="527"/>
    </row>
    <row r="26" spans="1:66" ht="14.25">
      <c r="A26" s="1732" t="s">
        <v>656</v>
      </c>
      <c r="B26" s="1732" t="s">
        <v>656</v>
      </c>
      <c r="C26" s="1733" t="s">
        <v>656</v>
      </c>
      <c r="D26" s="1732" t="s">
        <v>656</v>
      </c>
      <c r="E26" s="1732" t="s">
        <v>656</v>
      </c>
      <c r="F26" s="1732" t="s">
        <v>656</v>
      </c>
      <c r="G26" s="1732" t="s">
        <v>656</v>
      </c>
      <c r="H26" s="1732" t="s">
        <v>656</v>
      </c>
      <c r="I26" s="1732" t="s">
        <v>656</v>
      </c>
      <c r="J26" s="1732" t="s">
        <v>656</v>
      </c>
      <c r="K26" s="1732" t="s">
        <v>656</v>
      </c>
      <c r="L26" s="1732" t="s">
        <v>656</v>
      </c>
      <c r="M26" s="1732" t="s">
        <v>656</v>
      </c>
      <c r="N26" s="1732" t="s">
        <v>656</v>
      </c>
      <c r="O26" s="1732" t="s">
        <v>656</v>
      </c>
      <c r="P26" s="1732" t="s">
        <v>656</v>
      </c>
      <c r="Q26" s="1732" t="s">
        <v>656</v>
      </c>
      <c r="R26" s="1732" t="s">
        <v>656</v>
      </c>
      <c r="S26" s="1732" t="s">
        <v>656</v>
      </c>
      <c r="T26" s="1732" t="s">
        <v>656</v>
      </c>
      <c r="U26" s="1732" t="s">
        <v>656</v>
      </c>
      <c r="V26" s="1732" t="s">
        <v>656</v>
      </c>
      <c r="W26" s="1732" t="s">
        <v>656</v>
      </c>
      <c r="X26" s="1732" t="s">
        <v>656</v>
      </c>
      <c r="Y26" s="1732" t="s">
        <v>656</v>
      </c>
      <c r="Z26" s="1732" t="s">
        <v>656</v>
      </c>
      <c r="AA26" s="1732" t="s">
        <v>656</v>
      </c>
      <c r="AB26" s="1732" t="s">
        <v>656</v>
      </c>
      <c r="AC26" s="1732" t="s">
        <v>656</v>
      </c>
      <c r="AD26" s="1732" t="s">
        <v>656</v>
      </c>
      <c r="AE26" s="1732" t="s">
        <v>656</v>
      </c>
      <c r="AF26" s="1732" t="s">
        <v>656</v>
      </c>
      <c r="AG26" s="1732" t="s">
        <v>656</v>
      </c>
      <c r="AH26" s="1732" t="s">
        <v>656</v>
      </c>
      <c r="AI26" s="1732" t="s">
        <v>656</v>
      </c>
      <c r="AJ26" s="1732" t="s">
        <v>656</v>
      </c>
      <c r="AK26" s="1732" t="s">
        <v>656</v>
      </c>
      <c r="AL26" s="1732" t="s">
        <v>656</v>
      </c>
      <c r="AM26" s="1732" t="s">
        <v>656</v>
      </c>
      <c r="AN26" s="1732" t="s">
        <v>656</v>
      </c>
      <c r="AO26" s="1732" t="s">
        <v>656</v>
      </c>
      <c r="AP26" s="1732" t="s">
        <v>656</v>
      </c>
      <c r="AQ26" s="1732" t="s">
        <v>656</v>
      </c>
      <c r="AR26" s="1732" t="s">
        <v>656</v>
      </c>
      <c r="AS26" s="1732" t="s">
        <v>656</v>
      </c>
      <c r="AT26" s="1732" t="s">
        <v>656</v>
      </c>
      <c r="AU26" s="1732" t="s">
        <v>656</v>
      </c>
      <c r="AV26" s="1732" t="s">
        <v>656</v>
      </c>
      <c r="AW26" s="1732" t="s">
        <v>656</v>
      </c>
      <c r="AX26" s="1732" t="s">
        <v>656</v>
      </c>
      <c r="AY26" s="1732" t="s">
        <v>656</v>
      </c>
      <c r="AZ26" s="1732" t="s">
        <v>656</v>
      </c>
      <c r="BA26" s="1732" t="s">
        <v>656</v>
      </c>
      <c r="BB26" s="1732" t="s">
        <v>656</v>
      </c>
      <c r="BC26" s="1732" t="s">
        <v>656</v>
      </c>
      <c r="BD26" s="1732" t="s">
        <v>656</v>
      </c>
      <c r="BE26" s="1732" t="s">
        <v>656</v>
      </c>
      <c r="BF26" s="1734" t="s">
        <v>656</v>
      </c>
      <c r="BG26" s="1735" t="s">
        <v>656</v>
      </c>
      <c r="BH26" s="1736" t="s">
        <v>656</v>
      </c>
      <c r="BI26" s="1652"/>
      <c r="BJ26" s="527"/>
      <c r="BK26" s="527"/>
      <c r="BL26" s="527"/>
      <c r="BM26" s="527"/>
      <c r="BN26" s="527"/>
    </row>
    <row r="27" spans="1:66" ht="14.25">
      <c r="A27" s="2073" t="s">
        <v>716</v>
      </c>
      <c r="B27" s="788" t="s">
        <v>110</v>
      </c>
      <c r="C27" s="782" t="s">
        <v>717</v>
      </c>
      <c r="D27" s="783" t="s">
        <v>111</v>
      </c>
      <c r="E27" s="1670" t="s">
        <v>637</v>
      </c>
      <c r="F27" s="1670" t="s">
        <v>112</v>
      </c>
      <c r="G27" s="1671" t="s">
        <v>113</v>
      </c>
      <c r="H27" s="1672">
        <f>SUM(H28:H29)</f>
        <v>231.7623492682389</v>
      </c>
      <c r="I27" s="1672">
        <f>SUM(I28:I29)</f>
        <v>0</v>
      </c>
      <c r="J27" s="1673">
        <f aca="true" t="shared" si="11" ref="J27:J32">H27-I27</f>
        <v>231.7623492682389</v>
      </c>
      <c r="K27" s="1672">
        <f>SUM(K28:K29)</f>
        <v>211.14066755758557</v>
      </c>
      <c r="L27" s="1672">
        <f>SUM(L28:L29)</f>
        <v>0</v>
      </c>
      <c r="M27" s="1673">
        <f>L27-K27</f>
        <v>-211.14066755758557</v>
      </c>
      <c r="N27" s="1672">
        <f>SUM(N28:N29)</f>
        <v>206.1912415508928</v>
      </c>
      <c r="O27" s="1672">
        <f>SUM(O28:O29)</f>
        <v>0</v>
      </c>
      <c r="P27" s="1673">
        <f>O27-N27</f>
        <v>-206.1912415508928</v>
      </c>
      <c r="Q27" s="1672">
        <f>SUM(Q28:Q29)</f>
        <v>166.9105240297913</v>
      </c>
      <c r="R27" s="1672">
        <f>SUM(R28:R29)</f>
        <v>0</v>
      </c>
      <c r="S27" s="1673">
        <f>R27-Q27</f>
        <v>-166.9105240297913</v>
      </c>
      <c r="T27" s="1672">
        <f>SUM(T28:T29)</f>
        <v>133.6267183159453</v>
      </c>
      <c r="U27" s="1672">
        <f>SUM(U28:U29)</f>
        <v>0</v>
      </c>
      <c r="V27" s="1673">
        <f>U27-T27</f>
        <v>-133.6267183159453</v>
      </c>
      <c r="W27" s="1672">
        <f>SUM(W28:W29)</f>
        <v>46.67205310108061</v>
      </c>
      <c r="X27" s="1672">
        <f>SUM(X28:X29)</f>
        <v>0</v>
      </c>
      <c r="Y27" s="1673">
        <f>X27-W27</f>
        <v>-46.67205310108061</v>
      </c>
      <c r="Z27" s="1672">
        <f>SUM(Z28:Z29)</f>
        <v>0</v>
      </c>
      <c r="AA27" s="1672">
        <f>SUM(AA28:AA29)</f>
        <v>0</v>
      </c>
      <c r="AB27" s="1673">
        <f>AA27-Z27</f>
        <v>0</v>
      </c>
      <c r="AC27" s="1672">
        <f>SUM(AC28:AC29)</f>
        <v>0</v>
      </c>
      <c r="AD27" s="1672">
        <f>SUM(AD28:AD29)</f>
        <v>0</v>
      </c>
      <c r="AE27" s="1673">
        <f>AD27-AC27</f>
        <v>0</v>
      </c>
      <c r="AF27" s="1672">
        <f>SUM(AF28:AF29)</f>
        <v>44.99963415835629</v>
      </c>
      <c r="AG27" s="1672">
        <f>SUM(AG28:AG29)</f>
        <v>0</v>
      </c>
      <c r="AH27" s="1673">
        <f>AG27-AF27</f>
        <v>-44.99963415835629</v>
      </c>
      <c r="AI27" s="1672">
        <f>SUM(AI28:AI29)</f>
        <v>128.78960235793278</v>
      </c>
      <c r="AJ27" s="1672">
        <f>SUM(AJ28:AJ29)</f>
        <v>0</v>
      </c>
      <c r="AK27" s="1673">
        <f>AJ27-AI27</f>
        <v>-128.78960235793278</v>
      </c>
      <c r="AL27" s="1672">
        <f>SUM(AL28:AL29)</f>
        <v>170.25424993455997</v>
      </c>
      <c r="AM27" s="1672">
        <f>SUM(AM28:AM29)</f>
        <v>0</v>
      </c>
      <c r="AN27" s="1673">
        <f>AM27-AL27</f>
        <v>-170.25424993455997</v>
      </c>
      <c r="AO27" s="1672">
        <f>SUM(AO28:AO29)</f>
        <v>207.57343353613638</v>
      </c>
      <c r="AP27" s="1672">
        <f>SUM(AP28:AP29)</f>
        <v>0</v>
      </c>
      <c r="AQ27" s="1737">
        <f>AP27-AO27</f>
        <v>-207.57343353613638</v>
      </c>
      <c r="AR27" s="1738">
        <f>SUMIF($H$5:$AQ$5,$AR$5,H27:AQ27)</f>
        <v>1547.92047381052</v>
      </c>
      <c r="AS27" s="1739">
        <f>SUMIF($H$5:$AQ$5,$AS$5,H27:AQ27)</f>
        <v>0</v>
      </c>
      <c r="AT27" s="1675">
        <f aca="true" t="shared" si="12" ref="AT27:AT32">AR27-AS27</f>
        <v>1547.92047381052</v>
      </c>
      <c r="AU27" s="1687">
        <f>H27+K27+N27</f>
        <v>649.0942583767173</v>
      </c>
      <c r="AV27" s="1687">
        <v>0</v>
      </c>
      <c r="AW27" s="1676">
        <f aca="true" t="shared" si="13" ref="AW27:AW32">AU27-AV27</f>
        <v>649.0942583767173</v>
      </c>
      <c r="AX27" s="1687">
        <f>Q27+T27+W27</f>
        <v>347.20929544681724</v>
      </c>
      <c r="AY27" s="1687">
        <v>0</v>
      </c>
      <c r="AZ27" s="1676">
        <f aca="true" t="shared" si="14" ref="AZ27:AZ32">AX27-AY27</f>
        <v>347.20929544681724</v>
      </c>
      <c r="BA27" s="1687">
        <f>Z27+AC27+AF27</f>
        <v>44.99963415835629</v>
      </c>
      <c r="BB27" s="1687">
        <v>0</v>
      </c>
      <c r="BC27" s="1676">
        <f aca="true" t="shared" si="15" ref="BC27:BC32">BA27-BB27</f>
        <v>44.99963415835629</v>
      </c>
      <c r="BD27" s="1687">
        <f>AI27+AL27+AO27</f>
        <v>506.61728582862906</v>
      </c>
      <c r="BE27" s="1687">
        <v>0</v>
      </c>
      <c r="BF27" s="1677">
        <f aca="true" t="shared" si="16" ref="BF27:BF32">BD27-BE27</f>
        <v>506.61728582862906</v>
      </c>
      <c r="BG27" s="1688">
        <f>AU27+AX27</f>
        <v>996.3035538235346</v>
      </c>
      <c r="BH27" s="1689">
        <f>BA27+BD27</f>
        <v>551.6169199869853</v>
      </c>
      <c r="BI27" s="1652"/>
      <c r="BJ27" s="527"/>
      <c r="BK27" s="527"/>
      <c r="BL27" s="527"/>
      <c r="BM27" s="527"/>
      <c r="BN27" s="527"/>
    </row>
    <row r="28" spans="1:66" ht="14.25">
      <c r="A28" s="2074"/>
      <c r="B28" s="789" t="s">
        <v>114</v>
      </c>
      <c r="C28" s="782" t="s">
        <v>717</v>
      </c>
      <c r="D28" s="785" t="s">
        <v>111</v>
      </c>
      <c r="E28" s="1670" t="s">
        <v>639</v>
      </c>
      <c r="F28" s="1670" t="s">
        <v>112</v>
      </c>
      <c r="G28" s="1671" t="s">
        <v>816</v>
      </c>
      <c r="H28" s="1680">
        <f>H29*0.01/0.99</f>
        <v>2.317623492682389</v>
      </c>
      <c r="I28" s="1680">
        <f>I29*0.01/0.99</f>
        <v>0</v>
      </c>
      <c r="J28" s="1673">
        <f t="shared" si="11"/>
        <v>2.317623492682389</v>
      </c>
      <c r="K28" s="1680">
        <f>K29*0.01/0.99</f>
        <v>2.111406675575856</v>
      </c>
      <c r="L28" s="1680">
        <f>L29*0.01/0.99</f>
        <v>0</v>
      </c>
      <c r="M28" s="1673">
        <f>L28-K28</f>
        <v>-2.111406675575856</v>
      </c>
      <c r="N28" s="1680">
        <f>N29*0.01/0.99</f>
        <v>2.061912415508928</v>
      </c>
      <c r="O28" s="1680">
        <f>O29*0.01/0.99</f>
        <v>0</v>
      </c>
      <c r="P28" s="1673">
        <f>O28-N28</f>
        <v>-2.061912415508928</v>
      </c>
      <c r="Q28" s="1680">
        <f>Q29*0.01/0.99</f>
        <v>1.669105240297913</v>
      </c>
      <c r="R28" s="1680">
        <f>R29*0.01/0.99</f>
        <v>0</v>
      </c>
      <c r="S28" s="1673">
        <f>R28-Q28</f>
        <v>-1.669105240297913</v>
      </c>
      <c r="T28" s="1680">
        <f>T29*0.01/0.99</f>
        <v>1.336267183159453</v>
      </c>
      <c r="U28" s="1680">
        <f>U29*0.01/0.99</f>
        <v>0</v>
      </c>
      <c r="V28" s="1673">
        <f>U28-T28</f>
        <v>-1.336267183159453</v>
      </c>
      <c r="W28" s="1680">
        <f>W29*0.01/0.99</f>
        <v>0.4667205310108061</v>
      </c>
      <c r="X28" s="1680">
        <f>X29*0.01/0.99</f>
        <v>0</v>
      </c>
      <c r="Y28" s="1673">
        <f>X28-W28</f>
        <v>-0.4667205310108061</v>
      </c>
      <c r="Z28" s="1680">
        <f>Z29*0.01/0.99</f>
        <v>0</v>
      </c>
      <c r="AA28" s="1680">
        <f>AA29*0.01/0.99</f>
        <v>0</v>
      </c>
      <c r="AB28" s="1673">
        <f>AA28-Z28</f>
        <v>0</v>
      </c>
      <c r="AC28" s="1680">
        <f>AC29*0.01/0.99</f>
        <v>0</v>
      </c>
      <c r="AD28" s="1680">
        <f>AD29*0.01/0.99</f>
        <v>0</v>
      </c>
      <c r="AE28" s="1673">
        <f>AD28-AC28</f>
        <v>0</v>
      </c>
      <c r="AF28" s="1680">
        <f>AF29*0.01/0.99</f>
        <v>0.4499963415835629</v>
      </c>
      <c r="AG28" s="1680">
        <f>AG29*0.01/0.99</f>
        <v>0</v>
      </c>
      <c r="AH28" s="1673">
        <f>AG28-AF28</f>
        <v>-0.4499963415835629</v>
      </c>
      <c r="AI28" s="1680">
        <f>AI29*0.01/0.99</f>
        <v>1.287896023579328</v>
      </c>
      <c r="AJ28" s="1680">
        <f>AJ29*0.01/0.99</f>
        <v>0</v>
      </c>
      <c r="AK28" s="1673">
        <f>AJ28-AI28</f>
        <v>-1.287896023579328</v>
      </c>
      <c r="AL28" s="1680">
        <f>AL29*0.01/0.99</f>
        <v>1.7025424993455995</v>
      </c>
      <c r="AM28" s="1680">
        <f>AM29*0.01/0.99</f>
        <v>0</v>
      </c>
      <c r="AN28" s="1673">
        <f>AM28-AL28</f>
        <v>-1.7025424993455995</v>
      </c>
      <c r="AO28" s="1680">
        <f>AO29*0.01/0.99</f>
        <v>2.0757343353613638</v>
      </c>
      <c r="AP28" s="1680">
        <f>AP29*0.01/0.99</f>
        <v>0</v>
      </c>
      <c r="AQ28" s="1737">
        <f>AP28-AO28</f>
        <v>-2.0757343353613638</v>
      </c>
      <c r="AR28" s="1674">
        <f>SUMIF($H$5:$AQ$5,$AR$5,H28:AQ28)</f>
        <v>15.4792047381052</v>
      </c>
      <c r="AS28" s="1739">
        <f>SUMIF($H$5:$AQ$5,$AS$5,H28:AQ28)</f>
        <v>0</v>
      </c>
      <c r="AT28" s="1675">
        <f t="shared" si="12"/>
        <v>15.4792047381052</v>
      </c>
      <c r="AU28" s="1687">
        <f>H28+K28+N28</f>
        <v>6.490942583767173</v>
      </c>
      <c r="AV28" s="1687">
        <v>0</v>
      </c>
      <c r="AW28" s="1676">
        <f t="shared" si="13"/>
        <v>6.490942583767173</v>
      </c>
      <c r="AX28" s="1687">
        <f>Q28+T28+W28</f>
        <v>3.472092954468172</v>
      </c>
      <c r="AY28" s="1687">
        <v>0</v>
      </c>
      <c r="AZ28" s="1676">
        <f t="shared" si="14"/>
        <v>3.472092954468172</v>
      </c>
      <c r="BA28" s="1687">
        <f>Z28+AC28+AF28</f>
        <v>0.4499963415835629</v>
      </c>
      <c r="BB28" s="1687">
        <v>0</v>
      </c>
      <c r="BC28" s="1676">
        <f t="shared" si="15"/>
        <v>0.4499963415835629</v>
      </c>
      <c r="BD28" s="1687">
        <f>AI28+AL28+AO28</f>
        <v>5.066172858286292</v>
      </c>
      <c r="BE28" s="1687">
        <v>0</v>
      </c>
      <c r="BF28" s="1677">
        <f t="shared" si="16"/>
        <v>5.066172858286292</v>
      </c>
      <c r="BG28" s="1688">
        <f>AU28+AX28</f>
        <v>9.963035538235346</v>
      </c>
      <c r="BH28" s="1689">
        <f>BA28+BD28</f>
        <v>5.5161691998698545</v>
      </c>
      <c r="BI28" s="1652"/>
      <c r="BJ28" s="527"/>
      <c r="BK28" s="527"/>
      <c r="BL28" s="527"/>
      <c r="BM28" s="527"/>
      <c r="BN28" s="527"/>
    </row>
    <row r="29" spans="1:66" ht="14.25">
      <c r="A29" s="2074"/>
      <c r="B29" s="789"/>
      <c r="C29" s="782" t="s">
        <v>717</v>
      </c>
      <c r="D29" s="785" t="s">
        <v>111</v>
      </c>
      <c r="E29" s="1670" t="s">
        <v>640</v>
      </c>
      <c r="F29" s="1670" t="s">
        <v>112</v>
      </c>
      <c r="G29" s="1671" t="s">
        <v>817</v>
      </c>
      <c r="H29" s="1685">
        <f>SUM(H30,H32)</f>
        <v>229.4447257755565</v>
      </c>
      <c r="I29" s="1686">
        <f>SUM(I30,I32)</f>
        <v>0</v>
      </c>
      <c r="J29" s="1673">
        <f t="shared" si="11"/>
        <v>229.4447257755565</v>
      </c>
      <c r="K29" s="1685">
        <f>SUM(K30,K32)</f>
        <v>209.0292608820097</v>
      </c>
      <c r="L29" s="1686">
        <f>SUM(L30,L32)</f>
        <v>0</v>
      </c>
      <c r="M29" s="1673">
        <f>L29-K29</f>
        <v>-209.0292608820097</v>
      </c>
      <c r="N29" s="1685">
        <f>SUM(N30,N32)</f>
        <v>204.12932913538387</v>
      </c>
      <c r="O29" s="1686">
        <f>SUM(O30,O32)</f>
        <v>0</v>
      </c>
      <c r="P29" s="1673">
        <f>O29-N29</f>
        <v>-204.12932913538387</v>
      </c>
      <c r="Q29" s="1685">
        <f>SUM(Q30,Q32)</f>
        <v>165.2414187894934</v>
      </c>
      <c r="R29" s="1686">
        <f>SUM(R30,R32)</f>
        <v>0</v>
      </c>
      <c r="S29" s="1673">
        <f>R29-Q29</f>
        <v>-165.2414187894934</v>
      </c>
      <c r="T29" s="1685">
        <f>SUM(T30,T32)</f>
        <v>132.29045113278585</v>
      </c>
      <c r="U29" s="1686">
        <f>SUM(U30,U32)</f>
        <v>0</v>
      </c>
      <c r="V29" s="1673">
        <f>U29-T29</f>
        <v>-132.29045113278585</v>
      </c>
      <c r="W29" s="1685">
        <f>SUM(W30,W32)</f>
        <v>46.2053325700698</v>
      </c>
      <c r="X29" s="1686">
        <f>SUM(X30,X32)</f>
        <v>0</v>
      </c>
      <c r="Y29" s="1673">
        <f>X29-W29</f>
        <v>-46.2053325700698</v>
      </c>
      <c r="Z29" s="1685">
        <f>SUM(Z30,Z32)</f>
        <v>0</v>
      </c>
      <c r="AA29" s="1686">
        <f>SUM(AA30,AA32)</f>
        <v>0</v>
      </c>
      <c r="AB29" s="1673">
        <f>AA29-Z29</f>
        <v>0</v>
      </c>
      <c r="AC29" s="1685">
        <f>SUM(AC30,AC32)</f>
        <v>0</v>
      </c>
      <c r="AD29" s="1686">
        <f>SUM(AD30,AD32)</f>
        <v>0</v>
      </c>
      <c r="AE29" s="1673">
        <f>AD29-AC29</f>
        <v>0</v>
      </c>
      <c r="AF29" s="1685">
        <f>SUM(AF30,AF32)</f>
        <v>44.54963781677272</v>
      </c>
      <c r="AG29" s="1686">
        <f>SUM(AG30,AG32)</f>
        <v>0</v>
      </c>
      <c r="AH29" s="1673">
        <f>AG29-AF29</f>
        <v>-44.54963781677272</v>
      </c>
      <c r="AI29" s="1685">
        <f>SUM(AI30,AI32)</f>
        <v>127.50170633435346</v>
      </c>
      <c r="AJ29" s="1686">
        <f>SUM(AJ30,AJ32)</f>
        <v>0</v>
      </c>
      <c r="AK29" s="1673">
        <f>AJ29-AI29</f>
        <v>-127.50170633435346</v>
      </c>
      <c r="AL29" s="1685">
        <f>SUM(AL30,AL32)</f>
        <v>168.55170743521435</v>
      </c>
      <c r="AM29" s="1686">
        <f>SUM(AM30,AM32)</f>
        <v>0</v>
      </c>
      <c r="AN29" s="1673">
        <f>AM29-AL29</f>
        <v>-168.55170743521435</v>
      </c>
      <c r="AO29" s="1685">
        <f>SUM(AO30,AO32)</f>
        <v>205.497699200775</v>
      </c>
      <c r="AP29" s="1686">
        <f>SUM(AP30,AP32)</f>
        <v>0</v>
      </c>
      <c r="AQ29" s="1737">
        <f>AP29-AO29</f>
        <v>-205.497699200775</v>
      </c>
      <c r="AR29" s="1674">
        <f>SUMIF($H$5:$AQ$5,$AR$5,H29:AQ29)</f>
        <v>1532.4412690724148</v>
      </c>
      <c r="AS29" s="1739">
        <f>SUMIF($H$5:$AQ$5,$AS$5,H29:AQ29)</f>
        <v>0</v>
      </c>
      <c r="AT29" s="1675">
        <f t="shared" si="12"/>
        <v>1532.4412690724148</v>
      </c>
      <c r="AU29" s="1687">
        <f>H29+K29+N29</f>
        <v>642.6033157929501</v>
      </c>
      <c r="AV29" s="1687">
        <v>0</v>
      </c>
      <c r="AW29" s="1676">
        <f t="shared" si="13"/>
        <v>642.6033157929501</v>
      </c>
      <c r="AX29" s="1687">
        <f>Q29+T29+W29</f>
        <v>343.73720249234907</v>
      </c>
      <c r="AY29" s="1687">
        <v>0</v>
      </c>
      <c r="AZ29" s="1676">
        <f t="shared" si="14"/>
        <v>343.73720249234907</v>
      </c>
      <c r="BA29" s="1687">
        <f>Z29+AC29+AF29</f>
        <v>44.54963781677272</v>
      </c>
      <c r="BB29" s="1687">
        <v>0</v>
      </c>
      <c r="BC29" s="1676">
        <f t="shared" si="15"/>
        <v>44.54963781677272</v>
      </c>
      <c r="BD29" s="1687">
        <f>AI29+AL29+AO29</f>
        <v>501.5511129703428</v>
      </c>
      <c r="BE29" s="1687">
        <v>0</v>
      </c>
      <c r="BF29" s="1677">
        <f t="shared" si="16"/>
        <v>501.5511129703428</v>
      </c>
      <c r="BG29" s="1688">
        <f>AU29+AX29</f>
        <v>986.3405182852991</v>
      </c>
      <c r="BH29" s="1689">
        <f>BA29+BD29</f>
        <v>546.1007507871155</v>
      </c>
      <c r="BI29" s="1652"/>
      <c r="BJ29" s="527"/>
      <c r="BK29" s="527"/>
      <c r="BL29" s="527"/>
      <c r="BM29" s="527"/>
      <c r="BN29" s="527"/>
    </row>
    <row r="30" spans="1:66" ht="14.25">
      <c r="A30" s="2074"/>
      <c r="B30" s="789"/>
      <c r="C30" s="782" t="s">
        <v>717</v>
      </c>
      <c r="D30" s="785" t="s">
        <v>111</v>
      </c>
      <c r="E30" s="1670" t="s">
        <v>641</v>
      </c>
      <c r="F30" s="1670" t="s">
        <v>112</v>
      </c>
      <c r="G30" s="1690" t="s">
        <v>1223</v>
      </c>
      <c r="H30" s="1680">
        <f>H32*0.09162/(1-0.09162)</f>
        <v>21.021725775556483</v>
      </c>
      <c r="I30" s="1680">
        <f aca="true" t="shared" si="17" ref="I30:AO30">I32*0.09162/(1-0.09162)</f>
        <v>0</v>
      </c>
      <c r="J30" s="1673">
        <f t="shared" si="11"/>
        <v>21.021725775556483</v>
      </c>
      <c r="K30" s="1680">
        <f t="shared" si="17"/>
        <v>19.15126088200973</v>
      </c>
      <c r="L30" s="1680">
        <f t="shared" si="17"/>
        <v>0</v>
      </c>
      <c r="M30" s="1680">
        <f t="shared" si="17"/>
        <v>-19.15126088200973</v>
      </c>
      <c r="N30" s="1680">
        <f t="shared" si="17"/>
        <v>18.70232913538387</v>
      </c>
      <c r="O30" s="1680">
        <f t="shared" si="17"/>
        <v>0</v>
      </c>
      <c r="P30" s="1680">
        <f t="shared" si="17"/>
        <v>-18.70232913538387</v>
      </c>
      <c r="Q30" s="1680">
        <f t="shared" si="17"/>
        <v>15.139418789493384</v>
      </c>
      <c r="R30" s="1680">
        <f t="shared" si="17"/>
        <v>0</v>
      </c>
      <c r="S30" s="1680">
        <f t="shared" si="17"/>
        <v>-15.139418789493384</v>
      </c>
      <c r="T30" s="1680">
        <f t="shared" si="17"/>
        <v>12.120451132785838</v>
      </c>
      <c r="U30" s="1680">
        <f t="shared" si="17"/>
        <v>0</v>
      </c>
      <c r="V30" s="1680">
        <f t="shared" si="17"/>
        <v>-12.120451132785838</v>
      </c>
      <c r="W30" s="1680">
        <f t="shared" si="17"/>
        <v>4.233332570069795</v>
      </c>
      <c r="X30" s="1680">
        <f t="shared" si="17"/>
        <v>0</v>
      </c>
      <c r="Y30" s="1680">
        <f t="shared" si="17"/>
        <v>-4.233332570069795</v>
      </c>
      <c r="Z30" s="1680">
        <f t="shared" si="17"/>
        <v>0</v>
      </c>
      <c r="AA30" s="1680">
        <f t="shared" si="17"/>
        <v>0</v>
      </c>
      <c r="AB30" s="1680">
        <f t="shared" si="17"/>
        <v>0</v>
      </c>
      <c r="AC30" s="1680">
        <f t="shared" si="17"/>
        <v>0</v>
      </c>
      <c r="AD30" s="1680">
        <f t="shared" si="17"/>
        <v>0</v>
      </c>
      <c r="AE30" s="1680">
        <f t="shared" si="17"/>
        <v>0</v>
      </c>
      <c r="AF30" s="1680">
        <f t="shared" si="17"/>
        <v>4.081637816772717</v>
      </c>
      <c r="AG30" s="1680">
        <f t="shared" si="17"/>
        <v>0</v>
      </c>
      <c r="AH30" s="1680">
        <f t="shared" si="17"/>
        <v>-4.081637816772717</v>
      </c>
      <c r="AI30" s="1680">
        <f t="shared" si="17"/>
        <v>11.681706334353464</v>
      </c>
      <c r="AJ30" s="1680">
        <f t="shared" si="17"/>
        <v>0</v>
      </c>
      <c r="AK30" s="1680">
        <f t="shared" si="17"/>
        <v>-11.681706334353464</v>
      </c>
      <c r="AL30" s="1680">
        <f t="shared" si="17"/>
        <v>15.442707435214338</v>
      </c>
      <c r="AM30" s="1680">
        <f t="shared" si="17"/>
        <v>0</v>
      </c>
      <c r="AN30" s="1680">
        <f t="shared" si="17"/>
        <v>-15.442707435214338</v>
      </c>
      <c r="AO30" s="1680">
        <f t="shared" si="17"/>
        <v>18.827699200775005</v>
      </c>
      <c r="AP30" s="1680">
        <f>AP32*0.018/(1-0.018)</f>
        <v>0</v>
      </c>
      <c r="AQ30" s="1737">
        <f>AP30-AO30</f>
        <v>-18.827699200775005</v>
      </c>
      <c r="AR30" s="1674">
        <f>SUMIF($H$5:$AQ$5,$AR$5,H30:AQ30)</f>
        <v>140.40226907241464</v>
      </c>
      <c r="AS30" s="1739">
        <f>SUMIF($H$5:$AQ$5,$AS$5,H30:AQ30)</f>
        <v>0</v>
      </c>
      <c r="AT30" s="1675">
        <f t="shared" si="12"/>
        <v>140.40226907241464</v>
      </c>
      <c r="AU30" s="1687">
        <f>H30+K30+N30</f>
        <v>58.87531579295008</v>
      </c>
      <c r="AV30" s="1687">
        <v>0</v>
      </c>
      <c r="AW30" s="1676">
        <f t="shared" si="13"/>
        <v>58.87531579295008</v>
      </c>
      <c r="AX30" s="1687">
        <f>Q30+T30+W30</f>
        <v>31.493202492349017</v>
      </c>
      <c r="AY30" s="1687">
        <v>0</v>
      </c>
      <c r="AZ30" s="1676">
        <f t="shared" si="14"/>
        <v>31.493202492349017</v>
      </c>
      <c r="BA30" s="1687">
        <f>Z30+AC30+AF30</f>
        <v>4.081637816772717</v>
      </c>
      <c r="BB30" s="1687">
        <v>0</v>
      </c>
      <c r="BC30" s="1676">
        <f t="shared" si="15"/>
        <v>4.081637816772717</v>
      </c>
      <c r="BD30" s="1687">
        <f>AI30+AL30+AO30</f>
        <v>45.95211297034281</v>
      </c>
      <c r="BE30" s="1687">
        <v>0</v>
      </c>
      <c r="BF30" s="1677">
        <f t="shared" si="16"/>
        <v>45.95211297034281</v>
      </c>
      <c r="BG30" s="1688">
        <f>AU30+AX30</f>
        <v>90.3685182852991</v>
      </c>
      <c r="BH30" s="1689">
        <f>BA30+BD30</f>
        <v>50.03375078711553</v>
      </c>
      <c r="BI30" s="1652"/>
      <c r="BJ30" s="527"/>
      <c r="BK30" s="527"/>
      <c r="BL30" s="527"/>
      <c r="BM30" s="527"/>
      <c r="BN30" s="527"/>
    </row>
    <row r="31" spans="1:66" ht="14.25">
      <c r="A31" s="2074"/>
      <c r="B31" s="789"/>
      <c r="C31" s="782" t="s">
        <v>717</v>
      </c>
      <c r="D31" s="785" t="s">
        <v>111</v>
      </c>
      <c r="E31" s="1670" t="s">
        <v>642</v>
      </c>
      <c r="F31" s="1670" t="s">
        <v>112</v>
      </c>
      <c r="G31" s="1671" t="s">
        <v>1224</v>
      </c>
      <c r="H31" s="1691">
        <f>IF(H29&gt;0,ROUND(H30/H29,3),0%)</f>
        <v>0.092</v>
      </c>
      <c r="I31" s="1691">
        <f aca="true" t="shared" si="18" ref="I31:BH31">IF(I29&gt;0,ROUND(I30/I29,3),0%)</f>
        <v>0</v>
      </c>
      <c r="J31" s="1673">
        <f t="shared" si="11"/>
        <v>0.092</v>
      </c>
      <c r="K31" s="1691">
        <f t="shared" si="18"/>
        <v>0.092</v>
      </c>
      <c r="L31" s="1691">
        <f t="shared" si="18"/>
        <v>0</v>
      </c>
      <c r="M31" s="1691">
        <f t="shared" si="18"/>
        <v>0</v>
      </c>
      <c r="N31" s="1691">
        <f t="shared" si="18"/>
        <v>0.092</v>
      </c>
      <c r="O31" s="1691">
        <f t="shared" si="18"/>
        <v>0</v>
      </c>
      <c r="P31" s="1691">
        <f t="shared" si="18"/>
        <v>0</v>
      </c>
      <c r="Q31" s="1691">
        <f t="shared" si="18"/>
        <v>0.092</v>
      </c>
      <c r="R31" s="1691">
        <f t="shared" si="18"/>
        <v>0</v>
      </c>
      <c r="S31" s="1691">
        <f t="shared" si="18"/>
        <v>0</v>
      </c>
      <c r="T31" s="1691">
        <f t="shared" si="18"/>
        <v>0.092</v>
      </c>
      <c r="U31" s="1691">
        <f t="shared" si="18"/>
        <v>0</v>
      </c>
      <c r="V31" s="1691">
        <f t="shared" si="18"/>
        <v>0</v>
      </c>
      <c r="W31" s="1691">
        <f t="shared" si="18"/>
        <v>0.092</v>
      </c>
      <c r="X31" s="1691">
        <f t="shared" si="18"/>
        <v>0</v>
      </c>
      <c r="Y31" s="1691">
        <f t="shared" si="18"/>
        <v>0</v>
      </c>
      <c r="Z31" s="1691">
        <f t="shared" si="18"/>
        <v>0</v>
      </c>
      <c r="AA31" s="1691">
        <f t="shared" si="18"/>
        <v>0</v>
      </c>
      <c r="AB31" s="1691">
        <f t="shared" si="18"/>
        <v>0</v>
      </c>
      <c r="AC31" s="1691">
        <f t="shared" si="18"/>
        <v>0</v>
      </c>
      <c r="AD31" s="1691">
        <f t="shared" si="18"/>
        <v>0</v>
      </c>
      <c r="AE31" s="1691">
        <f t="shared" si="18"/>
        <v>0</v>
      </c>
      <c r="AF31" s="1691">
        <f t="shared" si="18"/>
        <v>0.092</v>
      </c>
      <c r="AG31" s="1691">
        <f t="shared" si="18"/>
        <v>0</v>
      </c>
      <c r="AH31" s="1691">
        <f t="shared" si="18"/>
        <v>0</v>
      </c>
      <c r="AI31" s="1691">
        <f t="shared" si="18"/>
        <v>0.092</v>
      </c>
      <c r="AJ31" s="1691">
        <f t="shared" si="18"/>
        <v>0</v>
      </c>
      <c r="AK31" s="1691">
        <f t="shared" si="18"/>
        <v>0</v>
      </c>
      <c r="AL31" s="1691">
        <f t="shared" si="18"/>
        <v>0.092</v>
      </c>
      <c r="AM31" s="1691">
        <f t="shared" si="18"/>
        <v>0</v>
      </c>
      <c r="AN31" s="1691">
        <f t="shared" si="18"/>
        <v>0</v>
      </c>
      <c r="AO31" s="1691">
        <f t="shared" si="18"/>
        <v>0.092</v>
      </c>
      <c r="AP31" s="1691">
        <f t="shared" si="18"/>
        <v>0</v>
      </c>
      <c r="AQ31" s="1691">
        <f t="shared" si="18"/>
        <v>0</v>
      </c>
      <c r="AR31" s="1694">
        <f t="shared" si="18"/>
        <v>0.092</v>
      </c>
      <c r="AS31" s="1691">
        <f t="shared" si="18"/>
        <v>0</v>
      </c>
      <c r="AT31" s="1675">
        <f t="shared" si="12"/>
        <v>0.092</v>
      </c>
      <c r="AU31" s="1691">
        <f t="shared" si="18"/>
        <v>0.092</v>
      </c>
      <c r="AV31" s="1691">
        <f t="shared" si="18"/>
        <v>0</v>
      </c>
      <c r="AW31" s="1676">
        <f t="shared" si="13"/>
        <v>0.092</v>
      </c>
      <c r="AX31" s="1691">
        <f t="shared" si="18"/>
        <v>0.092</v>
      </c>
      <c r="AY31" s="1691">
        <f t="shared" si="18"/>
        <v>0</v>
      </c>
      <c r="AZ31" s="1676">
        <f t="shared" si="14"/>
        <v>0.092</v>
      </c>
      <c r="BA31" s="1691">
        <f t="shared" si="18"/>
        <v>0.092</v>
      </c>
      <c r="BB31" s="1691">
        <f t="shared" si="18"/>
        <v>0</v>
      </c>
      <c r="BC31" s="1676">
        <f t="shared" si="15"/>
        <v>0.092</v>
      </c>
      <c r="BD31" s="1691">
        <f t="shared" si="18"/>
        <v>0.092</v>
      </c>
      <c r="BE31" s="1691">
        <f t="shared" si="18"/>
        <v>0</v>
      </c>
      <c r="BF31" s="1677">
        <f t="shared" si="16"/>
        <v>0.092</v>
      </c>
      <c r="BG31" s="1740">
        <f t="shared" si="18"/>
        <v>0.092</v>
      </c>
      <c r="BH31" s="1741">
        <f t="shared" si="18"/>
        <v>0.092</v>
      </c>
      <c r="BI31" s="1652"/>
      <c r="BJ31" s="527"/>
      <c r="BK31" s="527"/>
      <c r="BL31" s="527"/>
      <c r="BM31" s="527"/>
      <c r="BN31" s="527"/>
    </row>
    <row r="32" spans="1:66" ht="14.25">
      <c r="A32" s="2074"/>
      <c r="B32" s="789"/>
      <c r="C32" s="782" t="s">
        <v>717</v>
      </c>
      <c r="D32" s="785" t="s">
        <v>111</v>
      </c>
      <c r="E32" s="1670" t="s">
        <v>643</v>
      </c>
      <c r="F32" s="1670" t="s">
        <v>112</v>
      </c>
      <c r="G32" s="1671" t="s">
        <v>1225</v>
      </c>
      <c r="H32" s="1686">
        <f>SUM(H34:H35)</f>
        <v>208.423</v>
      </c>
      <c r="I32" s="1686">
        <f>SUM(I34:I35)</f>
        <v>0</v>
      </c>
      <c r="J32" s="1673">
        <f t="shared" si="11"/>
        <v>208.423</v>
      </c>
      <c r="K32" s="1686">
        <f>SUM(K34:K35)</f>
        <v>189.878</v>
      </c>
      <c r="L32" s="1686">
        <f>SUM(L34:L35)</f>
        <v>0</v>
      </c>
      <c r="M32" s="1673">
        <f>L32-K32</f>
        <v>-189.878</v>
      </c>
      <c r="N32" s="1686">
        <f>SUM(N34:N35)</f>
        <v>185.427</v>
      </c>
      <c r="O32" s="1686">
        <f>SUM(O34:O35)</f>
        <v>0</v>
      </c>
      <c r="P32" s="1673">
        <f>O32-N32</f>
        <v>-185.427</v>
      </c>
      <c r="Q32" s="1686">
        <f>SUM(Q34:Q35)</f>
        <v>150.102</v>
      </c>
      <c r="R32" s="1686">
        <f>SUM(R34:R35)</f>
        <v>0</v>
      </c>
      <c r="S32" s="1673">
        <f>R32-Q32</f>
        <v>-150.102</v>
      </c>
      <c r="T32" s="1686">
        <f>SUM(T34:T35)</f>
        <v>120.17</v>
      </c>
      <c r="U32" s="1686">
        <f>SUM(U34:U35)</f>
        <v>0</v>
      </c>
      <c r="V32" s="1673">
        <f>U32-T32</f>
        <v>-120.17</v>
      </c>
      <c r="W32" s="1686">
        <f>SUM(W34:W35)</f>
        <v>41.972</v>
      </c>
      <c r="X32" s="1686">
        <f>SUM(X34:X35)</f>
        <v>0</v>
      </c>
      <c r="Y32" s="1673">
        <f>X32-W32</f>
        <v>-41.972</v>
      </c>
      <c r="Z32" s="1686">
        <f>SUM(Z34:Z35)</f>
        <v>0</v>
      </c>
      <c r="AA32" s="1686">
        <f>SUM(AA34:AA35)</f>
        <v>0</v>
      </c>
      <c r="AB32" s="1673">
        <f>AA32-Z32</f>
        <v>0</v>
      </c>
      <c r="AC32" s="1686">
        <f>SUM(AC34:AC35)</f>
        <v>0</v>
      </c>
      <c r="AD32" s="1686">
        <f>SUM(AD34:AD35)</f>
        <v>0</v>
      </c>
      <c r="AE32" s="1673">
        <f>AD32-AC32</f>
        <v>0</v>
      </c>
      <c r="AF32" s="1686">
        <f>SUM(AF34:AF35)</f>
        <v>40.468</v>
      </c>
      <c r="AG32" s="1686">
        <f>SUM(AG34:AG35)</f>
        <v>0</v>
      </c>
      <c r="AH32" s="1673">
        <f>AG32-AF32</f>
        <v>-40.468</v>
      </c>
      <c r="AI32" s="1686">
        <f>SUM(AI34:AI35)</f>
        <v>115.82</v>
      </c>
      <c r="AJ32" s="1686">
        <f>SUM(AJ34:AJ35)</f>
        <v>0</v>
      </c>
      <c r="AK32" s="1673">
        <f>AJ32-AI32</f>
        <v>-115.82</v>
      </c>
      <c r="AL32" s="1686">
        <f>SUM(AL34:AL35)</f>
        <v>153.109</v>
      </c>
      <c r="AM32" s="1686"/>
      <c r="AN32" s="1673">
        <f>AM32-AL32</f>
        <v>-153.109</v>
      </c>
      <c r="AO32" s="1686">
        <f>SUM(AO34:AO35)</f>
        <v>186.67</v>
      </c>
      <c r="AP32" s="1686">
        <v>0</v>
      </c>
      <c r="AQ32" s="1737">
        <f>AP32-AO32</f>
        <v>-186.67</v>
      </c>
      <c r="AR32" s="1674">
        <f>SUMIF($H$5:$AQ$5,$AR$5,H32:AQ32)</f>
        <v>1392.0389999999998</v>
      </c>
      <c r="AS32" s="1739">
        <f>SUMIF($H$5:$AQ$5,$AS$5,H32:AQ32)</f>
        <v>0</v>
      </c>
      <c r="AT32" s="1675">
        <f t="shared" si="12"/>
        <v>1392.0389999999998</v>
      </c>
      <c r="AU32" s="1687">
        <f>SUM(H32,K32,N32)</f>
        <v>583.728</v>
      </c>
      <c r="AV32" s="1687">
        <f>SUM(I32,L32,O32)</f>
        <v>0</v>
      </c>
      <c r="AW32" s="1676">
        <f t="shared" si="13"/>
        <v>583.728</v>
      </c>
      <c r="AX32" s="1687">
        <f>SUM(Q32,T32,W32)</f>
        <v>312.24399999999997</v>
      </c>
      <c r="AY32" s="1687">
        <f>SUM(R32,U32,X32)</f>
        <v>0</v>
      </c>
      <c r="AZ32" s="1676">
        <f t="shared" si="14"/>
        <v>312.24399999999997</v>
      </c>
      <c r="BA32" s="1687">
        <f>SUM(Z32,AC32,AF32)</f>
        <v>40.468</v>
      </c>
      <c r="BB32" s="1687">
        <f>SUM(AA32,AD32,AG32)</f>
        <v>0</v>
      </c>
      <c r="BC32" s="1676">
        <f t="shared" si="15"/>
        <v>40.468</v>
      </c>
      <c r="BD32" s="1687">
        <f>SUM(AI32,AL32,AO32)</f>
        <v>455.59899999999993</v>
      </c>
      <c r="BE32" s="1687">
        <f>SUM(AJ32,AM32,AP32)</f>
        <v>0</v>
      </c>
      <c r="BF32" s="1677">
        <f t="shared" si="16"/>
        <v>455.59899999999993</v>
      </c>
      <c r="BG32" s="1688">
        <f aca="true" t="shared" si="19" ref="BG32:BG38">AU32+AX32</f>
        <v>895.972</v>
      </c>
      <c r="BH32" s="1689">
        <f aca="true" t="shared" si="20" ref="BH32:BH38">BA32+BD32</f>
        <v>496.06699999999995</v>
      </c>
      <c r="BI32" s="1652"/>
      <c r="BJ32" s="527"/>
      <c r="BK32" s="527"/>
      <c r="BL32" s="527"/>
      <c r="BM32" s="527"/>
      <c r="BN32" s="527"/>
    </row>
    <row r="33" spans="1:66" ht="14.25">
      <c r="A33" s="2074"/>
      <c r="B33" s="789"/>
      <c r="C33" s="782" t="s">
        <v>717</v>
      </c>
      <c r="D33" s="785" t="s">
        <v>111</v>
      </c>
      <c r="E33" s="1670"/>
      <c r="F33" s="1670"/>
      <c r="G33" s="1698" t="s">
        <v>1032</v>
      </c>
      <c r="H33" s="1699"/>
      <c r="I33" s="1699"/>
      <c r="J33" s="1699"/>
      <c r="K33" s="1742"/>
      <c r="L33" s="1699"/>
      <c r="M33" s="1743"/>
      <c r="N33" s="1699"/>
      <c r="O33" s="1744"/>
      <c r="P33" s="1699"/>
      <c r="Q33" s="1699"/>
      <c r="R33" s="1699"/>
      <c r="S33" s="1699"/>
      <c r="T33" s="1699"/>
      <c r="U33" s="1699"/>
      <c r="V33" s="1699"/>
      <c r="W33" s="1699"/>
      <c r="X33" s="1699"/>
      <c r="Y33" s="1699"/>
      <c r="Z33" s="1699"/>
      <c r="AA33" s="1699"/>
      <c r="AB33" s="1699"/>
      <c r="AC33" s="1699"/>
      <c r="AD33" s="1699"/>
      <c r="AE33" s="1699"/>
      <c r="AF33" s="1699"/>
      <c r="AG33" s="1699"/>
      <c r="AH33" s="1699"/>
      <c r="AI33" s="1699"/>
      <c r="AJ33" s="1699"/>
      <c r="AK33" s="1742"/>
      <c r="AL33" s="1699"/>
      <c r="AM33" s="1743"/>
      <c r="AN33" s="1699"/>
      <c r="AO33" s="1743"/>
      <c r="AP33" s="1699"/>
      <c r="AQ33" s="1743"/>
      <c r="AR33" s="1674"/>
      <c r="AS33" s="1739"/>
      <c r="AT33" s="1700"/>
      <c r="AU33" s="1687"/>
      <c r="AV33" s="1687"/>
      <c r="AW33" s="1687"/>
      <c r="AX33" s="1687"/>
      <c r="AY33" s="1687"/>
      <c r="AZ33" s="1687"/>
      <c r="BA33" s="1745"/>
      <c r="BB33" s="1687"/>
      <c r="BC33" s="1746"/>
      <c r="BD33" s="1687"/>
      <c r="BE33" s="1687"/>
      <c r="BF33" s="1701"/>
      <c r="BG33" s="1688">
        <f t="shared" si="19"/>
        <v>0</v>
      </c>
      <c r="BH33" s="1689">
        <f t="shared" si="20"/>
        <v>0</v>
      </c>
      <c r="BI33" s="1652"/>
      <c r="BJ33" s="527"/>
      <c r="BK33" s="527"/>
      <c r="BL33" s="527"/>
      <c r="BM33" s="527"/>
      <c r="BN33" s="527"/>
    </row>
    <row r="34" spans="1:66" ht="14.25">
      <c r="A34" s="2074"/>
      <c r="B34" s="790"/>
      <c r="C34" s="782" t="s">
        <v>717</v>
      </c>
      <c r="D34" s="787" t="s">
        <v>111</v>
      </c>
      <c r="E34" s="1702" t="s">
        <v>1510</v>
      </c>
      <c r="F34" s="1702" t="s">
        <v>112</v>
      </c>
      <c r="G34" s="1747" t="s">
        <v>1226</v>
      </c>
      <c r="H34" s="1748">
        <v>185.828</v>
      </c>
      <c r="I34" s="1749"/>
      <c r="J34" s="1750">
        <f>I34-H34</f>
        <v>-185.828</v>
      </c>
      <c r="K34" s="1749">
        <v>167.283</v>
      </c>
      <c r="L34" s="1748"/>
      <c r="M34" s="1751">
        <f>L34-K34</f>
        <v>-167.283</v>
      </c>
      <c r="N34" s="1748">
        <v>162.832</v>
      </c>
      <c r="O34" s="1749"/>
      <c r="P34" s="1750">
        <f>O34-N34</f>
        <v>-162.832</v>
      </c>
      <c r="Q34" s="1752">
        <v>127.507</v>
      </c>
      <c r="R34" s="1748"/>
      <c r="S34" s="1753">
        <f>R34-Q34</f>
        <v>-127.507</v>
      </c>
      <c r="T34" s="1748">
        <v>97.575</v>
      </c>
      <c r="U34" s="1748"/>
      <c r="V34" s="1753">
        <f>U34-T34</f>
        <v>-97.575</v>
      </c>
      <c r="W34" s="1748">
        <v>30.674</v>
      </c>
      <c r="X34" s="1748"/>
      <c r="Y34" s="1753">
        <f>X34-W34</f>
        <v>-30.674</v>
      </c>
      <c r="Z34" s="1748"/>
      <c r="AA34" s="1748"/>
      <c r="AB34" s="1753">
        <f>AA34-Z34</f>
        <v>0</v>
      </c>
      <c r="AC34" s="1748"/>
      <c r="AD34" s="1748"/>
      <c r="AE34" s="1753">
        <f>AD34-AC34</f>
        <v>0</v>
      </c>
      <c r="AF34" s="1748">
        <v>29.17</v>
      </c>
      <c r="AG34" s="1748"/>
      <c r="AH34" s="1753">
        <f>AG34-AF34</f>
        <v>-29.17</v>
      </c>
      <c r="AI34" s="1748">
        <v>93.225</v>
      </c>
      <c r="AJ34" s="1748"/>
      <c r="AK34" s="1754">
        <f>AJ34-AI34</f>
        <v>-93.225</v>
      </c>
      <c r="AL34" s="1748">
        <v>130.514</v>
      </c>
      <c r="AM34" s="1749"/>
      <c r="AN34" s="1753">
        <f>AM34-AL34</f>
        <v>-130.514</v>
      </c>
      <c r="AO34" s="1749">
        <v>164.075</v>
      </c>
      <c r="AP34" s="1748">
        <v>0</v>
      </c>
      <c r="AQ34" s="1751">
        <f>AP34-AO34</f>
        <v>-164.075</v>
      </c>
      <c r="AR34" s="1706">
        <f>SUMIF($H$5:$AQ$5,$AR$5,H34:AQ34)</f>
        <v>1188.6830000000002</v>
      </c>
      <c r="AS34" s="1755">
        <f>SUMIF($H$5:$AQ$5,$AS$5,H34:AQ34)</f>
        <v>0</v>
      </c>
      <c r="AT34" s="1708">
        <f>AS34-AR34</f>
        <v>-1188.6830000000002</v>
      </c>
      <c r="AU34" s="1756">
        <f>SUM(H34,K34,N34)</f>
        <v>515.943</v>
      </c>
      <c r="AV34" s="1708">
        <f>SUM(I34,L34,O34)</f>
        <v>0</v>
      </c>
      <c r="AW34" s="1757">
        <f>AV34-AU34</f>
        <v>-515.943</v>
      </c>
      <c r="AX34" s="1708">
        <f>SUM(Q34,T34,W34)</f>
        <v>255.756</v>
      </c>
      <c r="AY34" s="1757">
        <f>SUM(R34,U34,X34)</f>
        <v>0</v>
      </c>
      <c r="AZ34" s="1708">
        <f>AY34-AX34</f>
        <v>-255.756</v>
      </c>
      <c r="BA34" s="1757">
        <f>SUM(Z34,AC34,AF34)</f>
        <v>29.17</v>
      </c>
      <c r="BB34" s="1708">
        <f>SUM(AA34,AD34,AG34)</f>
        <v>0</v>
      </c>
      <c r="BC34" s="1757">
        <f>BB34-BA34</f>
        <v>-29.17</v>
      </c>
      <c r="BD34" s="1708">
        <f>SUM(AI34,AL34,AO34)</f>
        <v>387.81399999999996</v>
      </c>
      <c r="BE34" s="1758">
        <f>SUM(AJ34,AM34,AP34)</f>
        <v>0</v>
      </c>
      <c r="BF34" s="1709">
        <f>BE34-BD34</f>
        <v>-387.81399999999996</v>
      </c>
      <c r="BG34" s="1688">
        <f t="shared" si="19"/>
        <v>771.699</v>
      </c>
      <c r="BH34" s="1689">
        <f t="shared" si="20"/>
        <v>416.984</v>
      </c>
      <c r="BI34" s="1652"/>
      <c r="BJ34" s="527"/>
      <c r="BK34" s="527"/>
      <c r="BL34" s="527"/>
      <c r="BM34" s="527"/>
      <c r="BN34" s="527"/>
    </row>
    <row r="35" spans="1:66" ht="14.25">
      <c r="A35" s="2074"/>
      <c r="B35" s="790"/>
      <c r="C35" s="782" t="s">
        <v>717</v>
      </c>
      <c r="D35" s="787" t="s">
        <v>111</v>
      </c>
      <c r="E35" s="1702" t="s">
        <v>1511</v>
      </c>
      <c r="F35" s="1702" t="s">
        <v>112</v>
      </c>
      <c r="G35" s="1759" t="s">
        <v>1227</v>
      </c>
      <c r="H35" s="1711">
        <f>SUM(H37:H38)</f>
        <v>22.595</v>
      </c>
      <c r="I35" s="1760">
        <f>SUM(I38:I38)</f>
        <v>0</v>
      </c>
      <c r="J35" s="1712">
        <f>I35-H35</f>
        <v>-22.595</v>
      </c>
      <c r="K35" s="1711">
        <f>SUM(K37:K38)</f>
        <v>22.595</v>
      </c>
      <c r="L35" s="1711">
        <f>SUM(L38:L38)</f>
        <v>0</v>
      </c>
      <c r="M35" s="1761">
        <f>L35-K35</f>
        <v>-22.595</v>
      </c>
      <c r="N35" s="1711">
        <f>SUM(N37:N38)</f>
        <v>22.595</v>
      </c>
      <c r="O35" s="1760"/>
      <c r="P35" s="1712">
        <f>O35-N35</f>
        <v>-22.595</v>
      </c>
      <c r="Q35" s="1711">
        <f>SUM(Q37:Q38)</f>
        <v>22.595</v>
      </c>
      <c r="R35" s="1711">
        <f>SUM(R38:R38)</f>
        <v>0</v>
      </c>
      <c r="S35" s="1712">
        <f>R35-Q35</f>
        <v>-22.595</v>
      </c>
      <c r="T35" s="1711">
        <f>SUM(T37:T38)</f>
        <v>22.595</v>
      </c>
      <c r="U35" s="1711"/>
      <c r="V35" s="1712">
        <f>U35-T35</f>
        <v>-22.595</v>
      </c>
      <c r="W35" s="1711">
        <f>SUM(W37:W38)</f>
        <v>11.298</v>
      </c>
      <c r="X35" s="1711">
        <f>SUM(X38:X38)</f>
        <v>0</v>
      </c>
      <c r="Y35" s="1712">
        <f>X35-W35</f>
        <v>-11.298</v>
      </c>
      <c r="Z35" s="1711">
        <f>SUM(Z37:Z38)</f>
        <v>0</v>
      </c>
      <c r="AA35" s="1711"/>
      <c r="AB35" s="1712">
        <f>AA35-Z35</f>
        <v>0</v>
      </c>
      <c r="AC35" s="1711">
        <f>SUM(AC37:AC38)</f>
        <v>0</v>
      </c>
      <c r="AD35" s="1711">
        <f>SUM(AD38:AD38)</f>
        <v>0</v>
      </c>
      <c r="AE35" s="1761">
        <f>AD35-AC35</f>
        <v>0</v>
      </c>
      <c r="AF35" s="1711">
        <f>SUM(AF37:AF38)</f>
        <v>11.298</v>
      </c>
      <c r="AG35" s="1762"/>
      <c r="AH35" s="1712">
        <f>AG35-AF35</f>
        <v>-11.298</v>
      </c>
      <c r="AI35" s="1711">
        <f>SUM(AI37:AI38)</f>
        <v>22.595</v>
      </c>
      <c r="AJ35" s="1711">
        <f>SUM(AJ38:AJ38)</f>
        <v>0</v>
      </c>
      <c r="AK35" s="1763">
        <f>AJ35-AI35</f>
        <v>-22.595</v>
      </c>
      <c r="AL35" s="1711">
        <f>SUM(AL37:AL38)</f>
        <v>22.595</v>
      </c>
      <c r="AM35" s="1760"/>
      <c r="AN35" s="1712">
        <f>AM35-AL35</f>
        <v>-22.595</v>
      </c>
      <c r="AO35" s="1711">
        <f>SUM(AO37:AO38)</f>
        <v>22.595</v>
      </c>
      <c r="AP35" s="1711">
        <v>0</v>
      </c>
      <c r="AQ35" s="1761">
        <f>AP35-AO35</f>
        <v>-22.595</v>
      </c>
      <c r="AR35" s="1674">
        <f>SUMIF($H$5:$AQ$5,$AR$5,H35:AQ35)</f>
        <v>203.356</v>
      </c>
      <c r="AS35" s="1764">
        <f>SUMIF($H$5:$AQ$5,$AS$5,H35:AQ35)</f>
        <v>0</v>
      </c>
      <c r="AT35" s="1700">
        <f>AS35-AR35</f>
        <v>-203.356</v>
      </c>
      <c r="AU35" s="1765">
        <f>SUM(AU37:AU38)</f>
        <v>67.785</v>
      </c>
      <c r="AV35" s="1700">
        <f>SUM(AV38:AV38)</f>
        <v>0</v>
      </c>
      <c r="AW35" s="1764">
        <f>AV35-AU35</f>
        <v>-67.785</v>
      </c>
      <c r="AX35" s="1700">
        <f>SUM(AX37:AX38)</f>
        <v>56.488</v>
      </c>
      <c r="AY35" s="1765">
        <f>SUM(AY38:AY38)</f>
        <v>0</v>
      </c>
      <c r="AZ35" s="1675">
        <f>AY35-AX35</f>
        <v>-56.488</v>
      </c>
      <c r="BA35" s="1700">
        <f>SUM(BA37:BA38)</f>
        <v>11.298</v>
      </c>
      <c r="BB35" s="1700">
        <f>SUM(BB38:BB38)</f>
        <v>0</v>
      </c>
      <c r="BC35" s="1764">
        <f>BB35-BA35</f>
        <v>-11.298</v>
      </c>
      <c r="BD35" s="1765">
        <f>SUM(BD37:BD38)</f>
        <v>67.785</v>
      </c>
      <c r="BE35" s="1765">
        <f>SUM(BE38:BE38)</f>
        <v>0</v>
      </c>
      <c r="BF35" s="1716">
        <f>BE35-BD35</f>
        <v>-67.785</v>
      </c>
      <c r="BG35" s="1688">
        <f t="shared" si="19"/>
        <v>124.273</v>
      </c>
      <c r="BH35" s="1689">
        <f t="shared" si="20"/>
        <v>79.083</v>
      </c>
      <c r="BI35" s="1652"/>
      <c r="BJ35" s="527"/>
      <c r="BK35" s="527"/>
      <c r="BL35" s="527"/>
      <c r="BM35" s="527"/>
      <c r="BN35" s="527"/>
    </row>
    <row r="36" spans="1:66" ht="14.25">
      <c r="A36" s="2074"/>
      <c r="B36" s="790"/>
      <c r="C36" s="782" t="s">
        <v>717</v>
      </c>
      <c r="D36" s="787" t="s">
        <v>111</v>
      </c>
      <c r="E36" s="1702"/>
      <c r="F36" s="1702"/>
      <c r="G36" s="1766" t="s">
        <v>1032</v>
      </c>
      <c r="H36" s="1715"/>
      <c r="I36" s="1767"/>
      <c r="J36" s="1715"/>
      <c r="K36" s="1767"/>
      <c r="L36" s="1715"/>
      <c r="M36" s="1767"/>
      <c r="N36" s="1715"/>
      <c r="O36" s="1767"/>
      <c r="P36" s="1715"/>
      <c r="Q36" s="1767"/>
      <c r="R36" s="1715"/>
      <c r="S36" s="1767"/>
      <c r="T36" s="1715"/>
      <c r="U36" s="1767"/>
      <c r="V36" s="1715"/>
      <c r="W36" s="1767"/>
      <c r="X36" s="1715"/>
      <c r="Y36" s="1767"/>
      <c r="Z36" s="1715"/>
      <c r="AA36" s="1767"/>
      <c r="AB36" s="1715"/>
      <c r="AC36" s="1767"/>
      <c r="AD36" s="1715"/>
      <c r="AE36" s="1767"/>
      <c r="AF36" s="1715"/>
      <c r="AG36" s="1767"/>
      <c r="AH36" s="1715"/>
      <c r="AI36" s="1767"/>
      <c r="AJ36" s="1715"/>
      <c r="AK36" s="1767"/>
      <c r="AL36" s="1715"/>
      <c r="AM36" s="1767"/>
      <c r="AN36" s="1715"/>
      <c r="AO36" s="1767"/>
      <c r="AP36" s="1715"/>
      <c r="AQ36" s="1767"/>
      <c r="AR36" s="1674"/>
      <c r="AS36" s="1764"/>
      <c r="AT36" s="1700"/>
      <c r="AU36" s="1765"/>
      <c r="AV36" s="1700"/>
      <c r="AW36" s="1765"/>
      <c r="AX36" s="1700"/>
      <c r="AY36" s="1765"/>
      <c r="AZ36" s="1700"/>
      <c r="BA36" s="1765"/>
      <c r="BB36" s="1700"/>
      <c r="BC36" s="1765"/>
      <c r="BD36" s="1700"/>
      <c r="BE36" s="1765"/>
      <c r="BF36" s="1716"/>
      <c r="BG36" s="1688">
        <f t="shared" si="19"/>
        <v>0</v>
      </c>
      <c r="BH36" s="1689">
        <f t="shared" si="20"/>
        <v>0</v>
      </c>
      <c r="BI36" s="1652"/>
      <c r="BJ36" s="527"/>
      <c r="BK36" s="527"/>
      <c r="BL36" s="527"/>
      <c r="BM36" s="527"/>
      <c r="BN36" s="527"/>
    </row>
    <row r="37" spans="1:66" ht="14.25">
      <c r="A37" s="2074"/>
      <c r="B37" s="790"/>
      <c r="C37" s="782" t="s">
        <v>717</v>
      </c>
      <c r="D37" s="787" t="s">
        <v>111</v>
      </c>
      <c r="E37" s="1702" t="s">
        <v>1228</v>
      </c>
      <c r="F37" s="1702" t="s">
        <v>112</v>
      </c>
      <c r="G37" s="1768" t="s">
        <v>1229</v>
      </c>
      <c r="H37" s="1769">
        <v>22.595</v>
      </c>
      <c r="I37" s="1770">
        <v>0</v>
      </c>
      <c r="J37" s="1771">
        <f>I37-H37</f>
        <v>-22.595</v>
      </c>
      <c r="K37" s="1769">
        <v>22.595</v>
      </c>
      <c r="L37" s="1769">
        <v>0</v>
      </c>
      <c r="M37" s="1769">
        <f>K37-L37</f>
        <v>22.595</v>
      </c>
      <c r="N37" s="1769">
        <v>22.595</v>
      </c>
      <c r="O37" s="1769">
        <v>22.595</v>
      </c>
      <c r="P37" s="1769">
        <v>22.595</v>
      </c>
      <c r="Q37" s="1769">
        <v>22.595</v>
      </c>
      <c r="R37" s="1769">
        <v>22.595</v>
      </c>
      <c r="S37" s="1769">
        <v>22.595</v>
      </c>
      <c r="T37" s="1769">
        <v>22.595</v>
      </c>
      <c r="U37" s="1772"/>
      <c r="V37" s="1773"/>
      <c r="W37" s="1769">
        <v>11.298</v>
      </c>
      <c r="X37" s="1773"/>
      <c r="Y37" s="1772"/>
      <c r="Z37" s="1773"/>
      <c r="AA37" s="1772"/>
      <c r="AB37" s="1773"/>
      <c r="AC37" s="1772"/>
      <c r="AD37" s="1773"/>
      <c r="AE37" s="1772"/>
      <c r="AF37" s="1769">
        <v>11.298</v>
      </c>
      <c r="AG37" s="1772"/>
      <c r="AH37" s="1773"/>
      <c r="AI37" s="1769">
        <v>22.595</v>
      </c>
      <c r="AJ37" s="1769">
        <v>22.595</v>
      </c>
      <c r="AK37" s="1769">
        <v>22.595</v>
      </c>
      <c r="AL37" s="1769">
        <v>22.595</v>
      </c>
      <c r="AM37" s="1769">
        <v>22.595</v>
      </c>
      <c r="AN37" s="1769">
        <v>22.595</v>
      </c>
      <c r="AO37" s="1769">
        <v>22.595</v>
      </c>
      <c r="AP37" s="1773">
        <v>0</v>
      </c>
      <c r="AQ37" s="1987">
        <f>AP37-AO37</f>
        <v>-22.595</v>
      </c>
      <c r="AR37" s="1706">
        <f>SUMIF($H$5:$AQ$5,$AR$5,H37:AQ37)</f>
        <v>203.356</v>
      </c>
      <c r="AS37" s="1755">
        <v>0</v>
      </c>
      <c r="AT37" s="1708">
        <f>AS37-AR37</f>
        <v>-203.356</v>
      </c>
      <c r="AU37" s="1756">
        <f>SUM(H37,K37,N37)</f>
        <v>67.785</v>
      </c>
      <c r="AV37" s="1708">
        <f>SUM(I37,L37,O37)</f>
        <v>22.595</v>
      </c>
      <c r="AW37" s="1757">
        <f>AV37-AU37</f>
        <v>-45.19</v>
      </c>
      <c r="AX37" s="1708">
        <f>SUM(Q37,T37,W37)</f>
        <v>56.488</v>
      </c>
      <c r="AY37" s="1757">
        <f>SUM(R37,U37,X37)</f>
        <v>22.595</v>
      </c>
      <c r="AZ37" s="1708">
        <f>AY37-AX37</f>
        <v>-33.893</v>
      </c>
      <c r="BA37" s="1757">
        <f>SUM(Z37,AC37,AF37)</f>
        <v>11.298</v>
      </c>
      <c r="BB37" s="1708">
        <f>SUM(AA37,AD37,AG37)</f>
        <v>0</v>
      </c>
      <c r="BC37" s="1757">
        <f>BB37-BA37</f>
        <v>-11.298</v>
      </c>
      <c r="BD37" s="1708">
        <f>SUM(AI37,AL37,AO37)</f>
        <v>67.785</v>
      </c>
      <c r="BE37" s="1758">
        <f>SUM(AJ37,AM37,AP37)</f>
        <v>45.19</v>
      </c>
      <c r="BF37" s="1709">
        <f>BE37-BD37</f>
        <v>-22.595</v>
      </c>
      <c r="BG37" s="1688">
        <f t="shared" si="19"/>
        <v>124.273</v>
      </c>
      <c r="BH37" s="1689">
        <f t="shared" si="20"/>
        <v>79.083</v>
      </c>
      <c r="BI37" s="1652"/>
      <c r="BJ37" s="527"/>
      <c r="BK37" s="527"/>
      <c r="BL37" s="527"/>
      <c r="BM37" s="527"/>
      <c r="BN37" s="527"/>
    </row>
    <row r="38" spans="1:66" ht="14.25">
      <c r="A38" s="2074"/>
      <c r="B38" s="790"/>
      <c r="C38" s="782" t="s">
        <v>717</v>
      </c>
      <c r="D38" s="787" t="s">
        <v>111</v>
      </c>
      <c r="E38" s="1702" t="s">
        <v>1230</v>
      </c>
      <c r="F38" s="1702" t="s">
        <v>112</v>
      </c>
      <c r="G38" s="1774" t="s">
        <v>1231</v>
      </c>
      <c r="H38" s="1775">
        <v>0</v>
      </c>
      <c r="I38" s="1776"/>
      <c r="J38" s="1777">
        <f>I38-H38</f>
        <v>0</v>
      </c>
      <c r="K38" s="1776">
        <v>0</v>
      </c>
      <c r="L38" s="1775"/>
      <c r="M38" s="1778">
        <f>L38-K38</f>
        <v>0</v>
      </c>
      <c r="N38" s="1775">
        <v>0</v>
      </c>
      <c r="O38" s="1776"/>
      <c r="P38" s="1777">
        <f>O38-N38</f>
        <v>0</v>
      </c>
      <c r="Q38" s="1776">
        <v>0</v>
      </c>
      <c r="R38" s="1775"/>
      <c r="S38" s="1778">
        <f>R38-Q38</f>
        <v>0</v>
      </c>
      <c r="T38" s="1775">
        <v>0</v>
      </c>
      <c r="U38" s="1776"/>
      <c r="V38" s="1777">
        <f>U38-T38</f>
        <v>0</v>
      </c>
      <c r="W38" s="1776">
        <v>0</v>
      </c>
      <c r="X38" s="1775"/>
      <c r="Y38" s="1778">
        <f>X38-W38</f>
        <v>0</v>
      </c>
      <c r="Z38" s="1775">
        <v>0</v>
      </c>
      <c r="AA38" s="1776"/>
      <c r="AB38" s="1777">
        <f>AA38-Z38</f>
        <v>0</v>
      </c>
      <c r="AC38" s="1776">
        <v>0</v>
      </c>
      <c r="AD38" s="1775"/>
      <c r="AE38" s="1778">
        <f>AD38-AC38</f>
        <v>0</v>
      </c>
      <c r="AF38" s="1775">
        <v>0</v>
      </c>
      <c r="AG38" s="1776"/>
      <c r="AH38" s="1777">
        <f>AG38-AF38</f>
        <v>0</v>
      </c>
      <c r="AI38" s="1776">
        <v>0</v>
      </c>
      <c r="AJ38" s="1775"/>
      <c r="AK38" s="1778">
        <f>AJ38-AI38</f>
        <v>0</v>
      </c>
      <c r="AL38" s="1775">
        <v>0</v>
      </c>
      <c r="AM38" s="1776"/>
      <c r="AN38" s="1777">
        <f>AM38-AL38</f>
        <v>0</v>
      </c>
      <c r="AO38" s="1776">
        <v>0</v>
      </c>
      <c r="AP38" s="1775"/>
      <c r="AQ38" s="1778">
        <f>AP38-AO38</f>
        <v>0</v>
      </c>
      <c r="AR38" s="1779">
        <f>SUMIF($H$5:$AQ$5,$AR$5,H38:AQ38)</f>
        <v>0</v>
      </c>
      <c r="AS38" s="1757">
        <f>SUMIF($H$5:$AQ$5,$AS$5,H38:AQ38)</f>
        <v>0</v>
      </c>
      <c r="AT38" s="1708">
        <f>AS38-AR38</f>
        <v>0</v>
      </c>
      <c r="AU38" s="1757">
        <f>SUM(H38,K38,N38)</f>
        <v>0</v>
      </c>
      <c r="AV38" s="1708">
        <f>SUM(I38,L38,O38)</f>
        <v>0</v>
      </c>
      <c r="AW38" s="1757">
        <f>AV38-AU38</f>
        <v>0</v>
      </c>
      <c r="AX38" s="1708">
        <f>SUM(Q38,T38,W38)</f>
        <v>0</v>
      </c>
      <c r="AY38" s="1757">
        <f>SUM(R38,U38,X38)</f>
        <v>0</v>
      </c>
      <c r="AZ38" s="1708">
        <f>AY38-AX38</f>
        <v>0</v>
      </c>
      <c r="BA38" s="1757">
        <f>SUM(Z38,AC38,AF38)</f>
        <v>0</v>
      </c>
      <c r="BB38" s="1708">
        <f>SUM(AA38,AD38,AG38)</f>
        <v>0</v>
      </c>
      <c r="BC38" s="1757">
        <f>BB38-BA38</f>
        <v>0</v>
      </c>
      <c r="BD38" s="1708">
        <f>SUM(AI38,AL38,AO38)</f>
        <v>0</v>
      </c>
      <c r="BE38" s="1757">
        <f>SUM(AJ38,AM38,AP38)</f>
        <v>0</v>
      </c>
      <c r="BF38" s="1709">
        <f>BE38-BD38</f>
        <v>0</v>
      </c>
      <c r="BG38" s="1688">
        <f t="shared" si="19"/>
        <v>0</v>
      </c>
      <c r="BH38" s="1689">
        <f t="shared" si="20"/>
        <v>0</v>
      </c>
      <c r="BI38" s="1652"/>
      <c r="BJ38" s="527"/>
      <c r="BK38" s="527"/>
      <c r="BL38" s="527"/>
      <c r="BM38" s="527"/>
      <c r="BN38" s="527"/>
    </row>
    <row r="39" spans="1:66" ht="14.25">
      <c r="A39" s="2074"/>
      <c r="B39" s="789"/>
      <c r="C39" s="782" t="s">
        <v>717</v>
      </c>
      <c r="D39" s="785" t="s">
        <v>111</v>
      </c>
      <c r="E39" s="1670" t="s">
        <v>1512</v>
      </c>
      <c r="F39" s="1670" t="s">
        <v>1232</v>
      </c>
      <c r="G39" s="1780" t="s">
        <v>1233</v>
      </c>
      <c r="H39" s="1686">
        <f>SUM(H41:H42)</f>
        <v>462.06543967280163</v>
      </c>
      <c r="I39" s="1686">
        <f aca="true" t="shared" si="21" ref="I39:BH39">SUM(I41:I42)</f>
        <v>0</v>
      </c>
      <c r="J39" s="1686">
        <f t="shared" si="21"/>
        <v>0</v>
      </c>
      <c r="K39" s="1686">
        <f t="shared" si="21"/>
        <v>462.06543967280163</v>
      </c>
      <c r="L39" s="1686">
        <f t="shared" si="21"/>
        <v>0</v>
      </c>
      <c r="M39" s="1686">
        <f t="shared" si="21"/>
        <v>0</v>
      </c>
      <c r="N39" s="1686">
        <f t="shared" si="21"/>
        <v>462.06543967280163</v>
      </c>
      <c r="O39" s="1686">
        <f t="shared" si="21"/>
        <v>0</v>
      </c>
      <c r="P39" s="1686">
        <f t="shared" si="21"/>
        <v>0</v>
      </c>
      <c r="Q39" s="1686">
        <f t="shared" si="21"/>
        <v>462.06543967280163</v>
      </c>
      <c r="R39" s="1686">
        <f t="shared" si="21"/>
        <v>0</v>
      </c>
      <c r="S39" s="1686">
        <f t="shared" si="21"/>
        <v>0</v>
      </c>
      <c r="T39" s="1686">
        <f t="shared" si="21"/>
        <v>462.06543967280163</v>
      </c>
      <c r="U39" s="1686">
        <f t="shared" si="21"/>
        <v>0</v>
      </c>
      <c r="V39" s="1686">
        <f t="shared" si="21"/>
        <v>0</v>
      </c>
      <c r="W39" s="1686">
        <f t="shared" si="21"/>
        <v>231.0429447852761</v>
      </c>
      <c r="X39" s="1686">
        <f t="shared" si="21"/>
        <v>0</v>
      </c>
      <c r="Y39" s="1686">
        <f t="shared" si="21"/>
        <v>0</v>
      </c>
      <c r="Z39" s="1686">
        <f t="shared" si="21"/>
        <v>0</v>
      </c>
      <c r="AA39" s="1686">
        <f t="shared" si="21"/>
        <v>0</v>
      </c>
      <c r="AB39" s="1686">
        <f t="shared" si="21"/>
        <v>0</v>
      </c>
      <c r="AC39" s="1686">
        <f t="shared" si="21"/>
        <v>0</v>
      </c>
      <c r="AD39" s="1686">
        <v>0</v>
      </c>
      <c r="AE39" s="1686">
        <v>0</v>
      </c>
      <c r="AF39" s="1686">
        <f t="shared" si="21"/>
        <v>231.0429447852761</v>
      </c>
      <c r="AG39" s="1686">
        <f t="shared" si="21"/>
        <v>0</v>
      </c>
      <c r="AH39" s="1686">
        <f t="shared" si="21"/>
        <v>0</v>
      </c>
      <c r="AI39" s="1686">
        <f t="shared" si="21"/>
        <v>462.06543967280163</v>
      </c>
      <c r="AJ39" s="1686">
        <f t="shared" si="21"/>
        <v>0</v>
      </c>
      <c r="AK39" s="1686">
        <f t="shared" si="21"/>
        <v>0</v>
      </c>
      <c r="AL39" s="1686">
        <f t="shared" si="21"/>
        <v>462.06543967280163</v>
      </c>
      <c r="AM39" s="1686">
        <f t="shared" si="21"/>
        <v>0</v>
      </c>
      <c r="AN39" s="1686">
        <f t="shared" si="21"/>
        <v>0</v>
      </c>
      <c r="AO39" s="1686">
        <f t="shared" si="21"/>
        <v>462.06543967280163</v>
      </c>
      <c r="AP39" s="1686">
        <f t="shared" si="21"/>
        <v>0</v>
      </c>
      <c r="AQ39" s="1686">
        <f>AP39-AO39</f>
        <v>-462.06543967280163</v>
      </c>
      <c r="AR39" s="1781">
        <f t="shared" si="21"/>
        <v>4158.6094069529645</v>
      </c>
      <c r="AS39" s="1755">
        <v>0</v>
      </c>
      <c r="AT39" s="1708">
        <f>AS39-AR39</f>
        <v>-4158.6094069529645</v>
      </c>
      <c r="AU39" s="1686">
        <f t="shared" si="21"/>
        <v>1386.196319018405</v>
      </c>
      <c r="AV39" s="1686">
        <f t="shared" si="21"/>
        <v>0</v>
      </c>
      <c r="AW39" s="1686">
        <f t="shared" si="21"/>
        <v>-1386.196319018405</v>
      </c>
      <c r="AX39" s="1686">
        <f t="shared" si="21"/>
        <v>1155.1738241308794</v>
      </c>
      <c r="AY39" s="1686">
        <f t="shared" si="21"/>
        <v>0</v>
      </c>
      <c r="AZ39" s="1676">
        <f>AX39-AY39</f>
        <v>1155.1738241308794</v>
      </c>
      <c r="BA39" s="1686">
        <f t="shared" si="21"/>
        <v>231.0429447852761</v>
      </c>
      <c r="BB39" s="1686">
        <v>0</v>
      </c>
      <c r="BC39" s="1686">
        <f t="shared" si="21"/>
        <v>-231.0429447852761</v>
      </c>
      <c r="BD39" s="1686">
        <f t="shared" si="21"/>
        <v>1386.196319018405</v>
      </c>
      <c r="BE39" s="1686">
        <f t="shared" si="21"/>
        <v>0</v>
      </c>
      <c r="BF39" s="1782">
        <f t="shared" si="21"/>
        <v>-1386.196319018405</v>
      </c>
      <c r="BG39" s="1783">
        <f t="shared" si="21"/>
        <v>2541.3701431492846</v>
      </c>
      <c r="BH39" s="1784">
        <f t="shared" si="21"/>
        <v>1617.239263803681</v>
      </c>
      <c r="BI39" s="1652"/>
      <c r="BJ39" s="527"/>
      <c r="BK39" s="527"/>
      <c r="BL39" s="527"/>
      <c r="BM39" s="527"/>
      <c r="BN39" s="527"/>
    </row>
    <row r="40" spans="1:66" ht="14.25">
      <c r="A40" s="2074"/>
      <c r="B40" s="789"/>
      <c r="C40" s="782" t="s">
        <v>717</v>
      </c>
      <c r="D40" s="785" t="s">
        <v>111</v>
      </c>
      <c r="E40" s="1670"/>
      <c r="F40" s="1670"/>
      <c r="G40" s="1785" t="s">
        <v>1032</v>
      </c>
      <c r="H40" s="1687"/>
      <c r="I40" s="1786"/>
      <c r="J40" s="1699"/>
      <c r="K40" s="1786"/>
      <c r="L40" s="1687"/>
      <c r="M40" s="1743"/>
      <c r="N40" s="1687"/>
      <c r="O40" s="1786"/>
      <c r="P40" s="1699"/>
      <c r="Q40" s="1786"/>
      <c r="R40" s="1687"/>
      <c r="S40" s="1743"/>
      <c r="T40" s="1687"/>
      <c r="U40" s="1786"/>
      <c r="V40" s="1699"/>
      <c r="W40" s="1786"/>
      <c r="X40" s="1687"/>
      <c r="Y40" s="1743"/>
      <c r="Z40" s="1687"/>
      <c r="AA40" s="1786"/>
      <c r="AB40" s="1699"/>
      <c r="AC40" s="1786"/>
      <c r="AD40" s="1687"/>
      <c r="AE40" s="1743"/>
      <c r="AF40" s="1687"/>
      <c r="AG40" s="1786"/>
      <c r="AH40" s="1699"/>
      <c r="AI40" s="1786"/>
      <c r="AJ40" s="1687"/>
      <c r="AK40" s="1743"/>
      <c r="AL40" s="1687"/>
      <c r="AM40" s="1786"/>
      <c r="AN40" s="1699"/>
      <c r="AO40" s="1786"/>
      <c r="AP40" s="1687"/>
      <c r="AQ40" s="1743"/>
      <c r="AR40" s="1674"/>
      <c r="AS40" s="1764"/>
      <c r="AT40" s="1700"/>
      <c r="AU40" s="1786"/>
      <c r="AV40" s="1687"/>
      <c r="AW40" s="1786"/>
      <c r="AX40" s="1687"/>
      <c r="AY40" s="1786"/>
      <c r="AZ40" s="1687"/>
      <c r="BA40" s="1786"/>
      <c r="BB40" s="1687"/>
      <c r="BC40" s="1786"/>
      <c r="BD40" s="1687"/>
      <c r="BE40" s="1786"/>
      <c r="BF40" s="1701"/>
      <c r="BG40" s="1688">
        <f aca="true" t="shared" si="22" ref="BG40:BG45">AU40+AX40</f>
        <v>0</v>
      </c>
      <c r="BH40" s="1689">
        <f aca="true" t="shared" si="23" ref="BH40:BH45">BA40+BD40</f>
        <v>0</v>
      </c>
      <c r="BI40" s="1652"/>
      <c r="BJ40" s="527"/>
      <c r="BK40" s="527"/>
      <c r="BL40" s="527"/>
      <c r="BM40" s="527"/>
      <c r="BN40" s="527"/>
    </row>
    <row r="41" spans="1:66" ht="14.25">
      <c r="A41" s="2074"/>
      <c r="B41" s="790"/>
      <c r="C41" s="782" t="s">
        <v>717</v>
      </c>
      <c r="D41" s="787" t="s">
        <v>111</v>
      </c>
      <c r="E41" s="1702" t="s">
        <v>1234</v>
      </c>
      <c r="F41" s="1702" t="s">
        <v>1232</v>
      </c>
      <c r="G41" s="1774" t="s">
        <v>1229</v>
      </c>
      <c r="H41" s="1722">
        <f>H37/G2</f>
        <v>462.06543967280163</v>
      </c>
      <c r="I41" s="1787">
        <v>0</v>
      </c>
      <c r="J41" s="1788"/>
      <c r="K41" s="1722">
        <f>K37/G2</f>
        <v>462.06543967280163</v>
      </c>
      <c r="L41" s="1788"/>
      <c r="M41" s="1789"/>
      <c r="N41" s="1722">
        <f>N37/G2</f>
        <v>462.06543967280163</v>
      </c>
      <c r="O41" s="1789"/>
      <c r="P41" s="1788"/>
      <c r="Q41" s="1722">
        <f>Q37/G2</f>
        <v>462.06543967280163</v>
      </c>
      <c r="R41" s="1788"/>
      <c r="S41" s="1789"/>
      <c r="T41" s="1722">
        <f>T37/G2</f>
        <v>462.06543967280163</v>
      </c>
      <c r="U41" s="1789"/>
      <c r="V41" s="1788"/>
      <c r="W41" s="1722">
        <f>W37/G2</f>
        <v>231.0429447852761</v>
      </c>
      <c r="X41" s="1788"/>
      <c r="Y41" s="1789"/>
      <c r="Z41" s="1722">
        <f>Z37/0.0512</f>
        <v>0</v>
      </c>
      <c r="AA41" s="1789"/>
      <c r="AB41" s="1788"/>
      <c r="AC41" s="1722">
        <f>AC37/G2</f>
        <v>0</v>
      </c>
      <c r="AD41" s="1722">
        <v>0</v>
      </c>
      <c r="AE41" s="1722">
        <v>0</v>
      </c>
      <c r="AF41" s="1722">
        <f>AF37/G2</f>
        <v>231.0429447852761</v>
      </c>
      <c r="AG41" s="1789"/>
      <c r="AH41" s="1788"/>
      <c r="AI41" s="1722">
        <f>AI37/G2</f>
        <v>462.06543967280163</v>
      </c>
      <c r="AJ41" s="1788"/>
      <c r="AK41" s="1789"/>
      <c r="AL41" s="1722">
        <f>AL37/G2</f>
        <v>462.06543967280163</v>
      </c>
      <c r="AM41" s="1789"/>
      <c r="AN41" s="1788"/>
      <c r="AO41" s="1722">
        <f>AO37/G2</f>
        <v>462.06543967280163</v>
      </c>
      <c r="AP41" s="1788">
        <v>0</v>
      </c>
      <c r="AQ41" s="1767">
        <f>AP41-AO41</f>
        <v>-462.06543967280163</v>
      </c>
      <c r="AR41" s="1706">
        <f>SUMIF($H$5:$AQ$5,$AR$5,H41:AQ41)</f>
        <v>4158.6094069529645</v>
      </c>
      <c r="AS41" s="1755">
        <v>0</v>
      </c>
      <c r="AT41" s="1708">
        <f>AS41-AR41</f>
        <v>-4158.6094069529645</v>
      </c>
      <c r="AU41" s="1708">
        <f aca="true" t="shared" si="24" ref="AU41:AV45">SUM(H41,K41,N41)</f>
        <v>1386.196319018405</v>
      </c>
      <c r="AV41" s="1708">
        <f t="shared" si="24"/>
        <v>0</v>
      </c>
      <c r="AW41" s="1708">
        <f>AV41-AU41</f>
        <v>-1386.196319018405</v>
      </c>
      <c r="AX41" s="1708">
        <f aca="true" t="shared" si="25" ref="AX41:AY45">SUM(Q41,T41,W41)</f>
        <v>1155.1738241308794</v>
      </c>
      <c r="AY41" s="1708">
        <f t="shared" si="25"/>
        <v>0</v>
      </c>
      <c r="AZ41" s="1676">
        <f>AX41-AY41</f>
        <v>1155.1738241308794</v>
      </c>
      <c r="BA41" s="1708">
        <f aca="true" t="shared" si="26" ref="BA41:BB45">SUM(Z41,AC41,AF41)</f>
        <v>231.0429447852761</v>
      </c>
      <c r="BB41" s="1708">
        <v>0</v>
      </c>
      <c r="BC41" s="1708">
        <f>BB41-BA41</f>
        <v>-231.0429447852761</v>
      </c>
      <c r="BD41" s="1708">
        <f aca="true" t="shared" si="27" ref="BD41:BE45">SUM(AI41,AL41,AO41)</f>
        <v>1386.196319018405</v>
      </c>
      <c r="BE41" s="1708">
        <f t="shared" si="27"/>
        <v>0</v>
      </c>
      <c r="BF41" s="1709">
        <f>BE41-BD41</f>
        <v>-1386.196319018405</v>
      </c>
      <c r="BG41" s="1688">
        <f t="shared" si="22"/>
        <v>2541.3701431492846</v>
      </c>
      <c r="BH41" s="1689">
        <f t="shared" si="23"/>
        <v>1617.239263803681</v>
      </c>
      <c r="BI41" s="1652"/>
      <c r="BJ41" s="527"/>
      <c r="BK41" s="527"/>
      <c r="BL41" s="527"/>
      <c r="BM41" s="527"/>
      <c r="BN41" s="527"/>
    </row>
    <row r="42" spans="1:66" ht="14.25">
      <c r="A42" s="2074"/>
      <c r="B42" s="789"/>
      <c r="C42" s="782" t="s">
        <v>717</v>
      </c>
      <c r="D42" s="785" t="s">
        <v>111</v>
      </c>
      <c r="E42" s="1670" t="s">
        <v>1235</v>
      </c>
      <c r="F42" s="1670" t="s">
        <v>1232</v>
      </c>
      <c r="G42" s="1790" t="s">
        <v>1231</v>
      </c>
      <c r="H42" s="1791">
        <f>H38/0.0714</f>
        <v>0</v>
      </c>
      <c r="I42" s="1791">
        <v>0</v>
      </c>
      <c r="J42" s="1673">
        <f>I42-H42</f>
        <v>0</v>
      </c>
      <c r="K42" s="1792">
        <f>K38/0.0714</f>
        <v>0</v>
      </c>
      <c r="L42" s="1793"/>
      <c r="M42" s="1794">
        <f>L42-K42</f>
        <v>0</v>
      </c>
      <c r="N42" s="1791">
        <f>N38/0.0714</f>
        <v>0</v>
      </c>
      <c r="O42" s="1791"/>
      <c r="P42" s="1673">
        <f>O42-N42</f>
        <v>0</v>
      </c>
      <c r="Q42" s="1792">
        <f>Q38/0.0714</f>
        <v>0</v>
      </c>
      <c r="R42" s="1792"/>
      <c r="S42" s="1794">
        <f>R42-Q42</f>
        <v>0</v>
      </c>
      <c r="T42" s="1791">
        <f>T38/0.0714</f>
        <v>0</v>
      </c>
      <c r="U42" s="1795"/>
      <c r="V42" s="1673">
        <f>U42-T42</f>
        <v>0</v>
      </c>
      <c r="W42" s="1792">
        <f>W38/0.0714</f>
        <v>0</v>
      </c>
      <c r="X42" s="1792"/>
      <c r="Y42" s="1794">
        <f>X42-W42</f>
        <v>0</v>
      </c>
      <c r="Z42" s="1791">
        <f>Z38/0.0714</f>
        <v>0</v>
      </c>
      <c r="AA42" s="1795"/>
      <c r="AB42" s="1673">
        <f>AA42-Z42</f>
        <v>0</v>
      </c>
      <c r="AC42" s="1792">
        <f>AC38/0.0714</f>
        <v>0</v>
      </c>
      <c r="AD42" s="1793"/>
      <c r="AE42" s="1794">
        <f>AD42-AC42</f>
        <v>0</v>
      </c>
      <c r="AF42" s="1791">
        <f>AF38/0.0714</f>
        <v>0</v>
      </c>
      <c r="AG42" s="1795"/>
      <c r="AH42" s="1673">
        <f>AG42-AF42</f>
        <v>0</v>
      </c>
      <c r="AI42" s="1792">
        <f>AI38/0.0714</f>
        <v>0</v>
      </c>
      <c r="AJ42" s="1793"/>
      <c r="AK42" s="1794">
        <f>AJ42-AI42</f>
        <v>0</v>
      </c>
      <c r="AL42" s="1791">
        <f>AL38/0.0714</f>
        <v>0</v>
      </c>
      <c r="AM42" s="1791"/>
      <c r="AN42" s="1673">
        <f>AM42-AL42</f>
        <v>0</v>
      </c>
      <c r="AO42" s="1988">
        <f>AO38/0.0714</f>
        <v>0</v>
      </c>
      <c r="AP42" s="1681"/>
      <c r="AQ42" s="1989">
        <f>AP42-AO42</f>
        <v>0</v>
      </c>
      <c r="AR42" s="1674">
        <f>SUMIF($H$5:$AQ$5,$AR$5,H42:AQ42)</f>
        <v>0</v>
      </c>
      <c r="AS42" s="1764">
        <f>SUMIF($H$5:$AQ$5,$AS$5,H42:AQ42)</f>
        <v>0</v>
      </c>
      <c r="AT42" s="1700">
        <f>AS42-AR42</f>
        <v>0</v>
      </c>
      <c r="AU42" s="1708">
        <f t="shared" si="24"/>
        <v>0</v>
      </c>
      <c r="AV42" s="1708">
        <f t="shared" si="24"/>
        <v>0</v>
      </c>
      <c r="AW42" s="1708">
        <f>AV42-AU42</f>
        <v>0</v>
      </c>
      <c r="AX42" s="1708">
        <f t="shared" si="25"/>
        <v>0</v>
      </c>
      <c r="AY42" s="1708">
        <f t="shared" si="25"/>
        <v>0</v>
      </c>
      <c r="AZ42" s="1708">
        <f>AY42-AX42</f>
        <v>0</v>
      </c>
      <c r="BA42" s="1708">
        <f t="shared" si="26"/>
        <v>0</v>
      </c>
      <c r="BB42" s="1708">
        <f t="shared" si="26"/>
        <v>0</v>
      </c>
      <c r="BC42" s="1708">
        <f>BB42-BA42</f>
        <v>0</v>
      </c>
      <c r="BD42" s="1708">
        <f t="shared" si="27"/>
        <v>0</v>
      </c>
      <c r="BE42" s="1708">
        <f t="shared" si="27"/>
        <v>0</v>
      </c>
      <c r="BF42" s="1709">
        <f>BE42-BD42</f>
        <v>0</v>
      </c>
      <c r="BG42" s="1688">
        <f t="shared" si="22"/>
        <v>0</v>
      </c>
      <c r="BH42" s="1689">
        <f t="shared" si="23"/>
        <v>0</v>
      </c>
      <c r="BI42" s="1652"/>
      <c r="BJ42" s="527"/>
      <c r="BK42" s="527"/>
      <c r="BL42" s="527"/>
      <c r="BM42" s="527"/>
      <c r="BN42" s="527"/>
    </row>
    <row r="43" spans="1:66" ht="14.25">
      <c r="A43" s="2074"/>
      <c r="B43" s="789"/>
      <c r="C43" s="782" t="s">
        <v>717</v>
      </c>
      <c r="D43" s="785" t="s">
        <v>111</v>
      </c>
      <c r="E43" s="1670" t="s">
        <v>1513</v>
      </c>
      <c r="F43" s="1670" t="s">
        <v>1236</v>
      </c>
      <c r="G43" s="1723" t="s">
        <v>1237</v>
      </c>
      <c r="H43" s="1682">
        <v>14</v>
      </c>
      <c r="I43" s="1682">
        <v>0</v>
      </c>
      <c r="J43" s="1673">
        <f>I43-H43</f>
        <v>-14</v>
      </c>
      <c r="K43" s="1682">
        <v>12</v>
      </c>
      <c r="L43" s="1682">
        <v>13</v>
      </c>
      <c r="M43" s="1673">
        <f>L43-K43</f>
        <v>1</v>
      </c>
      <c r="N43" s="1682">
        <v>10</v>
      </c>
      <c r="O43" s="1682">
        <v>10</v>
      </c>
      <c r="P43" s="1673">
        <f>O43-N43</f>
        <v>0</v>
      </c>
      <c r="Q43" s="1682">
        <v>7</v>
      </c>
      <c r="R43" s="1682">
        <v>7</v>
      </c>
      <c r="S43" s="1673">
        <f>R43-Q43</f>
        <v>0</v>
      </c>
      <c r="T43" s="1682">
        <v>5</v>
      </c>
      <c r="U43" s="1682">
        <v>5</v>
      </c>
      <c r="V43" s="1673">
        <f>U43-T43</f>
        <v>0</v>
      </c>
      <c r="W43" s="1682">
        <v>2</v>
      </c>
      <c r="X43" s="1682">
        <v>2</v>
      </c>
      <c r="Y43" s="1673">
        <f>X43-W43</f>
        <v>0</v>
      </c>
      <c r="Z43" s="1682"/>
      <c r="AA43" s="1682"/>
      <c r="AB43" s="1673">
        <f>AA43-Z43</f>
        <v>0</v>
      </c>
      <c r="AC43" s="1682"/>
      <c r="AD43" s="1682"/>
      <c r="AE43" s="1673">
        <f>AD43-AC43</f>
        <v>0</v>
      </c>
      <c r="AF43" s="1682">
        <v>5</v>
      </c>
      <c r="AG43" s="1682"/>
      <c r="AH43" s="1673">
        <f>AG43-AF43</f>
        <v>-5</v>
      </c>
      <c r="AI43" s="1682">
        <v>6</v>
      </c>
      <c r="AJ43" s="1682">
        <v>7</v>
      </c>
      <c r="AK43" s="1673">
        <f>AJ43-AI43</f>
        <v>1</v>
      </c>
      <c r="AL43" s="1682">
        <v>10</v>
      </c>
      <c r="AM43" s="1682">
        <v>11</v>
      </c>
      <c r="AN43" s="1673">
        <f>AM43-AL43</f>
        <v>1</v>
      </c>
      <c r="AO43" s="1682">
        <v>15</v>
      </c>
      <c r="AP43" s="1682">
        <v>16</v>
      </c>
      <c r="AQ43" s="1767">
        <f>AP43-AO43</f>
        <v>1</v>
      </c>
      <c r="AR43" s="1724">
        <f>SUMIF($H$5:$AQ$5,$AR$5,H43:AQ43)</f>
        <v>86</v>
      </c>
      <c r="AS43" s="1725">
        <v>0</v>
      </c>
      <c r="AT43" s="1687">
        <f>AS43-AR43</f>
        <v>-86</v>
      </c>
      <c r="AU43" s="1708">
        <f t="shared" si="24"/>
        <v>36</v>
      </c>
      <c r="AV43" s="1708">
        <f t="shared" si="24"/>
        <v>23</v>
      </c>
      <c r="AW43" s="1708">
        <f>AV43-AU43</f>
        <v>-13</v>
      </c>
      <c r="AX43" s="1708">
        <f t="shared" si="25"/>
        <v>14</v>
      </c>
      <c r="AY43" s="1708">
        <f t="shared" si="25"/>
        <v>14</v>
      </c>
      <c r="AZ43" s="1708">
        <f>AY43-AX43</f>
        <v>0</v>
      </c>
      <c r="BA43" s="1708">
        <f t="shared" si="26"/>
        <v>5</v>
      </c>
      <c r="BB43" s="1708">
        <f t="shared" si="26"/>
        <v>0</v>
      </c>
      <c r="BC43" s="1708">
        <f>BB43-BA43</f>
        <v>-5</v>
      </c>
      <c r="BD43" s="1708">
        <f t="shared" si="27"/>
        <v>31</v>
      </c>
      <c r="BE43" s="1708">
        <f t="shared" si="27"/>
        <v>34</v>
      </c>
      <c r="BF43" s="1709">
        <f>BE43-BD43</f>
        <v>3</v>
      </c>
      <c r="BG43" s="1688">
        <f t="shared" si="22"/>
        <v>50</v>
      </c>
      <c r="BH43" s="1689">
        <f t="shared" si="23"/>
        <v>36</v>
      </c>
      <c r="BI43" s="1652"/>
      <c r="BJ43" s="527"/>
      <c r="BK43" s="527"/>
      <c r="BL43" s="527"/>
      <c r="BM43" s="527"/>
      <c r="BN43" s="527"/>
    </row>
    <row r="44" spans="1:66" ht="14.25">
      <c r="A44" s="2074"/>
      <c r="B44" s="789"/>
      <c r="C44" s="782" t="s">
        <v>717</v>
      </c>
      <c r="D44" s="785" t="s">
        <v>111</v>
      </c>
      <c r="E44" s="1670" t="s">
        <v>1238</v>
      </c>
      <c r="F44" s="1670" t="s">
        <v>1232</v>
      </c>
      <c r="G44" s="1723" t="s">
        <v>1239</v>
      </c>
      <c r="H44" s="1682">
        <f>53.084/9+H41</f>
        <v>467.96366189502385</v>
      </c>
      <c r="I44" s="1682"/>
      <c r="J44" s="1682">
        <f aca="true" t="shared" si="28" ref="J44:AE44">50.533/9+J41</f>
        <v>5.614777777777778</v>
      </c>
      <c r="K44" s="1682">
        <f>53.084/9+K41</f>
        <v>467.96366189502385</v>
      </c>
      <c r="L44" s="1682">
        <f t="shared" si="28"/>
        <v>5.614777777777778</v>
      </c>
      <c r="M44" s="1682">
        <f t="shared" si="28"/>
        <v>5.614777777777778</v>
      </c>
      <c r="N44" s="1682">
        <f>53.084/9+N41</f>
        <v>467.96366189502385</v>
      </c>
      <c r="O44" s="1682">
        <f t="shared" si="28"/>
        <v>5.614777777777778</v>
      </c>
      <c r="P44" s="1682">
        <f t="shared" si="28"/>
        <v>5.614777777777778</v>
      </c>
      <c r="Q44" s="1682">
        <f>53.084/9+Q41</f>
        <v>467.96366189502385</v>
      </c>
      <c r="R44" s="1682">
        <f t="shared" si="28"/>
        <v>5.614777777777778</v>
      </c>
      <c r="S44" s="1682">
        <f t="shared" si="28"/>
        <v>5.614777777777778</v>
      </c>
      <c r="T44" s="1682">
        <f>53.084/9+T41</f>
        <v>467.96366189502385</v>
      </c>
      <c r="U44" s="1682">
        <f t="shared" si="28"/>
        <v>5.614777777777778</v>
      </c>
      <c r="V44" s="1682">
        <f t="shared" si="28"/>
        <v>5.614777777777778</v>
      </c>
      <c r="W44" s="1682">
        <f>53.084/9/2+W41</f>
        <v>233.9920558963872</v>
      </c>
      <c r="X44" s="1682">
        <f t="shared" si="28"/>
        <v>5.614777777777778</v>
      </c>
      <c r="Y44" s="1682">
        <f t="shared" si="28"/>
        <v>5.614777777777778</v>
      </c>
      <c r="Z44" s="1682"/>
      <c r="AA44" s="1682"/>
      <c r="AB44" s="1682"/>
      <c r="AC44" s="1682"/>
      <c r="AD44" s="1682">
        <f t="shared" si="28"/>
        <v>5.614777777777778</v>
      </c>
      <c r="AE44" s="1682">
        <f t="shared" si="28"/>
        <v>5.614777777777778</v>
      </c>
      <c r="AF44" s="1682">
        <f>53.084/9/2+AF41</f>
        <v>233.9920558963872</v>
      </c>
      <c r="AG44" s="1682">
        <f aca="true" t="shared" si="29" ref="AG44:AN44">50.533/9+AG41</f>
        <v>5.614777777777778</v>
      </c>
      <c r="AH44" s="1682">
        <f t="shared" si="29"/>
        <v>5.614777777777778</v>
      </c>
      <c r="AI44" s="1682">
        <f>53.084/9+AI41</f>
        <v>467.96366189502385</v>
      </c>
      <c r="AJ44" s="1682">
        <f t="shared" si="29"/>
        <v>5.614777777777778</v>
      </c>
      <c r="AK44" s="1682">
        <f t="shared" si="29"/>
        <v>5.614777777777778</v>
      </c>
      <c r="AL44" s="1682">
        <f>53.084/9+AL41</f>
        <v>467.96366189502385</v>
      </c>
      <c r="AM44" s="1682">
        <f t="shared" si="29"/>
        <v>5.614777777777778</v>
      </c>
      <c r="AN44" s="1682">
        <f t="shared" si="29"/>
        <v>5.614777777777778</v>
      </c>
      <c r="AO44" s="1682">
        <f>53.084/9+AO41</f>
        <v>467.96366189502385</v>
      </c>
      <c r="AP44" s="1682">
        <v>610</v>
      </c>
      <c r="AQ44" s="1767">
        <f>AP44-AO44</f>
        <v>142.03633810497615</v>
      </c>
      <c r="AR44" s="1724">
        <f>SUMIF($H$5:$AQ$5,$AR$5,H44:AQ44)</f>
        <v>4211.693406952965</v>
      </c>
      <c r="AS44" s="1725">
        <v>0</v>
      </c>
      <c r="AT44" s="1687">
        <f>AS44-AR44</f>
        <v>-4211.693406952965</v>
      </c>
      <c r="AU44" s="1708">
        <f t="shared" si="24"/>
        <v>1403.8909856850714</v>
      </c>
      <c r="AV44" s="1708">
        <f t="shared" si="24"/>
        <v>11.229555555555557</v>
      </c>
      <c r="AW44" s="1708">
        <f>AV44-AU44</f>
        <v>-1392.6614301295158</v>
      </c>
      <c r="AX44" s="1708">
        <f t="shared" si="25"/>
        <v>1169.919379686435</v>
      </c>
      <c r="AY44" s="1708">
        <f t="shared" si="25"/>
        <v>16.844333333333335</v>
      </c>
      <c r="AZ44" s="1676">
        <f>AX44-AY44</f>
        <v>1153.0750463531017</v>
      </c>
      <c r="BA44" s="1708">
        <f t="shared" si="26"/>
        <v>233.9920558963872</v>
      </c>
      <c r="BB44" s="1708">
        <v>0</v>
      </c>
      <c r="BC44" s="1708">
        <f>BB44-BA44</f>
        <v>-233.9920558963872</v>
      </c>
      <c r="BD44" s="1708">
        <f t="shared" si="27"/>
        <v>1403.8909856850714</v>
      </c>
      <c r="BE44" s="1708">
        <f t="shared" si="27"/>
        <v>621.2295555555555</v>
      </c>
      <c r="BF44" s="1709">
        <f>BE44-BD44</f>
        <v>-782.6614301295159</v>
      </c>
      <c r="BG44" s="1688">
        <f t="shared" si="22"/>
        <v>2573.810365371506</v>
      </c>
      <c r="BH44" s="1689">
        <f t="shared" si="23"/>
        <v>1637.8830415814587</v>
      </c>
      <c r="BI44" s="1796"/>
      <c r="BJ44" s="527"/>
      <c r="BK44" s="527"/>
      <c r="BL44" s="527"/>
      <c r="BM44" s="527"/>
      <c r="BN44" s="527"/>
    </row>
    <row r="45" spans="1:66" ht="14.25">
      <c r="A45" s="2075"/>
      <c r="B45" s="789"/>
      <c r="C45" s="782" t="s">
        <v>717</v>
      </c>
      <c r="D45" s="785" t="s">
        <v>111</v>
      </c>
      <c r="E45" s="1670" t="s">
        <v>1240</v>
      </c>
      <c r="F45" s="1670" t="s">
        <v>1232</v>
      </c>
      <c r="G45" s="1729" t="s">
        <v>1241</v>
      </c>
      <c r="H45" s="1682"/>
      <c r="I45" s="1682"/>
      <c r="J45" s="1673">
        <f>I45-H45</f>
        <v>0</v>
      </c>
      <c r="K45" s="1682"/>
      <c r="L45" s="1682"/>
      <c r="M45" s="1673">
        <f>L45-K45</f>
        <v>0</v>
      </c>
      <c r="N45" s="1682"/>
      <c r="O45" s="1682"/>
      <c r="P45" s="1673">
        <f>O45-N45</f>
        <v>0</v>
      </c>
      <c r="Q45" s="1682"/>
      <c r="R45" s="1682"/>
      <c r="S45" s="1673">
        <f>R45-Q45</f>
        <v>0</v>
      </c>
      <c r="T45" s="1682"/>
      <c r="U45" s="1682"/>
      <c r="V45" s="1673">
        <f>U45-T45</f>
        <v>0</v>
      </c>
      <c r="W45" s="1682"/>
      <c r="X45" s="1682"/>
      <c r="Y45" s="1673">
        <f>X45-W45</f>
        <v>0</v>
      </c>
      <c r="Z45" s="1682"/>
      <c r="AA45" s="1682"/>
      <c r="AB45" s="1673">
        <f>AA45-Z45</f>
        <v>0</v>
      </c>
      <c r="AC45" s="1682"/>
      <c r="AD45" s="1682"/>
      <c r="AE45" s="1673">
        <f>AD45-AC45</f>
        <v>0</v>
      </c>
      <c r="AF45" s="1682"/>
      <c r="AG45" s="1682"/>
      <c r="AH45" s="1673">
        <f>AG45-AF45</f>
        <v>0</v>
      </c>
      <c r="AI45" s="1682"/>
      <c r="AJ45" s="1682"/>
      <c r="AK45" s="1673">
        <f>AJ45-AI45</f>
        <v>0</v>
      </c>
      <c r="AL45" s="1682"/>
      <c r="AM45" s="1682"/>
      <c r="AN45" s="1673">
        <f>AM45-AL45</f>
        <v>0</v>
      </c>
      <c r="AO45" s="1682"/>
      <c r="AP45" s="1682"/>
      <c r="AQ45" s="1767">
        <f>AP45-AO45</f>
        <v>0</v>
      </c>
      <c r="AR45" s="1674">
        <f>SUMIF($H$5:$AQ$5,$AR$5,H45:AQ45)</f>
        <v>0</v>
      </c>
      <c r="AS45" s="1739">
        <f>SUMIF($H$5:$AQ$5,$AS$5,H45:AQ45)</f>
        <v>0</v>
      </c>
      <c r="AT45" s="1700">
        <f>AS45-AR45</f>
        <v>0</v>
      </c>
      <c r="AU45" s="1708">
        <f t="shared" si="24"/>
        <v>0</v>
      </c>
      <c r="AV45" s="1708">
        <f t="shared" si="24"/>
        <v>0</v>
      </c>
      <c r="AW45" s="1708">
        <f>AV45-AU45</f>
        <v>0</v>
      </c>
      <c r="AX45" s="1708">
        <f t="shared" si="25"/>
        <v>0</v>
      </c>
      <c r="AY45" s="1708">
        <f t="shared" si="25"/>
        <v>0</v>
      </c>
      <c r="AZ45" s="1708">
        <f>AY45-AX45</f>
        <v>0</v>
      </c>
      <c r="BA45" s="1708">
        <f t="shared" si="26"/>
        <v>0</v>
      </c>
      <c r="BB45" s="1708">
        <f t="shared" si="26"/>
        <v>0</v>
      </c>
      <c r="BC45" s="1708">
        <f>BB45-BA45</f>
        <v>0</v>
      </c>
      <c r="BD45" s="1708">
        <f t="shared" si="27"/>
        <v>0</v>
      </c>
      <c r="BE45" s="1708">
        <f t="shared" si="27"/>
        <v>0</v>
      </c>
      <c r="BF45" s="1709">
        <f>BE45-BD45</f>
        <v>0</v>
      </c>
      <c r="BG45" s="1688">
        <f t="shared" si="22"/>
        <v>0</v>
      </c>
      <c r="BH45" s="1689">
        <f t="shared" si="23"/>
        <v>0</v>
      </c>
      <c r="BI45" s="1652"/>
      <c r="BJ45" s="527"/>
      <c r="BK45" s="527"/>
      <c r="BL45" s="527"/>
      <c r="BM45" s="527"/>
      <c r="BN45" s="527"/>
    </row>
    <row r="46" spans="1:66" ht="14.25">
      <c r="A46" s="1732" t="s">
        <v>656</v>
      </c>
      <c r="B46" s="1732" t="s">
        <v>656</v>
      </c>
      <c r="C46" s="1733" t="s">
        <v>656</v>
      </c>
      <c r="D46" s="1732" t="s">
        <v>656</v>
      </c>
      <c r="E46" s="1732" t="s">
        <v>656</v>
      </c>
      <c r="F46" s="1732" t="s">
        <v>656</v>
      </c>
      <c r="G46" s="1732" t="s">
        <v>656</v>
      </c>
      <c r="H46" s="1732" t="s">
        <v>656</v>
      </c>
      <c r="I46" s="1732" t="s">
        <v>656</v>
      </c>
      <c r="J46" s="1732" t="s">
        <v>656</v>
      </c>
      <c r="K46" s="1732" t="s">
        <v>656</v>
      </c>
      <c r="L46" s="1732" t="s">
        <v>656</v>
      </c>
      <c r="M46" s="1732" t="s">
        <v>656</v>
      </c>
      <c r="N46" s="1732" t="s">
        <v>656</v>
      </c>
      <c r="O46" s="1732" t="s">
        <v>656</v>
      </c>
      <c r="P46" s="1732" t="s">
        <v>656</v>
      </c>
      <c r="Q46" s="1732" t="s">
        <v>656</v>
      </c>
      <c r="R46" s="1732" t="s">
        <v>656</v>
      </c>
      <c r="S46" s="1732" t="s">
        <v>656</v>
      </c>
      <c r="T46" s="1732" t="s">
        <v>656</v>
      </c>
      <c r="U46" s="1732" t="s">
        <v>656</v>
      </c>
      <c r="V46" s="1732" t="s">
        <v>656</v>
      </c>
      <c r="W46" s="1732" t="s">
        <v>656</v>
      </c>
      <c r="X46" s="1732" t="s">
        <v>656</v>
      </c>
      <c r="Y46" s="1732" t="s">
        <v>656</v>
      </c>
      <c r="Z46" s="1732" t="s">
        <v>656</v>
      </c>
      <c r="AA46" s="1732" t="s">
        <v>656</v>
      </c>
      <c r="AB46" s="1732" t="s">
        <v>656</v>
      </c>
      <c r="AC46" s="1732" t="s">
        <v>656</v>
      </c>
      <c r="AD46" s="1732" t="s">
        <v>656</v>
      </c>
      <c r="AE46" s="1732" t="s">
        <v>656</v>
      </c>
      <c r="AF46" s="1732" t="s">
        <v>656</v>
      </c>
      <c r="AG46" s="1732" t="s">
        <v>656</v>
      </c>
      <c r="AH46" s="1732" t="s">
        <v>656</v>
      </c>
      <c r="AI46" s="1732" t="s">
        <v>656</v>
      </c>
      <c r="AJ46" s="1732" t="s">
        <v>656</v>
      </c>
      <c r="AK46" s="1732" t="s">
        <v>656</v>
      </c>
      <c r="AL46" s="1732" t="s">
        <v>656</v>
      </c>
      <c r="AM46" s="1732" t="s">
        <v>656</v>
      </c>
      <c r="AN46" s="1732" t="s">
        <v>656</v>
      </c>
      <c r="AO46" s="1732" t="s">
        <v>656</v>
      </c>
      <c r="AP46" s="1732" t="s">
        <v>656</v>
      </c>
      <c r="AQ46" s="1732" t="s">
        <v>656</v>
      </c>
      <c r="AR46" s="1732" t="s">
        <v>656</v>
      </c>
      <c r="AS46" s="1732" t="s">
        <v>656</v>
      </c>
      <c r="AT46" s="1732" t="s">
        <v>656</v>
      </c>
      <c r="AU46" s="1732" t="s">
        <v>656</v>
      </c>
      <c r="AV46" s="1732" t="s">
        <v>656</v>
      </c>
      <c r="AW46" s="1732" t="s">
        <v>656</v>
      </c>
      <c r="AX46" s="1732" t="s">
        <v>656</v>
      </c>
      <c r="AY46" s="1732" t="s">
        <v>656</v>
      </c>
      <c r="AZ46" s="1732" t="s">
        <v>656</v>
      </c>
      <c r="BA46" s="1732" t="s">
        <v>656</v>
      </c>
      <c r="BB46" s="1732" t="s">
        <v>656</v>
      </c>
      <c r="BC46" s="1732" t="s">
        <v>656</v>
      </c>
      <c r="BD46" s="1732" t="s">
        <v>656</v>
      </c>
      <c r="BE46" s="1732" t="s">
        <v>656</v>
      </c>
      <c r="BF46" s="1734" t="s">
        <v>656</v>
      </c>
      <c r="BG46" s="1735" t="s">
        <v>656</v>
      </c>
      <c r="BH46" s="1736" t="s">
        <v>656</v>
      </c>
      <c r="BI46" s="1652"/>
      <c r="BJ46" s="527"/>
      <c r="BK46" s="527"/>
      <c r="BL46" s="527"/>
      <c r="BM46" s="527"/>
      <c r="BN46" s="527"/>
    </row>
    <row r="47" spans="1:66" ht="14.25">
      <c r="A47" s="1797" t="s">
        <v>1242</v>
      </c>
      <c r="B47" s="1797" t="s">
        <v>1242</v>
      </c>
      <c r="C47" s="1797" t="s">
        <v>1242</v>
      </c>
      <c r="D47" s="1797" t="s">
        <v>1242</v>
      </c>
      <c r="E47" s="1797" t="s">
        <v>1242</v>
      </c>
      <c r="F47" s="1797" t="s">
        <v>1242</v>
      </c>
      <c r="G47" s="1797" t="s">
        <v>1242</v>
      </c>
      <c r="H47" s="1797" t="s">
        <v>1242</v>
      </c>
      <c r="I47" s="1797" t="s">
        <v>1242</v>
      </c>
      <c r="J47" s="1797" t="s">
        <v>1242</v>
      </c>
      <c r="K47" s="1797" t="s">
        <v>1242</v>
      </c>
      <c r="L47" s="1797" t="s">
        <v>1242</v>
      </c>
      <c r="M47" s="1797" t="s">
        <v>1242</v>
      </c>
      <c r="N47" s="1797" t="s">
        <v>1242</v>
      </c>
      <c r="O47" s="1797" t="s">
        <v>1242</v>
      </c>
      <c r="P47" s="1797" t="s">
        <v>1242</v>
      </c>
      <c r="Q47" s="1797" t="s">
        <v>1242</v>
      </c>
      <c r="R47" s="1797" t="s">
        <v>1242</v>
      </c>
      <c r="S47" s="1797" t="s">
        <v>1242</v>
      </c>
      <c r="T47" s="1797" t="s">
        <v>1242</v>
      </c>
      <c r="U47" s="1797" t="s">
        <v>1242</v>
      </c>
      <c r="V47" s="1797" t="s">
        <v>1242</v>
      </c>
      <c r="W47" s="1797" t="s">
        <v>1242</v>
      </c>
      <c r="X47" s="1797" t="s">
        <v>1242</v>
      </c>
      <c r="Y47" s="1797" t="s">
        <v>1242</v>
      </c>
      <c r="Z47" s="1797" t="s">
        <v>1242</v>
      </c>
      <c r="AA47" s="1797" t="s">
        <v>1242</v>
      </c>
      <c r="AB47" s="1797" t="s">
        <v>1242</v>
      </c>
      <c r="AC47" s="1797" t="s">
        <v>1242</v>
      </c>
      <c r="AD47" s="1797" t="s">
        <v>1242</v>
      </c>
      <c r="AE47" s="1797" t="s">
        <v>1242</v>
      </c>
      <c r="AF47" s="1797" t="s">
        <v>1242</v>
      </c>
      <c r="AG47" s="1797" t="s">
        <v>1242</v>
      </c>
      <c r="AH47" s="1797" t="s">
        <v>1242</v>
      </c>
      <c r="AI47" s="1797" t="s">
        <v>1242</v>
      </c>
      <c r="AJ47" s="1797" t="s">
        <v>1242</v>
      </c>
      <c r="AK47" s="1797" t="s">
        <v>1242</v>
      </c>
      <c r="AL47" s="1797" t="s">
        <v>1242</v>
      </c>
      <c r="AM47" s="1797" t="s">
        <v>1242</v>
      </c>
      <c r="AN47" s="1797" t="s">
        <v>1242</v>
      </c>
      <c r="AO47" s="1797" t="s">
        <v>1242</v>
      </c>
      <c r="AP47" s="1797" t="s">
        <v>1242</v>
      </c>
      <c r="AQ47" s="1797" t="s">
        <v>1242</v>
      </c>
      <c r="AR47" s="1798" t="s">
        <v>1242</v>
      </c>
      <c r="AS47" s="1798" t="s">
        <v>1242</v>
      </c>
      <c r="AT47" s="1798" t="s">
        <v>1242</v>
      </c>
      <c r="AU47" s="1797" t="s">
        <v>1242</v>
      </c>
      <c r="AV47" s="1797" t="s">
        <v>1242</v>
      </c>
      <c r="AW47" s="1797" t="s">
        <v>1242</v>
      </c>
      <c r="AX47" s="1797" t="s">
        <v>1242</v>
      </c>
      <c r="AY47" s="1797" t="s">
        <v>1242</v>
      </c>
      <c r="AZ47" s="1797" t="s">
        <v>1242</v>
      </c>
      <c r="BA47" s="1797" t="s">
        <v>1242</v>
      </c>
      <c r="BB47" s="1797" t="s">
        <v>1242</v>
      </c>
      <c r="BC47" s="1797" t="s">
        <v>1242</v>
      </c>
      <c r="BD47" s="1797" t="s">
        <v>1242</v>
      </c>
      <c r="BE47" s="1797" t="s">
        <v>1242</v>
      </c>
      <c r="BF47" s="1799" t="s">
        <v>1242</v>
      </c>
      <c r="BG47" s="1800" t="s">
        <v>1242</v>
      </c>
      <c r="BH47" s="1801" t="s">
        <v>1242</v>
      </c>
      <c r="BI47" s="1652"/>
      <c r="BJ47" s="527"/>
      <c r="BK47" s="527"/>
      <c r="BL47" s="527"/>
      <c r="BM47" s="527"/>
      <c r="BN47" s="527"/>
    </row>
    <row r="48" spans="1:66" ht="14.25">
      <c r="A48" s="2076" t="s">
        <v>1243</v>
      </c>
      <c r="B48" s="784"/>
      <c r="C48" s="784" t="s">
        <v>1244</v>
      </c>
      <c r="D48" s="1802" t="s">
        <v>1245</v>
      </c>
      <c r="E48" s="1803" t="s">
        <v>637</v>
      </c>
      <c r="F48" s="1803" t="s">
        <v>112</v>
      </c>
      <c r="G48" s="1804" t="s">
        <v>113</v>
      </c>
      <c r="H48" s="1672">
        <f>SUMIF($E$7:$E$45,E48,$H$7:$H$45)</f>
        <v>387.6550701448481</v>
      </c>
      <c r="I48" s="1673">
        <v>0</v>
      </c>
      <c r="J48" s="1805">
        <f>H48-I48</f>
        <v>387.6550701448481</v>
      </c>
      <c r="K48" s="1672">
        <f>SUMIF($E$7:$E$45,E48,$K$7:$K$45)</f>
        <v>351.4429797181147</v>
      </c>
      <c r="L48" s="1673">
        <v>0</v>
      </c>
      <c r="M48" s="1673">
        <f>K48-L48</f>
        <v>351.4429797181147</v>
      </c>
      <c r="N48" s="1672">
        <f>SUMIF($E$7:$E$45,E48,$N$7:$N$45)</f>
        <v>341.41075808082826</v>
      </c>
      <c r="O48" s="1673">
        <v>0</v>
      </c>
      <c r="P48" s="1673">
        <f>N48-O48</f>
        <v>341.41075808082826</v>
      </c>
      <c r="Q48" s="1672">
        <f>SUMIF($E$7:$E$45,E48,$Q$7:$Q$45)</f>
        <v>270.73119713080814</v>
      </c>
      <c r="R48" s="1673">
        <v>0</v>
      </c>
      <c r="S48" s="1673">
        <f>Q48-R48</f>
        <v>270.73119713080814</v>
      </c>
      <c r="T48" s="1672">
        <f>SUMIF($E$7:$E$45,E48,$T$7:$T$45)</f>
        <v>210.1765757465761</v>
      </c>
      <c r="U48" s="1673">
        <v>0</v>
      </c>
      <c r="V48" s="1673">
        <f>T48-U48</f>
        <v>210.1765757465761</v>
      </c>
      <c r="W48" s="1672">
        <f>SUMIF($E$7:$E$45,E48,$W$7:$W$45)</f>
        <v>68.84250706530472</v>
      </c>
      <c r="X48" s="1673">
        <v>0</v>
      </c>
      <c r="Y48" s="1673">
        <f>W48-X48</f>
        <v>68.84250706530472</v>
      </c>
      <c r="Z48" s="1672">
        <f>SUMIF($E$7:$E$45,E48,$Z$7:$Z$45)</f>
        <v>0</v>
      </c>
      <c r="AA48" s="1673">
        <v>0</v>
      </c>
      <c r="AB48" s="1673">
        <f>Z48-AA48</f>
        <v>0</v>
      </c>
      <c r="AC48" s="1672">
        <f>SUMIF($E$7:$E$45,E48,$AC$7:$AC$45)</f>
        <v>0</v>
      </c>
      <c r="AD48" s="1673">
        <v>0</v>
      </c>
      <c r="AE48" s="1673">
        <f>AC48-AD48</f>
        <v>0</v>
      </c>
      <c r="AF48" s="1672">
        <f>SUMIF($E$7:$E$45,E48,$AF$7:$AF$45)</f>
        <v>65.81750030382716</v>
      </c>
      <c r="AG48" s="1673">
        <v>0</v>
      </c>
      <c r="AH48" s="1673">
        <f>AF48-AG48</f>
        <v>65.81750030382716</v>
      </c>
      <c r="AI48" s="1672">
        <f>SUMIF($E$7:$E$45,E48,$AI$7:$AI$45)</f>
        <v>201.42842472822667</v>
      </c>
      <c r="AJ48" s="1673">
        <v>0</v>
      </c>
      <c r="AK48" s="1673">
        <f>AI48-AJ48</f>
        <v>201.42842472822667</v>
      </c>
      <c r="AL48" s="1672">
        <f>SUMIF($E$7:$E$45,E48,$AL$7:$AL$45)</f>
        <v>276.7780320759576</v>
      </c>
      <c r="AM48" s="1673">
        <v>0</v>
      </c>
      <c r="AN48" s="1673">
        <f>AL48-AM48</f>
        <v>276.7780320759576</v>
      </c>
      <c r="AO48" s="1672">
        <f>SUMIF($E$7:$E$45,E48,$AO$7:$AO$45)</f>
        <v>343.9099458124983</v>
      </c>
      <c r="AP48" s="1673">
        <v>0</v>
      </c>
      <c r="AQ48" s="1767">
        <f>AP48-AO48</f>
        <v>-343.9099458124983</v>
      </c>
      <c r="AR48" s="1806">
        <f aca="true" t="shared" si="30" ref="AR48:BH51">AR7+AR27</f>
        <v>2518.1929908069897</v>
      </c>
      <c r="AS48" s="1672">
        <f t="shared" si="30"/>
        <v>0</v>
      </c>
      <c r="AT48" s="1672">
        <f t="shared" si="30"/>
        <v>2518.1929908069897</v>
      </c>
      <c r="AU48" s="1672">
        <f t="shared" si="30"/>
        <v>1080.508807943791</v>
      </c>
      <c r="AV48" s="1672">
        <f t="shared" si="30"/>
        <v>0</v>
      </c>
      <c r="AW48" s="1672">
        <f t="shared" si="30"/>
        <v>1080.508807943791</v>
      </c>
      <c r="AX48" s="1672">
        <f t="shared" si="30"/>
        <v>549.750279942689</v>
      </c>
      <c r="AY48" s="1672">
        <f t="shared" si="30"/>
        <v>0</v>
      </c>
      <c r="AZ48" s="1672">
        <f t="shared" si="30"/>
        <v>549.750279942689</v>
      </c>
      <c r="BA48" s="1672">
        <f t="shared" si="30"/>
        <v>65.81750030382716</v>
      </c>
      <c r="BB48" s="1672">
        <f t="shared" si="30"/>
        <v>0</v>
      </c>
      <c r="BC48" s="1672">
        <f t="shared" si="30"/>
        <v>65.81750030382716</v>
      </c>
      <c r="BD48" s="1672">
        <f t="shared" si="30"/>
        <v>822.1164026166825</v>
      </c>
      <c r="BE48" s="1672">
        <f t="shared" si="30"/>
        <v>0</v>
      </c>
      <c r="BF48" s="1807">
        <f t="shared" si="30"/>
        <v>822.1164026166825</v>
      </c>
      <c r="BG48" s="1678">
        <f t="shared" si="30"/>
        <v>1630.2590878864798</v>
      </c>
      <c r="BH48" s="1679">
        <f t="shared" si="30"/>
        <v>887.9339029205096</v>
      </c>
      <c r="BI48" s="1652"/>
      <c r="BJ48" s="527"/>
      <c r="BK48" s="527"/>
      <c r="BL48" s="527"/>
      <c r="BM48" s="527"/>
      <c r="BN48" s="527"/>
    </row>
    <row r="49" spans="1:66" ht="14.25">
      <c r="A49" s="2077"/>
      <c r="B49" s="784"/>
      <c r="C49" s="784" t="s">
        <v>1244</v>
      </c>
      <c r="D49" s="1802" t="s">
        <v>1245</v>
      </c>
      <c r="E49" s="1670" t="s">
        <v>639</v>
      </c>
      <c r="F49" s="1670" t="s">
        <v>112</v>
      </c>
      <c r="G49" s="1671" t="s">
        <v>816</v>
      </c>
      <c r="H49" s="1672">
        <f>SUMIF($E$7:$E$45,E49,$H$7:$H$45)</f>
        <v>3.8765507014484806</v>
      </c>
      <c r="I49" s="1673">
        <v>0</v>
      </c>
      <c r="J49" s="1805">
        <f>H49-I49</f>
        <v>3.8765507014484806</v>
      </c>
      <c r="K49" s="1672">
        <f>SUMIF($E$7:$E$45,E49,$K$7:$K$45)</f>
        <v>3.5144297971811476</v>
      </c>
      <c r="L49" s="1673">
        <v>0</v>
      </c>
      <c r="M49" s="1673">
        <f>K49-L49</f>
        <v>3.5144297971811476</v>
      </c>
      <c r="N49" s="1672">
        <f>SUMIF($E$7:$E$45,E49,$N$7:$N$45)</f>
        <v>3.414107580808283</v>
      </c>
      <c r="O49" s="1673">
        <v>0</v>
      </c>
      <c r="P49" s="1673">
        <f>N49-O49</f>
        <v>3.414107580808283</v>
      </c>
      <c r="Q49" s="1672">
        <f>SUMIF($E$7:$E$45,E49,$Q$7:$Q$45)</f>
        <v>2.707311971308081</v>
      </c>
      <c r="R49" s="1673">
        <v>0</v>
      </c>
      <c r="S49" s="1673">
        <f>Q49-R49</f>
        <v>2.707311971308081</v>
      </c>
      <c r="T49" s="1672">
        <f>SUMIF($E$7:$E$45,E49,$T$7:$T$45)</f>
        <v>2.101765757465761</v>
      </c>
      <c r="U49" s="1673">
        <v>0</v>
      </c>
      <c r="V49" s="1673">
        <f>T49-U49</f>
        <v>2.101765757465761</v>
      </c>
      <c r="W49" s="1672">
        <f>SUMIF($E$7:$E$45,E49,$W$7:$W$45)</f>
        <v>0.6884250706530471</v>
      </c>
      <c r="X49" s="1673">
        <v>0</v>
      </c>
      <c r="Y49" s="1673">
        <f>W49-X49</f>
        <v>0.6884250706530471</v>
      </c>
      <c r="Z49" s="1672">
        <f>SUMIF($E$7:$E$45,E49,$Z$7:$Z$45)</f>
        <v>0</v>
      </c>
      <c r="AA49" s="1673">
        <v>0</v>
      </c>
      <c r="AB49" s="1673">
        <f>Z49-AA49</f>
        <v>0</v>
      </c>
      <c r="AC49" s="1672">
        <f>SUMIF($E$7:$E$45,E49,$AC$7:$AC$45)</f>
        <v>0</v>
      </c>
      <c r="AD49" s="1673">
        <v>0</v>
      </c>
      <c r="AE49" s="1673">
        <f>AC49-AD49</f>
        <v>0</v>
      </c>
      <c r="AF49" s="1672">
        <f>SUMIF($E$7:$E$45,E49,$AF$7:$AF$45)</f>
        <v>0.6581750030382716</v>
      </c>
      <c r="AG49" s="1673">
        <v>0</v>
      </c>
      <c r="AH49" s="1673">
        <f>AF49-AG49</f>
        <v>0.6581750030382716</v>
      </c>
      <c r="AI49" s="1672">
        <f>SUMIF($E$7:$E$45,E49,$AI$7:$AI$45)</f>
        <v>2.014284247282267</v>
      </c>
      <c r="AJ49" s="1673">
        <v>0</v>
      </c>
      <c r="AK49" s="1673">
        <f>AI49-AJ49</f>
        <v>2.014284247282267</v>
      </c>
      <c r="AL49" s="1672">
        <f>SUMIF($E$7:$E$45,E49,$AL$7:$AL$45)</f>
        <v>2.7677803207595755</v>
      </c>
      <c r="AM49" s="1673">
        <v>0</v>
      </c>
      <c r="AN49" s="1673">
        <f>AL49-AM49</f>
        <v>2.7677803207595755</v>
      </c>
      <c r="AO49" s="1672">
        <f>SUMIF($E$7:$E$45,E49,$AO$7:$AO$45)</f>
        <v>3.439099458124983</v>
      </c>
      <c r="AP49" s="1673">
        <v>0</v>
      </c>
      <c r="AQ49" s="1767">
        <f>AP49-AO49</f>
        <v>-3.439099458124983</v>
      </c>
      <c r="AR49" s="1806">
        <f t="shared" si="30"/>
        <v>25.181929908069897</v>
      </c>
      <c r="AS49" s="1672">
        <f t="shared" si="30"/>
        <v>0</v>
      </c>
      <c r="AT49" s="1672">
        <f t="shared" si="30"/>
        <v>25.181929908069897</v>
      </c>
      <c r="AU49" s="1672">
        <f t="shared" si="30"/>
        <v>10.80508807943791</v>
      </c>
      <c r="AV49" s="1672">
        <f t="shared" si="30"/>
        <v>0</v>
      </c>
      <c r="AW49" s="1672">
        <f t="shared" si="30"/>
        <v>10.80508807943791</v>
      </c>
      <c r="AX49" s="1672">
        <f t="shared" si="30"/>
        <v>5.497502799426889</v>
      </c>
      <c r="AY49" s="1672">
        <f t="shared" si="30"/>
        <v>0</v>
      </c>
      <c r="AZ49" s="1672">
        <f t="shared" si="30"/>
        <v>5.497502799426889</v>
      </c>
      <c r="BA49" s="1672">
        <f t="shared" si="30"/>
        <v>0.6581750030382716</v>
      </c>
      <c r="BB49" s="1672">
        <f t="shared" si="30"/>
        <v>0</v>
      </c>
      <c r="BC49" s="1672">
        <f t="shared" si="30"/>
        <v>0.6581750030382716</v>
      </c>
      <c r="BD49" s="1672">
        <f t="shared" si="30"/>
        <v>8.221164026166827</v>
      </c>
      <c r="BE49" s="1672">
        <f t="shared" si="30"/>
        <v>0</v>
      </c>
      <c r="BF49" s="1807">
        <f t="shared" si="30"/>
        <v>8.221164026166827</v>
      </c>
      <c r="BG49" s="1678">
        <f t="shared" si="30"/>
        <v>16.302590878864798</v>
      </c>
      <c r="BH49" s="1679">
        <f t="shared" si="30"/>
        <v>8.879339029205099</v>
      </c>
      <c r="BI49" s="1652"/>
      <c r="BJ49" s="527"/>
      <c r="BK49" s="527"/>
      <c r="BL49" s="527"/>
      <c r="BM49" s="527"/>
      <c r="BN49" s="527"/>
    </row>
    <row r="50" spans="1:66" ht="14.25">
      <c r="A50" s="2077"/>
      <c r="B50" s="784"/>
      <c r="C50" s="784" t="s">
        <v>1244</v>
      </c>
      <c r="D50" s="1802" t="s">
        <v>1245</v>
      </c>
      <c r="E50" s="1670" t="s">
        <v>640</v>
      </c>
      <c r="F50" s="1670" t="s">
        <v>112</v>
      </c>
      <c r="G50" s="1671" t="s">
        <v>817</v>
      </c>
      <c r="H50" s="1672">
        <f>SUMIF($E$7:$E$45,E50,$H$7:$H$45)</f>
        <v>383.77851944339955</v>
      </c>
      <c r="I50" s="1673">
        <v>0</v>
      </c>
      <c r="J50" s="1805">
        <f>H50-I50</f>
        <v>383.77851944339955</v>
      </c>
      <c r="K50" s="1672">
        <f>SUMIF($E$7:$E$45,E50,$K$7:$K$45)</f>
        <v>347.92854992093356</v>
      </c>
      <c r="L50" s="1673">
        <v>0</v>
      </c>
      <c r="M50" s="1673">
        <f>K50-L50</f>
        <v>347.92854992093356</v>
      </c>
      <c r="N50" s="1672">
        <f>SUMIF($E$7:$E$45,E50,$N$7:$N$45)</f>
        <v>337.99665050001994</v>
      </c>
      <c r="O50" s="1673">
        <v>0</v>
      </c>
      <c r="P50" s="1673">
        <f>N50-O50</f>
        <v>337.99665050001994</v>
      </c>
      <c r="Q50" s="1672">
        <f>SUMIF($E$7:$E$45,E50,$Q$7:$Q$45)</f>
        <v>268.0238851595</v>
      </c>
      <c r="R50" s="1673">
        <v>0</v>
      </c>
      <c r="S50" s="1673">
        <f>Q50-R50</f>
        <v>268.0238851595</v>
      </c>
      <c r="T50" s="1672">
        <f>SUMIF($E$7:$E$45,E50,$T$7:$T$45)</f>
        <v>208.07480998911035</v>
      </c>
      <c r="U50" s="1673">
        <v>0</v>
      </c>
      <c r="V50" s="1673">
        <f>T50-U50</f>
        <v>208.07480998911035</v>
      </c>
      <c r="W50" s="1672">
        <f>SUMIF($E$7:$E$45,E50,$W$7:$W$45)</f>
        <v>68.15408199465166</v>
      </c>
      <c r="X50" s="1673">
        <v>0</v>
      </c>
      <c r="Y50" s="1673">
        <f>W50-X50</f>
        <v>68.15408199465166</v>
      </c>
      <c r="Z50" s="1672">
        <f>SUMIF($E$7:$E$45,E50,$Z$7:$Z$45)</f>
        <v>0</v>
      </c>
      <c r="AA50" s="1673">
        <v>0</v>
      </c>
      <c r="AB50" s="1673">
        <f>Z50-AA50</f>
        <v>0</v>
      </c>
      <c r="AC50" s="1672">
        <f>SUMIF($E$7:$E$45,E50,$AC$7:$AC$45)</f>
        <v>0</v>
      </c>
      <c r="AD50" s="1673">
        <v>0</v>
      </c>
      <c r="AE50" s="1673">
        <f>AC50-AD50</f>
        <v>0</v>
      </c>
      <c r="AF50" s="1672">
        <f>SUMIF($E$7:$E$45,E50,$AF$7:$AF$45)</f>
        <v>65.15932530078888</v>
      </c>
      <c r="AG50" s="1673">
        <v>0</v>
      </c>
      <c r="AH50" s="1673">
        <f>AF50-AG50</f>
        <v>65.15932530078888</v>
      </c>
      <c r="AI50" s="1672">
        <f>SUMIF($E$7:$E$45,E50,$AI$7:$AI$45)</f>
        <v>199.4141404809444</v>
      </c>
      <c r="AJ50" s="1673">
        <v>0</v>
      </c>
      <c r="AK50" s="1673">
        <f>AI50-AJ50</f>
        <v>199.4141404809444</v>
      </c>
      <c r="AL50" s="1672">
        <f>SUMIF($E$7:$E$45,E50,$AL$7:$AL$45)</f>
        <v>274.010251755198</v>
      </c>
      <c r="AM50" s="1673">
        <v>0</v>
      </c>
      <c r="AN50" s="1673">
        <f>AL50-AM50</f>
        <v>274.010251755198</v>
      </c>
      <c r="AO50" s="1808">
        <f>SUMIF($E$7:$E$45,E50,$AO$7:$AO$45)</f>
        <v>340.4708463543733</v>
      </c>
      <c r="AP50" s="1673">
        <v>0</v>
      </c>
      <c r="AQ50" s="1767">
        <f>AP50-AO50</f>
        <v>-340.4708463543733</v>
      </c>
      <c r="AR50" s="1806">
        <f t="shared" si="30"/>
        <v>2493.01106089892</v>
      </c>
      <c r="AS50" s="1672">
        <f t="shared" si="30"/>
        <v>0</v>
      </c>
      <c r="AT50" s="1672">
        <f t="shared" si="30"/>
        <v>2493.01106089892</v>
      </c>
      <c r="AU50" s="1672">
        <f t="shared" si="30"/>
        <v>1069.703719864353</v>
      </c>
      <c r="AV50" s="1672">
        <f t="shared" si="30"/>
        <v>0</v>
      </c>
      <c r="AW50" s="1672">
        <f t="shared" si="30"/>
        <v>1069.703719864353</v>
      </c>
      <c r="AX50" s="1672">
        <f t="shared" si="30"/>
        <v>544.252777143262</v>
      </c>
      <c r="AY50" s="1672">
        <f t="shared" si="30"/>
        <v>0</v>
      </c>
      <c r="AZ50" s="1672">
        <f t="shared" si="30"/>
        <v>544.252777143262</v>
      </c>
      <c r="BA50" s="1672">
        <f t="shared" si="30"/>
        <v>65.15932530078888</v>
      </c>
      <c r="BB50" s="1672">
        <f t="shared" si="30"/>
        <v>0</v>
      </c>
      <c r="BC50" s="1672">
        <f t="shared" si="30"/>
        <v>65.15932530078888</v>
      </c>
      <c r="BD50" s="1672">
        <f t="shared" si="30"/>
        <v>813.8952385905156</v>
      </c>
      <c r="BE50" s="1672">
        <f t="shared" si="30"/>
        <v>0</v>
      </c>
      <c r="BF50" s="1807">
        <f t="shared" si="30"/>
        <v>813.8952385905156</v>
      </c>
      <c r="BG50" s="1678">
        <f t="shared" si="30"/>
        <v>1613.956497007615</v>
      </c>
      <c r="BH50" s="1679">
        <f t="shared" si="30"/>
        <v>879.0545638913046</v>
      </c>
      <c r="BI50" s="1652"/>
      <c r="BJ50" s="527"/>
      <c r="BK50" s="527"/>
      <c r="BL50" s="527"/>
      <c r="BM50" s="527"/>
      <c r="BN50" s="527"/>
    </row>
    <row r="51" spans="1:66" ht="14.25">
      <c r="A51" s="2077"/>
      <c r="B51" s="784"/>
      <c r="C51" s="784" t="s">
        <v>1244</v>
      </c>
      <c r="D51" s="1802" t="s">
        <v>1245</v>
      </c>
      <c r="E51" s="1670" t="s">
        <v>641</v>
      </c>
      <c r="F51" s="1670" t="s">
        <v>112</v>
      </c>
      <c r="G51" s="1671" t="s">
        <v>1223</v>
      </c>
      <c r="H51" s="1672">
        <f>SUMIF($E$7:$E$45,E51,$H$7:$H$45)</f>
        <v>24.48651944339956</v>
      </c>
      <c r="I51" s="1673">
        <v>0</v>
      </c>
      <c r="J51" s="1805">
        <f>H51-I51</f>
        <v>24.48651944339956</v>
      </c>
      <c r="K51" s="1672">
        <f>SUMIF($E$7:$E$45,E51,$K$7:$K$45)</f>
        <v>22.26954992093357</v>
      </c>
      <c r="L51" s="1673">
        <v>0</v>
      </c>
      <c r="M51" s="1673">
        <f>K51-L51</f>
        <v>22.26954992093357</v>
      </c>
      <c r="N51" s="1672">
        <f>SUMIF($E$7:$E$45,E51,$N$7:$N$45)</f>
        <v>21.707650500019952</v>
      </c>
      <c r="O51" s="1673">
        <v>0</v>
      </c>
      <c r="P51" s="1673">
        <f>N51-O51</f>
        <v>21.707650500019952</v>
      </c>
      <c r="Q51" s="1672">
        <f>SUMIF($E$7:$E$45,E51,$Q$7:$Q$45)</f>
        <v>17.446885159500034</v>
      </c>
      <c r="R51" s="1673">
        <v>0</v>
      </c>
      <c r="S51" s="1673">
        <f>Q51-R51</f>
        <v>17.446885159500034</v>
      </c>
      <c r="T51" s="1672">
        <f>SUMIF($E$7:$E$45,E51,$T$7:$T$45)</f>
        <v>13.821809989110323</v>
      </c>
      <c r="U51" s="1673">
        <v>0</v>
      </c>
      <c r="V51" s="1673">
        <f>T51-U51</f>
        <v>13.821809989110323</v>
      </c>
      <c r="W51" s="1672">
        <f>SUMIF($E$7:$E$45,E51,$W$7:$W$45)</f>
        <v>4.726081994651658</v>
      </c>
      <c r="X51" s="1673">
        <v>0</v>
      </c>
      <c r="Y51" s="1673">
        <f>W51-X51</f>
        <v>4.726081994651658</v>
      </c>
      <c r="Z51" s="1672">
        <f>SUMIF($E$7:$E$45,E51,$Z$7:$Z$45)</f>
        <v>0</v>
      </c>
      <c r="AA51" s="1673">
        <v>0</v>
      </c>
      <c r="AB51" s="1673">
        <f>Z51-AA51</f>
        <v>0</v>
      </c>
      <c r="AC51" s="1672">
        <f>SUMIF($E$7:$E$45,E51,$AC$7:$AC$45)</f>
        <v>0</v>
      </c>
      <c r="AD51" s="1673">
        <v>0</v>
      </c>
      <c r="AE51" s="1673">
        <f>AC51-AD51</f>
        <v>0</v>
      </c>
      <c r="AF51" s="1672">
        <f>SUMIF($E$7:$E$45,E51,$AF$7:$AF$45)</f>
        <v>4.54432530078888</v>
      </c>
      <c r="AG51" s="1673">
        <v>0</v>
      </c>
      <c r="AH51" s="1673">
        <f>AF51-AG51</f>
        <v>4.54432530078888</v>
      </c>
      <c r="AI51" s="1672">
        <f>SUMIF($E$7:$E$45,E51,$AI$7:$AI$45)</f>
        <v>13.296140480944432</v>
      </c>
      <c r="AJ51" s="1673">
        <v>0</v>
      </c>
      <c r="AK51" s="1673">
        <f>AI51-AJ51</f>
        <v>13.296140480944432</v>
      </c>
      <c r="AL51" s="1672">
        <f>SUMIF($E$7:$E$45,E51,$AL$7:$AL$45)</f>
        <v>17.81025175519797</v>
      </c>
      <c r="AM51" s="1673">
        <v>0</v>
      </c>
      <c r="AN51" s="1673">
        <f>AL51-AM51</f>
        <v>17.81025175519797</v>
      </c>
      <c r="AO51" s="1808">
        <f>SUMIF($E$7:$E$45,E51,$AO$7:$AO$45)</f>
        <v>21.857846354373287</v>
      </c>
      <c r="AP51" s="1673">
        <v>0</v>
      </c>
      <c r="AQ51" s="1767">
        <f>AP51-AO51</f>
        <v>-21.857846354373287</v>
      </c>
      <c r="AR51" s="1806">
        <f t="shared" si="30"/>
        <v>161.96706089891967</v>
      </c>
      <c r="AS51" s="1672">
        <f t="shared" si="30"/>
        <v>0</v>
      </c>
      <c r="AT51" s="1672">
        <f t="shared" si="30"/>
        <v>161.96706089891967</v>
      </c>
      <c r="AU51" s="1672">
        <f t="shared" si="30"/>
        <v>68.46371986435308</v>
      </c>
      <c r="AV51" s="1672">
        <f t="shared" si="30"/>
        <v>0</v>
      </c>
      <c r="AW51" s="1672">
        <f t="shared" si="30"/>
        <v>68.46371986435308</v>
      </c>
      <c r="AX51" s="1672">
        <f t="shared" si="30"/>
        <v>35.99477714326201</v>
      </c>
      <c r="AY51" s="1672">
        <f t="shared" si="30"/>
        <v>0</v>
      </c>
      <c r="AZ51" s="1672">
        <f t="shared" si="30"/>
        <v>35.99477714326201</v>
      </c>
      <c r="BA51" s="1672">
        <f t="shared" si="30"/>
        <v>4.54432530078888</v>
      </c>
      <c r="BB51" s="1672">
        <f t="shared" si="30"/>
        <v>0</v>
      </c>
      <c r="BC51" s="1672">
        <f t="shared" si="30"/>
        <v>4.54432530078888</v>
      </c>
      <c r="BD51" s="1672">
        <f t="shared" si="30"/>
        <v>52.96423859051569</v>
      </c>
      <c r="BE51" s="1672">
        <f t="shared" si="30"/>
        <v>0</v>
      </c>
      <c r="BF51" s="1807">
        <f t="shared" si="30"/>
        <v>52.96423859051569</v>
      </c>
      <c r="BG51" s="1678">
        <f t="shared" si="30"/>
        <v>104.4584970076151</v>
      </c>
      <c r="BH51" s="1679">
        <f t="shared" si="30"/>
        <v>57.508563891304576</v>
      </c>
      <c r="BI51" s="1652"/>
      <c r="BJ51" s="527"/>
      <c r="BK51" s="527"/>
      <c r="BL51" s="527"/>
      <c r="BM51" s="527"/>
      <c r="BN51" s="527"/>
    </row>
    <row r="52" spans="1:66" ht="14.25">
      <c r="A52" s="2077"/>
      <c r="B52" s="784"/>
      <c r="C52" s="784" t="s">
        <v>1244</v>
      </c>
      <c r="D52" s="1802" t="s">
        <v>1245</v>
      </c>
      <c r="E52" s="1670" t="s">
        <v>642</v>
      </c>
      <c r="F52" s="1670" t="s">
        <v>112</v>
      </c>
      <c r="G52" s="1671" t="s">
        <v>1224</v>
      </c>
      <c r="H52" s="1691">
        <f>IF(H50&gt;0,ROUND(H51/H50,3),0%)</f>
        <v>0.064</v>
      </c>
      <c r="I52" s="1691">
        <f>IF(I50&gt;0,ROUND(I51/I50,3),0%)</f>
        <v>0</v>
      </c>
      <c r="J52" s="1809">
        <f>I52-H52</f>
        <v>-0.064</v>
      </c>
      <c r="K52" s="1691">
        <f>IF(K50&gt;0,ROUND(K51/K50,3),0%)</f>
        <v>0.064</v>
      </c>
      <c r="L52" s="1691">
        <f>IF(L50&gt;0,ROUND(L51/L50,3),0%)</f>
        <v>0</v>
      </c>
      <c r="M52" s="1691">
        <f>L52-K52</f>
        <v>-0.064</v>
      </c>
      <c r="N52" s="1691">
        <f>IF(N50&gt;0,ROUND(N51/N50,3),0%)</f>
        <v>0.064</v>
      </c>
      <c r="O52" s="1691">
        <f>IF(O50&gt;0,ROUND(O51/O50,3),0%)</f>
        <v>0</v>
      </c>
      <c r="P52" s="1691">
        <f>O52-N52</f>
        <v>-0.064</v>
      </c>
      <c r="Q52" s="1691">
        <f>IF(Q50&gt;0,ROUND(Q51/Q50,3),0%)</f>
        <v>0.065</v>
      </c>
      <c r="R52" s="1691">
        <f>IF(R50&gt;0,ROUND(R51/R50,3),0%)</f>
        <v>0</v>
      </c>
      <c r="S52" s="1691">
        <f>R52-Q52</f>
        <v>-0.065</v>
      </c>
      <c r="T52" s="1691">
        <f>IF(T50&gt;0,ROUND(T51/T50,3),0%)</f>
        <v>0.066</v>
      </c>
      <c r="U52" s="1691">
        <f>IF(U50&gt;0,ROUND(U51/U50,3),0%)</f>
        <v>0</v>
      </c>
      <c r="V52" s="1691">
        <f>U52-T52</f>
        <v>-0.066</v>
      </c>
      <c r="W52" s="1691">
        <f>IF(W50&gt;0,ROUND(W51/W50,3),0%)</f>
        <v>0.069</v>
      </c>
      <c r="X52" s="1691">
        <f>IF(X50&gt;0,ROUND(X51/X50,3),0%)</f>
        <v>0</v>
      </c>
      <c r="Y52" s="1691">
        <f>X52-W52</f>
        <v>-0.069</v>
      </c>
      <c r="Z52" s="1691">
        <f>IF(Z50&gt;0,ROUND(Z51/Z50,3),0%)</f>
        <v>0</v>
      </c>
      <c r="AA52" s="1691">
        <f>IF(AA50&gt;0,ROUND(AA51/AA50,3),0%)</f>
        <v>0</v>
      </c>
      <c r="AB52" s="1691">
        <f>AA52-Z52</f>
        <v>0</v>
      </c>
      <c r="AC52" s="1691">
        <f>IF(AC50&gt;0,ROUND(AC51/AC50,3),0%)</f>
        <v>0</v>
      </c>
      <c r="AD52" s="1691">
        <f>IF(AD50&gt;0,ROUND(AD51/AD50,3),0%)</f>
        <v>0</v>
      </c>
      <c r="AE52" s="1691">
        <f>AD52-AC52</f>
        <v>0</v>
      </c>
      <c r="AF52" s="1691">
        <f>IF(AF50&gt;0,ROUND(AF51/AF50,3),0%)</f>
        <v>0.07</v>
      </c>
      <c r="AG52" s="1691">
        <f>IF(AG50&gt;0,ROUND(AG51/AG50,3),0%)</f>
        <v>0</v>
      </c>
      <c r="AH52" s="1691">
        <f>AG52-AF52</f>
        <v>-0.07</v>
      </c>
      <c r="AI52" s="1691">
        <f>IF(AI50&gt;0,ROUND(AI51/AI50,3),0%)</f>
        <v>0.067</v>
      </c>
      <c r="AJ52" s="1691">
        <f>IF(AJ50&gt;0,ROUND(AJ51/AJ50,3),0%)</f>
        <v>0</v>
      </c>
      <c r="AK52" s="1691">
        <f>AJ52-AI52</f>
        <v>-0.067</v>
      </c>
      <c r="AL52" s="1691">
        <f>IF(AL50&gt;0,ROUND(AL51/AL50,3),0%)</f>
        <v>0.065</v>
      </c>
      <c r="AM52" s="1691">
        <f>IF(AM50&gt;0,ROUND(AM51/AM50,3),0%)</f>
        <v>0</v>
      </c>
      <c r="AN52" s="1691">
        <f>AM52-AL52</f>
        <v>-0.065</v>
      </c>
      <c r="AO52" s="1691">
        <f>IF(AO50&gt;0,ROUND(AO51/AO50,3),0%)</f>
        <v>0.064</v>
      </c>
      <c r="AP52" s="1691">
        <f>IF(AP50&gt;0,ROUND(AP51/AP50,3),0%)</f>
        <v>0</v>
      </c>
      <c r="AQ52" s="1691">
        <f>AP52-AO52</f>
        <v>-0.064</v>
      </c>
      <c r="AR52" s="1694">
        <f>IF(AR50&gt;0,ROUND(AR51/AR50,3),0%)</f>
        <v>0.065</v>
      </c>
      <c r="AS52" s="1692">
        <v>0</v>
      </c>
      <c r="AT52" s="1692">
        <f>AS52-AR52</f>
        <v>-0.065</v>
      </c>
      <c r="AU52" s="1691">
        <f>IF(AU50&gt;0,ROUND(AU51/AU50,3),0%)</f>
        <v>0.064</v>
      </c>
      <c r="AV52" s="1691">
        <f>IF(AV50&gt;0,ROUND(AV51/AV50,3),0%)</f>
        <v>0</v>
      </c>
      <c r="AW52" s="1691">
        <f>AV52-AU52</f>
        <v>-0.064</v>
      </c>
      <c r="AX52" s="1691">
        <f>IF(AX50&gt;0,ROUND(AX51/AX50,3),0%)</f>
        <v>0.066</v>
      </c>
      <c r="AY52" s="1691">
        <f>IF(AY50&gt;0,ROUND(AY51/AY50,3),0%)</f>
        <v>0</v>
      </c>
      <c r="AZ52" s="1691">
        <f>AY52-AX52</f>
        <v>-0.066</v>
      </c>
      <c r="BA52" s="1691">
        <f>IF(BA50&gt;0,ROUND(BA51/BA50,3),0%)</f>
        <v>0.07</v>
      </c>
      <c r="BB52" s="1691">
        <f>IF(BB50&gt;0,ROUND(BB51/BB50,3),0%)</f>
        <v>0</v>
      </c>
      <c r="BC52" s="1691">
        <f>BB52-BA52</f>
        <v>-0.07</v>
      </c>
      <c r="BD52" s="1691">
        <f>IF(BD50&gt;0,ROUND(BD51/BD50,3),0%)</f>
        <v>0.065</v>
      </c>
      <c r="BE52" s="1691">
        <f>IF(BE50&gt;0,ROUND(BE51/BE50,3),0%)</f>
        <v>0</v>
      </c>
      <c r="BF52" s="1810">
        <f>IF(BF50&gt;0,ROUND(BF51/BF50,3),0%)</f>
        <v>0.065</v>
      </c>
      <c r="BG52" s="1740">
        <f>IF(BG50&gt;0,ROUND(BG51/BG50,3),0%)</f>
        <v>0.065</v>
      </c>
      <c r="BH52" s="1741">
        <f>IF(BH50&gt;0,ROUND(BH51/BH50,3),0%)</f>
        <v>0.065</v>
      </c>
      <c r="BI52" s="1652"/>
      <c r="BJ52" s="527"/>
      <c r="BK52" s="527"/>
      <c r="BL52" s="527"/>
      <c r="BM52" s="527"/>
      <c r="BN52" s="527"/>
    </row>
    <row r="53" spans="1:66" ht="14.25">
      <c r="A53" s="2077"/>
      <c r="B53" s="784"/>
      <c r="C53" s="784" t="s">
        <v>1244</v>
      </c>
      <c r="D53" s="1802" t="s">
        <v>1245</v>
      </c>
      <c r="E53" s="1670" t="s">
        <v>643</v>
      </c>
      <c r="F53" s="1670" t="s">
        <v>112</v>
      </c>
      <c r="G53" s="1671" t="s">
        <v>1225</v>
      </c>
      <c r="H53" s="1672">
        <f aca="true" t="shared" si="31" ref="H53:BH57">H12+H32</f>
        <v>359.29200000000003</v>
      </c>
      <c r="I53" s="1672">
        <f t="shared" si="31"/>
        <v>0</v>
      </c>
      <c r="J53" s="1805">
        <f>H53-I53</f>
        <v>359.29200000000003</v>
      </c>
      <c r="K53" s="1672">
        <f t="shared" si="31"/>
        <v>325.659</v>
      </c>
      <c r="L53" s="1672">
        <f t="shared" si="31"/>
        <v>0</v>
      </c>
      <c r="M53" s="1672">
        <f t="shared" si="31"/>
        <v>-325.659</v>
      </c>
      <c r="N53" s="1672">
        <f t="shared" si="31"/>
        <v>316.289</v>
      </c>
      <c r="O53" s="1672">
        <f t="shared" si="31"/>
        <v>0</v>
      </c>
      <c r="P53" s="1672">
        <f t="shared" si="31"/>
        <v>-316.289</v>
      </c>
      <c r="Q53" s="1672">
        <f t="shared" si="31"/>
        <v>250.577</v>
      </c>
      <c r="R53" s="1672">
        <f t="shared" si="31"/>
        <v>0</v>
      </c>
      <c r="S53" s="1672">
        <f t="shared" si="31"/>
        <v>-250.577</v>
      </c>
      <c r="T53" s="1672">
        <f t="shared" si="31"/>
        <v>194.253</v>
      </c>
      <c r="U53" s="1672">
        <f t="shared" si="31"/>
        <v>0</v>
      </c>
      <c r="V53" s="1672">
        <f t="shared" si="31"/>
        <v>-194.253</v>
      </c>
      <c r="W53" s="1672">
        <f t="shared" si="31"/>
        <v>63.428</v>
      </c>
      <c r="X53" s="1672">
        <f t="shared" si="31"/>
        <v>0</v>
      </c>
      <c r="Y53" s="1672">
        <f t="shared" si="31"/>
        <v>-63.428</v>
      </c>
      <c r="Z53" s="1672">
        <f t="shared" si="31"/>
        <v>0</v>
      </c>
      <c r="AA53" s="1672">
        <f t="shared" si="31"/>
        <v>0</v>
      </c>
      <c r="AB53" s="1672">
        <f t="shared" si="31"/>
        <v>0</v>
      </c>
      <c r="AC53" s="1672">
        <f t="shared" si="31"/>
        <v>0</v>
      </c>
      <c r="AD53" s="1672">
        <f t="shared" si="31"/>
        <v>0</v>
      </c>
      <c r="AE53" s="1672">
        <f t="shared" si="31"/>
        <v>0</v>
      </c>
      <c r="AF53" s="1672">
        <f t="shared" si="31"/>
        <v>60.615</v>
      </c>
      <c r="AG53" s="1672">
        <f t="shared" si="31"/>
        <v>0</v>
      </c>
      <c r="AH53" s="1672">
        <f t="shared" si="31"/>
        <v>-60.615</v>
      </c>
      <c r="AI53" s="1672">
        <f t="shared" si="31"/>
        <v>186.118</v>
      </c>
      <c r="AJ53" s="1672">
        <f t="shared" si="31"/>
        <v>0</v>
      </c>
      <c r="AK53" s="1672">
        <f t="shared" si="31"/>
        <v>-186.118</v>
      </c>
      <c r="AL53" s="1672">
        <f t="shared" si="31"/>
        <v>256.2</v>
      </c>
      <c r="AM53" s="1672">
        <f t="shared" si="31"/>
        <v>0</v>
      </c>
      <c r="AN53" s="1672">
        <f t="shared" si="31"/>
        <v>-256.2</v>
      </c>
      <c r="AO53" s="1672">
        <f t="shared" si="31"/>
        <v>318.613</v>
      </c>
      <c r="AP53" s="1672">
        <f t="shared" si="31"/>
        <v>0</v>
      </c>
      <c r="AQ53" s="1672">
        <f t="shared" si="31"/>
        <v>-318.613</v>
      </c>
      <c r="AR53" s="1806">
        <f t="shared" si="31"/>
        <v>2331.044</v>
      </c>
      <c r="AS53" s="1672">
        <f t="shared" si="31"/>
        <v>0</v>
      </c>
      <c r="AT53" s="1672">
        <f t="shared" si="31"/>
        <v>2331.044</v>
      </c>
      <c r="AU53" s="1672">
        <f t="shared" si="31"/>
        <v>1001.2399999999999</v>
      </c>
      <c r="AV53" s="1672">
        <f t="shared" si="31"/>
        <v>0</v>
      </c>
      <c r="AW53" s="1672">
        <f t="shared" si="31"/>
        <v>1001.2399999999999</v>
      </c>
      <c r="AX53" s="1672">
        <f t="shared" si="31"/>
        <v>508.2579999999999</v>
      </c>
      <c r="AY53" s="1672">
        <f t="shared" si="31"/>
        <v>0</v>
      </c>
      <c r="AZ53" s="1672">
        <f t="shared" si="31"/>
        <v>508.2579999999999</v>
      </c>
      <c r="BA53" s="1672">
        <f t="shared" si="31"/>
        <v>60.615</v>
      </c>
      <c r="BB53" s="1672">
        <f t="shared" si="31"/>
        <v>0</v>
      </c>
      <c r="BC53" s="1672">
        <f t="shared" si="31"/>
        <v>60.615</v>
      </c>
      <c r="BD53" s="1672">
        <f t="shared" si="31"/>
        <v>760.9309999999999</v>
      </c>
      <c r="BE53" s="1672">
        <f t="shared" si="31"/>
        <v>0</v>
      </c>
      <c r="BF53" s="1807">
        <f t="shared" si="31"/>
        <v>760.9309999999999</v>
      </c>
      <c r="BG53" s="1678">
        <f t="shared" si="31"/>
        <v>1509.498</v>
      </c>
      <c r="BH53" s="1679">
        <f t="shared" si="31"/>
        <v>821.5459999999999</v>
      </c>
      <c r="BI53" s="1652"/>
      <c r="BJ53" s="527"/>
      <c r="BK53" s="527"/>
      <c r="BL53" s="527"/>
      <c r="BM53" s="527"/>
      <c r="BN53" s="527"/>
    </row>
    <row r="54" spans="1:66" ht="14.25">
      <c r="A54" s="2077"/>
      <c r="B54" s="784"/>
      <c r="C54" s="784" t="s">
        <v>1244</v>
      </c>
      <c r="D54" s="1802" t="s">
        <v>1245</v>
      </c>
      <c r="E54" s="1670"/>
      <c r="F54" s="1670"/>
      <c r="G54" s="1698" t="s">
        <v>1032</v>
      </c>
      <c r="H54" s="1672">
        <f t="shared" si="31"/>
        <v>0</v>
      </c>
      <c r="I54" s="1672">
        <f t="shared" si="31"/>
        <v>0</v>
      </c>
      <c r="J54" s="1672">
        <f t="shared" si="31"/>
        <v>0</v>
      </c>
      <c r="K54" s="1672">
        <f t="shared" si="31"/>
        <v>0</v>
      </c>
      <c r="L54" s="1672">
        <f t="shared" si="31"/>
        <v>0</v>
      </c>
      <c r="M54" s="1672">
        <f t="shared" si="31"/>
        <v>0</v>
      </c>
      <c r="N54" s="1672">
        <f t="shared" si="31"/>
        <v>0</v>
      </c>
      <c r="O54" s="1672">
        <f t="shared" si="31"/>
        <v>0</v>
      </c>
      <c r="P54" s="1672">
        <f t="shared" si="31"/>
        <v>0</v>
      </c>
      <c r="Q54" s="1672">
        <f t="shared" si="31"/>
        <v>0</v>
      </c>
      <c r="R54" s="1672">
        <f t="shared" si="31"/>
        <v>0</v>
      </c>
      <c r="S54" s="1672">
        <f t="shared" si="31"/>
        <v>0</v>
      </c>
      <c r="T54" s="1672">
        <f t="shared" si="31"/>
        <v>0</v>
      </c>
      <c r="U54" s="1672">
        <f t="shared" si="31"/>
        <v>0</v>
      </c>
      <c r="V54" s="1672">
        <f t="shared" si="31"/>
        <v>0</v>
      </c>
      <c r="W54" s="1672">
        <f t="shared" si="31"/>
        <v>0</v>
      </c>
      <c r="X54" s="1672">
        <f t="shared" si="31"/>
        <v>0</v>
      </c>
      <c r="Y54" s="1672">
        <f t="shared" si="31"/>
        <v>0</v>
      </c>
      <c r="Z54" s="1672">
        <f t="shared" si="31"/>
        <v>0</v>
      </c>
      <c r="AA54" s="1672">
        <f t="shared" si="31"/>
        <v>0</v>
      </c>
      <c r="AB54" s="1672">
        <f t="shared" si="31"/>
        <v>0</v>
      </c>
      <c r="AC54" s="1672">
        <f t="shared" si="31"/>
        <v>0</v>
      </c>
      <c r="AD54" s="1672">
        <f t="shared" si="31"/>
        <v>0</v>
      </c>
      <c r="AE54" s="1672">
        <f t="shared" si="31"/>
        <v>0</v>
      </c>
      <c r="AF54" s="1672">
        <f t="shared" si="31"/>
        <v>0</v>
      </c>
      <c r="AG54" s="1672">
        <f t="shared" si="31"/>
        <v>0</v>
      </c>
      <c r="AH54" s="1672">
        <f t="shared" si="31"/>
        <v>0</v>
      </c>
      <c r="AI54" s="1672">
        <f t="shared" si="31"/>
        <v>0</v>
      </c>
      <c r="AJ54" s="1672">
        <f t="shared" si="31"/>
        <v>0</v>
      </c>
      <c r="AK54" s="1672">
        <f t="shared" si="31"/>
        <v>0</v>
      </c>
      <c r="AL54" s="1672">
        <f t="shared" si="31"/>
        <v>0</v>
      </c>
      <c r="AM54" s="1672">
        <f t="shared" si="31"/>
        <v>0</v>
      </c>
      <c r="AN54" s="1672">
        <f t="shared" si="31"/>
        <v>0</v>
      </c>
      <c r="AO54" s="1672">
        <f t="shared" si="31"/>
        <v>0</v>
      </c>
      <c r="AP54" s="1672">
        <f t="shared" si="31"/>
        <v>0</v>
      </c>
      <c r="AQ54" s="1672">
        <f t="shared" si="31"/>
        <v>0</v>
      </c>
      <c r="AR54" s="1806">
        <f t="shared" si="31"/>
        <v>0</v>
      </c>
      <c r="AS54" s="1672">
        <f t="shared" si="31"/>
        <v>0</v>
      </c>
      <c r="AT54" s="1672">
        <f t="shared" si="31"/>
        <v>0</v>
      </c>
      <c r="AU54" s="1672">
        <f t="shared" si="31"/>
        <v>0</v>
      </c>
      <c r="AV54" s="1672">
        <f t="shared" si="31"/>
        <v>0</v>
      </c>
      <c r="AW54" s="1672">
        <f t="shared" si="31"/>
        <v>0</v>
      </c>
      <c r="AX54" s="1672">
        <f t="shared" si="31"/>
        <v>0</v>
      </c>
      <c r="AY54" s="1672">
        <f t="shared" si="31"/>
        <v>0</v>
      </c>
      <c r="AZ54" s="1672">
        <f t="shared" si="31"/>
        <v>0</v>
      </c>
      <c r="BA54" s="1672">
        <f t="shared" si="31"/>
        <v>0</v>
      </c>
      <c r="BB54" s="1672">
        <f t="shared" si="31"/>
        <v>0</v>
      </c>
      <c r="BC54" s="1672">
        <f t="shared" si="31"/>
        <v>0</v>
      </c>
      <c r="BD54" s="1672">
        <f t="shared" si="31"/>
        <v>0</v>
      </c>
      <c r="BE54" s="1672">
        <f t="shared" si="31"/>
        <v>0</v>
      </c>
      <c r="BF54" s="1807">
        <f t="shared" si="31"/>
        <v>0</v>
      </c>
      <c r="BG54" s="1678">
        <f t="shared" si="31"/>
        <v>0</v>
      </c>
      <c r="BH54" s="1679">
        <f t="shared" si="31"/>
        <v>0</v>
      </c>
      <c r="BI54" s="1652"/>
      <c r="BJ54" s="527"/>
      <c r="BK54" s="527"/>
      <c r="BL54" s="527"/>
      <c r="BM54" s="527"/>
      <c r="BN54" s="527"/>
    </row>
    <row r="55" spans="1:66" ht="14.25">
      <c r="A55" s="2077"/>
      <c r="B55" s="784"/>
      <c r="C55" s="784" t="s">
        <v>1244</v>
      </c>
      <c r="D55" s="1802" t="s">
        <v>1245</v>
      </c>
      <c r="E55" s="1670" t="s">
        <v>1510</v>
      </c>
      <c r="F55" s="1670" t="s">
        <v>112</v>
      </c>
      <c r="G55" s="1811" t="s">
        <v>1226</v>
      </c>
      <c r="H55" s="1672">
        <f t="shared" si="31"/>
        <v>336.697</v>
      </c>
      <c r="I55" s="1672">
        <f t="shared" si="31"/>
        <v>0</v>
      </c>
      <c r="J55" s="1672">
        <f t="shared" si="31"/>
        <v>-336.697</v>
      </c>
      <c r="K55" s="1672">
        <f t="shared" si="31"/>
        <v>303.06399999999996</v>
      </c>
      <c r="L55" s="1672">
        <f t="shared" si="31"/>
        <v>0</v>
      </c>
      <c r="M55" s="1672">
        <f t="shared" si="31"/>
        <v>-303.06399999999996</v>
      </c>
      <c r="N55" s="1672">
        <f t="shared" si="31"/>
        <v>293.69399999999996</v>
      </c>
      <c r="O55" s="1672">
        <f t="shared" si="31"/>
        <v>0</v>
      </c>
      <c r="P55" s="1672">
        <f t="shared" si="31"/>
        <v>-293.69399999999996</v>
      </c>
      <c r="Q55" s="1672">
        <f t="shared" si="31"/>
        <v>227.982</v>
      </c>
      <c r="R55" s="1672">
        <f t="shared" si="31"/>
        <v>0</v>
      </c>
      <c r="S55" s="1672">
        <f t="shared" si="31"/>
        <v>-227.982</v>
      </c>
      <c r="T55" s="1672">
        <f t="shared" si="31"/>
        <v>171.65800000000002</v>
      </c>
      <c r="U55" s="1672">
        <f t="shared" si="31"/>
        <v>0</v>
      </c>
      <c r="V55" s="1672">
        <f t="shared" si="31"/>
        <v>-171.65800000000002</v>
      </c>
      <c r="W55" s="1672">
        <f t="shared" si="31"/>
        <v>52.129999999999995</v>
      </c>
      <c r="X55" s="1672">
        <f t="shared" si="31"/>
        <v>0</v>
      </c>
      <c r="Y55" s="1672">
        <f t="shared" si="31"/>
        <v>-52.129999999999995</v>
      </c>
      <c r="Z55" s="1672">
        <f t="shared" si="31"/>
        <v>0</v>
      </c>
      <c r="AA55" s="1672">
        <f t="shared" si="31"/>
        <v>0</v>
      </c>
      <c r="AB55" s="1672">
        <f t="shared" si="31"/>
        <v>0</v>
      </c>
      <c r="AC55" s="1672">
        <f t="shared" si="31"/>
        <v>0</v>
      </c>
      <c r="AD55" s="1672">
        <f t="shared" si="31"/>
        <v>0</v>
      </c>
      <c r="AE55" s="1672">
        <f t="shared" si="31"/>
        <v>0</v>
      </c>
      <c r="AF55" s="1672">
        <f t="shared" si="31"/>
        <v>49.317</v>
      </c>
      <c r="AG55" s="1672">
        <f t="shared" si="31"/>
        <v>0</v>
      </c>
      <c r="AH55" s="1672">
        <f t="shared" si="31"/>
        <v>-49.317</v>
      </c>
      <c r="AI55" s="1672">
        <f t="shared" si="31"/>
        <v>163.523</v>
      </c>
      <c r="AJ55" s="1672">
        <f t="shared" si="31"/>
        <v>0</v>
      </c>
      <c r="AK55" s="1672">
        <f t="shared" si="31"/>
        <v>-163.523</v>
      </c>
      <c r="AL55" s="1672">
        <f t="shared" si="31"/>
        <v>233.60500000000002</v>
      </c>
      <c r="AM55" s="1672">
        <f t="shared" si="31"/>
        <v>0</v>
      </c>
      <c r="AN55" s="1672">
        <f t="shared" si="31"/>
        <v>-233.60500000000002</v>
      </c>
      <c r="AO55" s="1672">
        <f t="shared" si="31"/>
        <v>296.01800000000003</v>
      </c>
      <c r="AP55" s="1672">
        <f t="shared" si="31"/>
        <v>0</v>
      </c>
      <c r="AQ55" s="1672">
        <f t="shared" si="31"/>
        <v>-296.01800000000003</v>
      </c>
      <c r="AR55" s="1806">
        <f t="shared" si="31"/>
        <v>2127.688</v>
      </c>
      <c r="AS55" s="1672">
        <f t="shared" si="31"/>
        <v>0</v>
      </c>
      <c r="AT55" s="1672">
        <f t="shared" si="31"/>
        <v>-2127.688</v>
      </c>
      <c r="AU55" s="1672">
        <f t="shared" si="31"/>
        <v>933.4549999999999</v>
      </c>
      <c r="AV55" s="1672">
        <f t="shared" si="31"/>
        <v>0</v>
      </c>
      <c r="AW55" s="1672">
        <f t="shared" si="31"/>
        <v>-933.4549999999999</v>
      </c>
      <c r="AX55" s="1672">
        <f t="shared" si="31"/>
        <v>451.77</v>
      </c>
      <c r="AY55" s="1672">
        <f t="shared" si="31"/>
        <v>0</v>
      </c>
      <c r="AZ55" s="1672">
        <f t="shared" si="31"/>
        <v>-451.77</v>
      </c>
      <c r="BA55" s="1672">
        <f t="shared" si="31"/>
        <v>49.317</v>
      </c>
      <c r="BB55" s="1672">
        <f t="shared" si="31"/>
        <v>0</v>
      </c>
      <c r="BC55" s="1672">
        <f t="shared" si="31"/>
        <v>-49.317</v>
      </c>
      <c r="BD55" s="1672">
        <f t="shared" si="31"/>
        <v>693.146</v>
      </c>
      <c r="BE55" s="1672">
        <f t="shared" si="31"/>
        <v>0</v>
      </c>
      <c r="BF55" s="1807">
        <f t="shared" si="31"/>
        <v>-693.146</v>
      </c>
      <c r="BG55" s="1678">
        <f t="shared" si="31"/>
        <v>1385.225</v>
      </c>
      <c r="BH55" s="1679">
        <f t="shared" si="31"/>
        <v>742.463</v>
      </c>
      <c r="BI55" s="1652"/>
      <c r="BJ55" s="527"/>
      <c r="BK55" s="527"/>
      <c r="BL55" s="527"/>
      <c r="BM55" s="527"/>
      <c r="BN55" s="527"/>
    </row>
    <row r="56" spans="1:66" ht="14.25">
      <c r="A56" s="2077"/>
      <c r="B56" s="784"/>
      <c r="C56" s="784" t="s">
        <v>1244</v>
      </c>
      <c r="D56" s="1802" t="s">
        <v>1245</v>
      </c>
      <c r="E56" s="1670" t="s">
        <v>1511</v>
      </c>
      <c r="F56" s="1670" t="s">
        <v>112</v>
      </c>
      <c r="G56" s="1811" t="s">
        <v>1227</v>
      </c>
      <c r="H56" s="1672">
        <f t="shared" si="31"/>
        <v>22.595</v>
      </c>
      <c r="I56" s="1672">
        <f t="shared" si="31"/>
        <v>0</v>
      </c>
      <c r="J56" s="1672">
        <f t="shared" si="31"/>
        <v>-22.595</v>
      </c>
      <c r="K56" s="1672">
        <f t="shared" si="31"/>
        <v>22.595</v>
      </c>
      <c r="L56" s="1672">
        <f t="shared" si="31"/>
        <v>0</v>
      </c>
      <c r="M56" s="1672">
        <f t="shared" si="31"/>
        <v>-22.595</v>
      </c>
      <c r="N56" s="1672">
        <f t="shared" si="31"/>
        <v>22.595</v>
      </c>
      <c r="O56" s="1672">
        <f t="shared" si="31"/>
        <v>0</v>
      </c>
      <c r="P56" s="1672">
        <f t="shared" si="31"/>
        <v>-22.595</v>
      </c>
      <c r="Q56" s="1672">
        <f t="shared" si="31"/>
        <v>22.595</v>
      </c>
      <c r="R56" s="1672">
        <f t="shared" si="31"/>
        <v>0</v>
      </c>
      <c r="S56" s="1672">
        <f t="shared" si="31"/>
        <v>-22.595</v>
      </c>
      <c r="T56" s="1672">
        <f t="shared" si="31"/>
        <v>22.595</v>
      </c>
      <c r="U56" s="1672">
        <f t="shared" si="31"/>
        <v>0</v>
      </c>
      <c r="V56" s="1672">
        <f t="shared" si="31"/>
        <v>-22.595</v>
      </c>
      <c r="W56" s="1672">
        <f t="shared" si="31"/>
        <v>11.298</v>
      </c>
      <c r="X56" s="1672">
        <f t="shared" si="31"/>
        <v>0</v>
      </c>
      <c r="Y56" s="1672">
        <f t="shared" si="31"/>
        <v>-11.298</v>
      </c>
      <c r="Z56" s="1672">
        <f t="shared" si="31"/>
        <v>0</v>
      </c>
      <c r="AA56" s="1672">
        <f t="shared" si="31"/>
        <v>0</v>
      </c>
      <c r="AB56" s="1672">
        <f t="shared" si="31"/>
        <v>0</v>
      </c>
      <c r="AC56" s="1672">
        <f t="shared" si="31"/>
        <v>0</v>
      </c>
      <c r="AD56" s="1672">
        <f t="shared" si="31"/>
        <v>0</v>
      </c>
      <c r="AE56" s="1672">
        <f t="shared" si="31"/>
        <v>0</v>
      </c>
      <c r="AF56" s="1672">
        <f t="shared" si="31"/>
        <v>11.298</v>
      </c>
      <c r="AG56" s="1672">
        <f t="shared" si="31"/>
        <v>0</v>
      </c>
      <c r="AH56" s="1672">
        <f t="shared" si="31"/>
        <v>-11.298</v>
      </c>
      <c r="AI56" s="1672">
        <f t="shared" si="31"/>
        <v>22.595</v>
      </c>
      <c r="AJ56" s="1672">
        <f t="shared" si="31"/>
        <v>0</v>
      </c>
      <c r="AK56" s="1672">
        <f t="shared" si="31"/>
        <v>-22.595</v>
      </c>
      <c r="AL56" s="1672">
        <f t="shared" si="31"/>
        <v>22.595</v>
      </c>
      <c r="AM56" s="1672">
        <f t="shared" si="31"/>
        <v>0</v>
      </c>
      <c r="AN56" s="1672">
        <f t="shared" si="31"/>
        <v>-22.595</v>
      </c>
      <c r="AO56" s="1672">
        <f t="shared" si="31"/>
        <v>22.595</v>
      </c>
      <c r="AP56" s="1672">
        <f t="shared" si="31"/>
        <v>0</v>
      </c>
      <c r="AQ56" s="1672">
        <f t="shared" si="31"/>
        <v>-22.595</v>
      </c>
      <c r="AR56" s="1806">
        <f t="shared" si="31"/>
        <v>203.356</v>
      </c>
      <c r="AS56" s="1672">
        <f t="shared" si="31"/>
        <v>0</v>
      </c>
      <c r="AT56" s="1672">
        <f t="shared" si="31"/>
        <v>-203.356</v>
      </c>
      <c r="AU56" s="1672">
        <f t="shared" si="31"/>
        <v>67.785</v>
      </c>
      <c r="AV56" s="1672">
        <f t="shared" si="31"/>
        <v>0</v>
      </c>
      <c r="AW56" s="1672">
        <f t="shared" si="31"/>
        <v>-67.785</v>
      </c>
      <c r="AX56" s="1672">
        <f t="shared" si="31"/>
        <v>56.488</v>
      </c>
      <c r="AY56" s="1672">
        <f t="shared" si="31"/>
        <v>0</v>
      </c>
      <c r="AZ56" s="1672">
        <f t="shared" si="31"/>
        <v>-56.488</v>
      </c>
      <c r="BA56" s="1672">
        <f t="shared" si="31"/>
        <v>11.298</v>
      </c>
      <c r="BB56" s="1672">
        <f t="shared" si="31"/>
        <v>0</v>
      </c>
      <c r="BC56" s="1672">
        <f t="shared" si="31"/>
        <v>-11.298</v>
      </c>
      <c r="BD56" s="1672">
        <f t="shared" si="31"/>
        <v>67.785</v>
      </c>
      <c r="BE56" s="1672">
        <f t="shared" si="31"/>
        <v>0</v>
      </c>
      <c r="BF56" s="1807">
        <f t="shared" si="31"/>
        <v>-67.785</v>
      </c>
      <c r="BG56" s="1678">
        <f t="shared" si="31"/>
        <v>124.273</v>
      </c>
      <c r="BH56" s="1679">
        <f t="shared" si="31"/>
        <v>79.083</v>
      </c>
      <c r="BI56" s="1652"/>
      <c r="BJ56" s="527"/>
      <c r="BK56" s="527"/>
      <c r="BL56" s="527"/>
      <c r="BM56" s="527"/>
      <c r="BN56" s="527"/>
    </row>
    <row r="57" spans="1:66" ht="14.25">
      <c r="A57" s="2077"/>
      <c r="B57" s="784"/>
      <c r="C57" s="784" t="s">
        <v>1244</v>
      </c>
      <c r="D57" s="1802" t="s">
        <v>1245</v>
      </c>
      <c r="E57" s="1670"/>
      <c r="F57" s="1670"/>
      <c r="G57" s="1698" t="s">
        <v>1032</v>
      </c>
      <c r="H57" s="1672">
        <f t="shared" si="31"/>
        <v>0</v>
      </c>
      <c r="I57" s="1672">
        <f t="shared" si="31"/>
        <v>0</v>
      </c>
      <c r="J57" s="1672">
        <f t="shared" si="31"/>
        <v>0</v>
      </c>
      <c r="K57" s="1672">
        <f t="shared" si="31"/>
        <v>0</v>
      </c>
      <c r="L57" s="1672">
        <f t="shared" si="31"/>
        <v>0</v>
      </c>
      <c r="M57" s="1672">
        <f t="shared" si="31"/>
        <v>0</v>
      </c>
      <c r="N57" s="1672">
        <f t="shared" si="31"/>
        <v>0</v>
      </c>
      <c r="O57" s="1672">
        <f t="shared" si="31"/>
        <v>0</v>
      </c>
      <c r="P57" s="1672">
        <f t="shared" si="31"/>
        <v>0</v>
      </c>
      <c r="Q57" s="1672">
        <f t="shared" si="31"/>
        <v>0</v>
      </c>
      <c r="R57" s="1672">
        <f t="shared" si="31"/>
        <v>0</v>
      </c>
      <c r="S57" s="1672">
        <f t="shared" si="31"/>
        <v>0</v>
      </c>
      <c r="T57" s="1672">
        <f t="shared" si="31"/>
        <v>0</v>
      </c>
      <c r="U57" s="1672">
        <f t="shared" si="31"/>
        <v>0</v>
      </c>
      <c r="V57" s="1672">
        <f t="shared" si="31"/>
        <v>0</v>
      </c>
      <c r="W57" s="1672">
        <f t="shared" si="31"/>
        <v>0</v>
      </c>
      <c r="X57" s="1672">
        <f t="shared" si="31"/>
        <v>0</v>
      </c>
      <c r="Y57" s="1672">
        <f t="shared" si="31"/>
        <v>0</v>
      </c>
      <c r="Z57" s="1672">
        <f t="shared" si="31"/>
        <v>0</v>
      </c>
      <c r="AA57" s="1672">
        <f t="shared" si="31"/>
        <v>0</v>
      </c>
      <c r="AB57" s="1672">
        <f t="shared" si="31"/>
        <v>0</v>
      </c>
      <c r="AC57" s="1672">
        <f t="shared" si="31"/>
        <v>0</v>
      </c>
      <c r="AD57" s="1672">
        <f t="shared" si="31"/>
        <v>0</v>
      </c>
      <c r="AE57" s="1672">
        <f t="shared" si="31"/>
        <v>0</v>
      </c>
      <c r="AF57" s="1672">
        <f t="shared" si="31"/>
        <v>0</v>
      </c>
      <c r="AG57" s="1672">
        <f t="shared" si="31"/>
        <v>0</v>
      </c>
      <c r="AH57" s="1672">
        <f t="shared" si="31"/>
        <v>0</v>
      </c>
      <c r="AI57" s="1672">
        <f t="shared" si="31"/>
        <v>0</v>
      </c>
      <c r="AJ57" s="1672">
        <f t="shared" si="31"/>
        <v>0</v>
      </c>
      <c r="AK57" s="1672">
        <f t="shared" si="31"/>
        <v>0</v>
      </c>
      <c r="AL57" s="1672">
        <f t="shared" si="31"/>
        <v>0</v>
      </c>
      <c r="AM57" s="1672">
        <f t="shared" si="31"/>
        <v>0</v>
      </c>
      <c r="AN57" s="1672">
        <f t="shared" si="31"/>
        <v>0</v>
      </c>
      <c r="AO57" s="1672">
        <f t="shared" si="31"/>
        <v>0</v>
      </c>
      <c r="AP57" s="1672">
        <f t="shared" si="31"/>
        <v>0</v>
      </c>
      <c r="AQ57" s="1672">
        <f t="shared" si="31"/>
        <v>0</v>
      </c>
      <c r="AR57" s="1806">
        <f t="shared" si="31"/>
        <v>0</v>
      </c>
      <c r="AS57" s="1672">
        <f t="shared" si="31"/>
        <v>0</v>
      </c>
      <c r="AT57" s="1672">
        <f t="shared" si="31"/>
        <v>0</v>
      </c>
      <c r="AU57" s="1672">
        <f t="shared" si="31"/>
        <v>0</v>
      </c>
      <c r="AV57" s="1672">
        <f t="shared" si="31"/>
        <v>0</v>
      </c>
      <c r="AW57" s="1672">
        <f t="shared" si="31"/>
        <v>0</v>
      </c>
      <c r="AX57" s="1672">
        <f t="shared" si="31"/>
        <v>0</v>
      </c>
      <c r="AY57" s="1672">
        <f t="shared" si="31"/>
        <v>0</v>
      </c>
      <c r="AZ57" s="1672">
        <f aca="true" t="shared" si="32" ref="I57:BH62">AZ16+AZ36</f>
        <v>0</v>
      </c>
      <c r="BA57" s="1672">
        <f t="shared" si="32"/>
        <v>0</v>
      </c>
      <c r="BB57" s="1672">
        <f t="shared" si="32"/>
        <v>0</v>
      </c>
      <c r="BC57" s="1672">
        <f t="shared" si="32"/>
        <v>0</v>
      </c>
      <c r="BD57" s="1672">
        <f t="shared" si="32"/>
        <v>0</v>
      </c>
      <c r="BE57" s="1672">
        <f t="shared" si="32"/>
        <v>0</v>
      </c>
      <c r="BF57" s="1807">
        <f t="shared" si="32"/>
        <v>0</v>
      </c>
      <c r="BG57" s="1678">
        <f t="shared" si="32"/>
        <v>0</v>
      </c>
      <c r="BH57" s="1679">
        <f t="shared" si="32"/>
        <v>0</v>
      </c>
      <c r="BI57" s="1652"/>
      <c r="BJ57" s="527"/>
      <c r="BK57" s="527"/>
      <c r="BL57" s="527"/>
      <c r="BM57" s="527"/>
      <c r="BN57" s="527"/>
    </row>
    <row r="58" spans="1:66" ht="14.25">
      <c r="A58" s="2077"/>
      <c r="B58" s="784"/>
      <c r="C58" s="784" t="s">
        <v>1244</v>
      </c>
      <c r="D58" s="1802" t="s">
        <v>1245</v>
      </c>
      <c r="E58" s="1670" t="s">
        <v>1228</v>
      </c>
      <c r="F58" s="1670" t="s">
        <v>112</v>
      </c>
      <c r="G58" s="1718" t="s">
        <v>1229</v>
      </c>
      <c r="H58" s="1672">
        <f aca="true" t="shared" si="33" ref="H58:H66">H17+H37</f>
        <v>22.595</v>
      </c>
      <c r="I58" s="1672">
        <f t="shared" si="32"/>
        <v>0</v>
      </c>
      <c r="J58" s="1672">
        <f t="shared" si="32"/>
        <v>-22.595</v>
      </c>
      <c r="K58" s="1672">
        <f t="shared" si="32"/>
        <v>22.595</v>
      </c>
      <c r="L58" s="1672">
        <f t="shared" si="32"/>
        <v>0</v>
      </c>
      <c r="M58" s="1672">
        <f t="shared" si="32"/>
        <v>22.595</v>
      </c>
      <c r="N58" s="1672">
        <f t="shared" si="32"/>
        <v>22.595</v>
      </c>
      <c r="O58" s="1672">
        <f t="shared" si="32"/>
        <v>22.595</v>
      </c>
      <c r="P58" s="1672">
        <f t="shared" si="32"/>
        <v>22.595</v>
      </c>
      <c r="Q58" s="1672">
        <f t="shared" si="32"/>
        <v>22.595</v>
      </c>
      <c r="R58" s="1672">
        <f t="shared" si="32"/>
        <v>22.595</v>
      </c>
      <c r="S58" s="1672">
        <f t="shared" si="32"/>
        <v>22.595</v>
      </c>
      <c r="T58" s="1672">
        <f t="shared" si="32"/>
        <v>22.595</v>
      </c>
      <c r="U58" s="1672">
        <f t="shared" si="32"/>
        <v>0</v>
      </c>
      <c r="V58" s="1672">
        <f t="shared" si="32"/>
        <v>0</v>
      </c>
      <c r="W58" s="1672">
        <f t="shared" si="32"/>
        <v>11.298</v>
      </c>
      <c r="X58" s="1672">
        <f t="shared" si="32"/>
        <v>0</v>
      </c>
      <c r="Y58" s="1672">
        <f t="shared" si="32"/>
        <v>0</v>
      </c>
      <c r="Z58" s="1672">
        <f t="shared" si="32"/>
        <v>0</v>
      </c>
      <c r="AA58" s="1672">
        <f t="shared" si="32"/>
        <v>0</v>
      </c>
      <c r="AB58" s="1672">
        <f t="shared" si="32"/>
        <v>0</v>
      </c>
      <c r="AC58" s="1672">
        <f t="shared" si="32"/>
        <v>0</v>
      </c>
      <c r="AD58" s="1672">
        <f t="shared" si="32"/>
        <v>0</v>
      </c>
      <c r="AE58" s="1672">
        <f t="shared" si="32"/>
        <v>0</v>
      </c>
      <c r="AF58" s="1672">
        <f t="shared" si="32"/>
        <v>11.298</v>
      </c>
      <c r="AG58" s="1672">
        <f t="shared" si="32"/>
        <v>0</v>
      </c>
      <c r="AH58" s="1672">
        <f t="shared" si="32"/>
        <v>0</v>
      </c>
      <c r="AI58" s="1672">
        <f t="shared" si="32"/>
        <v>22.595</v>
      </c>
      <c r="AJ58" s="1672">
        <f t="shared" si="32"/>
        <v>22.595</v>
      </c>
      <c r="AK58" s="1672">
        <f t="shared" si="32"/>
        <v>22.595</v>
      </c>
      <c r="AL58" s="1672">
        <f t="shared" si="32"/>
        <v>22.595</v>
      </c>
      <c r="AM58" s="1672">
        <f t="shared" si="32"/>
        <v>22.595</v>
      </c>
      <c r="AN58" s="1672">
        <f t="shared" si="32"/>
        <v>22.595</v>
      </c>
      <c r="AO58" s="1672">
        <f t="shared" si="32"/>
        <v>22.595</v>
      </c>
      <c r="AP58" s="1672">
        <f t="shared" si="32"/>
        <v>0</v>
      </c>
      <c r="AQ58" s="1672">
        <f t="shared" si="32"/>
        <v>-22.595</v>
      </c>
      <c r="AR58" s="1806">
        <f t="shared" si="32"/>
        <v>203.356</v>
      </c>
      <c r="AS58" s="1672">
        <f t="shared" si="32"/>
        <v>0</v>
      </c>
      <c r="AT58" s="1672">
        <f t="shared" si="32"/>
        <v>-203.356</v>
      </c>
      <c r="AU58" s="1672">
        <f t="shared" si="32"/>
        <v>67.785</v>
      </c>
      <c r="AV58" s="1672">
        <f t="shared" si="32"/>
        <v>22.595</v>
      </c>
      <c r="AW58" s="1672">
        <f t="shared" si="32"/>
        <v>-45.19</v>
      </c>
      <c r="AX58" s="1672">
        <f t="shared" si="32"/>
        <v>56.488</v>
      </c>
      <c r="AY58" s="1672">
        <f t="shared" si="32"/>
        <v>22.595</v>
      </c>
      <c r="AZ58" s="1672">
        <f t="shared" si="32"/>
        <v>-33.893</v>
      </c>
      <c r="BA58" s="1672">
        <f t="shared" si="32"/>
        <v>11.298</v>
      </c>
      <c r="BB58" s="1672">
        <f t="shared" si="32"/>
        <v>0</v>
      </c>
      <c r="BC58" s="1672">
        <f t="shared" si="32"/>
        <v>-11.298</v>
      </c>
      <c r="BD58" s="1672">
        <f t="shared" si="32"/>
        <v>67.785</v>
      </c>
      <c r="BE58" s="1672">
        <f t="shared" si="32"/>
        <v>45.19</v>
      </c>
      <c r="BF58" s="1807">
        <f t="shared" si="32"/>
        <v>-22.595</v>
      </c>
      <c r="BG58" s="1678">
        <f t="shared" si="32"/>
        <v>124.273</v>
      </c>
      <c r="BH58" s="1679">
        <f t="shared" si="32"/>
        <v>79.083</v>
      </c>
      <c r="BI58" s="1652"/>
      <c r="BJ58" s="527"/>
      <c r="BK58" s="527"/>
      <c r="BL58" s="527"/>
      <c r="BM58" s="527"/>
      <c r="BN58" s="527"/>
    </row>
    <row r="59" spans="1:66" ht="14.25">
      <c r="A59" s="2077"/>
      <c r="B59" s="784"/>
      <c r="C59" s="784" t="s">
        <v>1244</v>
      </c>
      <c r="D59" s="1802" t="s">
        <v>1245</v>
      </c>
      <c r="E59" s="1670" t="s">
        <v>1230</v>
      </c>
      <c r="F59" s="1670" t="s">
        <v>112</v>
      </c>
      <c r="G59" s="1718" t="s">
        <v>1231</v>
      </c>
      <c r="H59" s="1672">
        <f t="shared" si="33"/>
        <v>0</v>
      </c>
      <c r="I59" s="1672">
        <f t="shared" si="32"/>
        <v>0</v>
      </c>
      <c r="J59" s="1672">
        <f t="shared" si="32"/>
        <v>0</v>
      </c>
      <c r="K59" s="1672">
        <f t="shared" si="32"/>
        <v>0</v>
      </c>
      <c r="L59" s="1672">
        <f t="shared" si="32"/>
        <v>0</v>
      </c>
      <c r="M59" s="1672">
        <f t="shared" si="32"/>
        <v>0</v>
      </c>
      <c r="N59" s="1672">
        <f t="shared" si="32"/>
        <v>0</v>
      </c>
      <c r="O59" s="1672">
        <f t="shared" si="32"/>
        <v>0</v>
      </c>
      <c r="P59" s="1672">
        <f t="shared" si="32"/>
        <v>0</v>
      </c>
      <c r="Q59" s="1672">
        <f t="shared" si="32"/>
        <v>0</v>
      </c>
      <c r="R59" s="1672">
        <f t="shared" si="32"/>
        <v>0</v>
      </c>
      <c r="S59" s="1672">
        <f t="shared" si="32"/>
        <v>0</v>
      </c>
      <c r="T59" s="1672">
        <f t="shared" si="32"/>
        <v>0</v>
      </c>
      <c r="U59" s="1672">
        <f t="shared" si="32"/>
        <v>0</v>
      </c>
      <c r="V59" s="1672">
        <f t="shared" si="32"/>
        <v>0</v>
      </c>
      <c r="W59" s="1672">
        <f t="shared" si="32"/>
        <v>0</v>
      </c>
      <c r="X59" s="1672">
        <f t="shared" si="32"/>
        <v>0</v>
      </c>
      <c r="Y59" s="1672">
        <f t="shared" si="32"/>
        <v>0</v>
      </c>
      <c r="Z59" s="1672">
        <f t="shared" si="32"/>
        <v>0</v>
      </c>
      <c r="AA59" s="1672">
        <f t="shared" si="32"/>
        <v>0</v>
      </c>
      <c r="AB59" s="1672">
        <f t="shared" si="32"/>
        <v>0</v>
      </c>
      <c r="AC59" s="1672">
        <f t="shared" si="32"/>
        <v>0</v>
      </c>
      <c r="AD59" s="1672">
        <f t="shared" si="32"/>
        <v>0</v>
      </c>
      <c r="AE59" s="1672">
        <f t="shared" si="32"/>
        <v>0</v>
      </c>
      <c r="AF59" s="1672">
        <f t="shared" si="32"/>
        <v>0</v>
      </c>
      <c r="AG59" s="1672">
        <f t="shared" si="32"/>
        <v>0</v>
      </c>
      <c r="AH59" s="1672">
        <f t="shared" si="32"/>
        <v>0</v>
      </c>
      <c r="AI59" s="1672">
        <f t="shared" si="32"/>
        <v>0</v>
      </c>
      <c r="AJ59" s="1672">
        <f t="shared" si="32"/>
        <v>0</v>
      </c>
      <c r="AK59" s="1672">
        <f t="shared" si="32"/>
        <v>0</v>
      </c>
      <c r="AL59" s="1672">
        <f t="shared" si="32"/>
        <v>0</v>
      </c>
      <c r="AM59" s="1672">
        <f t="shared" si="32"/>
        <v>0</v>
      </c>
      <c r="AN59" s="1672">
        <f t="shared" si="32"/>
        <v>0</v>
      </c>
      <c r="AO59" s="1672">
        <f t="shared" si="32"/>
        <v>0</v>
      </c>
      <c r="AP59" s="1672">
        <f t="shared" si="32"/>
        <v>0</v>
      </c>
      <c r="AQ59" s="1672">
        <f t="shared" si="32"/>
        <v>0</v>
      </c>
      <c r="AR59" s="1806">
        <f t="shared" si="32"/>
        <v>0</v>
      </c>
      <c r="AS59" s="1672">
        <f t="shared" si="32"/>
        <v>0</v>
      </c>
      <c r="AT59" s="1672">
        <f t="shared" si="32"/>
        <v>0</v>
      </c>
      <c r="AU59" s="1672">
        <f t="shared" si="32"/>
        <v>0</v>
      </c>
      <c r="AV59" s="1672">
        <f t="shared" si="32"/>
        <v>0</v>
      </c>
      <c r="AW59" s="1672">
        <f t="shared" si="32"/>
        <v>0</v>
      </c>
      <c r="AX59" s="1672">
        <f t="shared" si="32"/>
        <v>0</v>
      </c>
      <c r="AY59" s="1672">
        <f t="shared" si="32"/>
        <v>0</v>
      </c>
      <c r="AZ59" s="1672">
        <f t="shared" si="32"/>
        <v>0</v>
      </c>
      <c r="BA59" s="1672">
        <f t="shared" si="32"/>
        <v>0</v>
      </c>
      <c r="BB59" s="1672">
        <f t="shared" si="32"/>
        <v>0</v>
      </c>
      <c r="BC59" s="1672">
        <f t="shared" si="32"/>
        <v>0</v>
      </c>
      <c r="BD59" s="1672">
        <f t="shared" si="32"/>
        <v>0</v>
      </c>
      <c r="BE59" s="1672">
        <f t="shared" si="32"/>
        <v>0</v>
      </c>
      <c r="BF59" s="1807">
        <f t="shared" si="32"/>
        <v>0</v>
      </c>
      <c r="BG59" s="1678">
        <f t="shared" si="32"/>
        <v>0</v>
      </c>
      <c r="BH59" s="1679">
        <f t="shared" si="32"/>
        <v>0</v>
      </c>
      <c r="BI59" s="1652"/>
      <c r="BJ59" s="527"/>
      <c r="BK59" s="527"/>
      <c r="BL59" s="527"/>
      <c r="BM59" s="527"/>
      <c r="BN59" s="527"/>
    </row>
    <row r="60" spans="1:66" ht="14.25">
      <c r="A60" s="2077"/>
      <c r="B60" s="784"/>
      <c r="C60" s="784" t="s">
        <v>1244</v>
      </c>
      <c r="D60" s="1802" t="s">
        <v>1245</v>
      </c>
      <c r="E60" s="1670" t="s">
        <v>1512</v>
      </c>
      <c r="F60" s="1670" t="s">
        <v>1232</v>
      </c>
      <c r="G60" s="1671" t="s">
        <v>1233</v>
      </c>
      <c r="H60" s="1672">
        <f t="shared" si="33"/>
        <v>462.06543967280163</v>
      </c>
      <c r="I60" s="1672">
        <f t="shared" si="32"/>
        <v>0</v>
      </c>
      <c r="J60" s="1672">
        <f t="shared" si="32"/>
        <v>0</v>
      </c>
      <c r="K60" s="1672">
        <f t="shared" si="32"/>
        <v>462.06543967280163</v>
      </c>
      <c r="L60" s="1672">
        <f t="shared" si="32"/>
        <v>0</v>
      </c>
      <c r="M60" s="1672">
        <f t="shared" si="32"/>
        <v>0</v>
      </c>
      <c r="N60" s="1672">
        <f t="shared" si="32"/>
        <v>462.06543967280163</v>
      </c>
      <c r="O60" s="1672">
        <f t="shared" si="32"/>
        <v>0</v>
      </c>
      <c r="P60" s="1672">
        <f t="shared" si="32"/>
        <v>0</v>
      </c>
      <c r="Q60" s="1672">
        <f t="shared" si="32"/>
        <v>462.06543967280163</v>
      </c>
      <c r="R60" s="1672">
        <f t="shared" si="32"/>
        <v>0</v>
      </c>
      <c r="S60" s="1672">
        <f t="shared" si="32"/>
        <v>0</v>
      </c>
      <c r="T60" s="1672">
        <f t="shared" si="32"/>
        <v>462.06543967280163</v>
      </c>
      <c r="U60" s="1672">
        <f t="shared" si="32"/>
        <v>0</v>
      </c>
      <c r="V60" s="1672">
        <f t="shared" si="32"/>
        <v>0</v>
      </c>
      <c r="W60" s="1672">
        <f t="shared" si="32"/>
        <v>231.0429447852761</v>
      </c>
      <c r="X60" s="1672">
        <f t="shared" si="32"/>
        <v>0</v>
      </c>
      <c r="Y60" s="1672">
        <f t="shared" si="32"/>
        <v>0</v>
      </c>
      <c r="Z60" s="1672">
        <f t="shared" si="32"/>
        <v>0</v>
      </c>
      <c r="AA60" s="1672">
        <f t="shared" si="32"/>
        <v>0</v>
      </c>
      <c r="AB60" s="1672">
        <f t="shared" si="32"/>
        <v>0</v>
      </c>
      <c r="AC60" s="1672">
        <f t="shared" si="32"/>
        <v>0</v>
      </c>
      <c r="AD60" s="1672">
        <f t="shared" si="32"/>
        <v>0</v>
      </c>
      <c r="AE60" s="1672">
        <f t="shared" si="32"/>
        <v>0</v>
      </c>
      <c r="AF60" s="1672">
        <f t="shared" si="32"/>
        <v>231.0429447852761</v>
      </c>
      <c r="AG60" s="1672">
        <f t="shared" si="32"/>
        <v>0</v>
      </c>
      <c r="AH60" s="1672">
        <f t="shared" si="32"/>
        <v>0</v>
      </c>
      <c r="AI60" s="1672">
        <f t="shared" si="32"/>
        <v>462.06543967280163</v>
      </c>
      <c r="AJ60" s="1672">
        <f t="shared" si="32"/>
        <v>0</v>
      </c>
      <c r="AK60" s="1672">
        <f t="shared" si="32"/>
        <v>0</v>
      </c>
      <c r="AL60" s="1672">
        <f t="shared" si="32"/>
        <v>462.06543967280163</v>
      </c>
      <c r="AM60" s="1672">
        <f t="shared" si="32"/>
        <v>0</v>
      </c>
      <c r="AN60" s="1672">
        <f t="shared" si="32"/>
        <v>0</v>
      </c>
      <c r="AO60" s="1672">
        <f t="shared" si="32"/>
        <v>462.06543967280163</v>
      </c>
      <c r="AP60" s="1672">
        <f t="shared" si="32"/>
        <v>0</v>
      </c>
      <c r="AQ60" s="1672">
        <f t="shared" si="32"/>
        <v>-462.06543967280163</v>
      </c>
      <c r="AR60" s="1806">
        <f t="shared" si="32"/>
        <v>4158.6094069529645</v>
      </c>
      <c r="AS60" s="1672">
        <f t="shared" si="32"/>
        <v>0</v>
      </c>
      <c r="AT60" s="1672">
        <f t="shared" si="32"/>
        <v>-4158.6094069529645</v>
      </c>
      <c r="AU60" s="1672">
        <f t="shared" si="32"/>
        <v>1386.196319018405</v>
      </c>
      <c r="AV60" s="1672">
        <f t="shared" si="32"/>
        <v>0</v>
      </c>
      <c r="AW60" s="1672">
        <f t="shared" si="32"/>
        <v>-1386.196319018405</v>
      </c>
      <c r="AX60" s="1672">
        <f t="shared" si="32"/>
        <v>1155.1738241308794</v>
      </c>
      <c r="AY60" s="1672">
        <f t="shared" si="32"/>
        <v>0</v>
      </c>
      <c r="AZ60" s="1672">
        <f t="shared" si="32"/>
        <v>1155.1738241308794</v>
      </c>
      <c r="BA60" s="1672">
        <f t="shared" si="32"/>
        <v>231.0429447852761</v>
      </c>
      <c r="BB60" s="1672">
        <f t="shared" si="32"/>
        <v>0</v>
      </c>
      <c r="BC60" s="1672">
        <f t="shared" si="32"/>
        <v>-231.0429447852761</v>
      </c>
      <c r="BD60" s="1672">
        <f t="shared" si="32"/>
        <v>1386.196319018405</v>
      </c>
      <c r="BE60" s="1672">
        <f t="shared" si="32"/>
        <v>0</v>
      </c>
      <c r="BF60" s="1807">
        <f t="shared" si="32"/>
        <v>-1386.196319018405</v>
      </c>
      <c r="BG60" s="1678">
        <f t="shared" si="32"/>
        <v>2541.3701431492846</v>
      </c>
      <c r="BH60" s="1679">
        <f t="shared" si="32"/>
        <v>1617.239263803681</v>
      </c>
      <c r="BI60" s="1652"/>
      <c r="BJ60" s="527"/>
      <c r="BK60" s="527"/>
      <c r="BL60" s="527"/>
      <c r="BM60" s="527"/>
      <c r="BN60" s="527"/>
    </row>
    <row r="61" spans="1:66" ht="14.25">
      <c r="A61" s="2077"/>
      <c r="B61" s="784"/>
      <c r="C61" s="784" t="s">
        <v>1244</v>
      </c>
      <c r="D61" s="1802" t="s">
        <v>1245</v>
      </c>
      <c r="E61" s="1670"/>
      <c r="F61" s="1670"/>
      <c r="G61" s="1698" t="s">
        <v>1032</v>
      </c>
      <c r="H61" s="1672">
        <f t="shared" si="33"/>
        <v>0</v>
      </c>
      <c r="I61" s="1672">
        <f t="shared" si="32"/>
        <v>0</v>
      </c>
      <c r="J61" s="1672">
        <f t="shared" si="32"/>
        <v>0</v>
      </c>
      <c r="K61" s="1672">
        <f t="shared" si="32"/>
        <v>0</v>
      </c>
      <c r="L61" s="1672">
        <f t="shared" si="32"/>
        <v>0</v>
      </c>
      <c r="M61" s="1672">
        <f t="shared" si="32"/>
        <v>0</v>
      </c>
      <c r="N61" s="1672">
        <f t="shared" si="32"/>
        <v>0</v>
      </c>
      <c r="O61" s="1672">
        <f t="shared" si="32"/>
        <v>0</v>
      </c>
      <c r="P61" s="1672">
        <f t="shared" si="32"/>
        <v>0</v>
      </c>
      <c r="Q61" s="1672">
        <f t="shared" si="32"/>
        <v>0</v>
      </c>
      <c r="R61" s="1672">
        <f t="shared" si="32"/>
        <v>0</v>
      </c>
      <c r="S61" s="1672">
        <f t="shared" si="32"/>
        <v>0</v>
      </c>
      <c r="T61" s="1672">
        <f t="shared" si="32"/>
        <v>0</v>
      </c>
      <c r="U61" s="1672">
        <f t="shared" si="32"/>
        <v>0</v>
      </c>
      <c r="V61" s="1672">
        <f t="shared" si="32"/>
        <v>0</v>
      </c>
      <c r="W61" s="1672">
        <f t="shared" si="32"/>
        <v>0</v>
      </c>
      <c r="X61" s="1672">
        <f t="shared" si="32"/>
        <v>0</v>
      </c>
      <c r="Y61" s="1672">
        <f t="shared" si="32"/>
        <v>0</v>
      </c>
      <c r="Z61" s="1672">
        <f t="shared" si="32"/>
        <v>0</v>
      </c>
      <c r="AA61" s="1672">
        <f t="shared" si="32"/>
        <v>0</v>
      </c>
      <c r="AB61" s="1672">
        <f t="shared" si="32"/>
        <v>0</v>
      </c>
      <c r="AC61" s="1672">
        <f t="shared" si="32"/>
        <v>0</v>
      </c>
      <c r="AD61" s="1672">
        <f t="shared" si="32"/>
        <v>0</v>
      </c>
      <c r="AE61" s="1672">
        <f t="shared" si="32"/>
        <v>0</v>
      </c>
      <c r="AF61" s="1672">
        <f t="shared" si="32"/>
        <v>0</v>
      </c>
      <c r="AG61" s="1672">
        <f t="shared" si="32"/>
        <v>0</v>
      </c>
      <c r="AH61" s="1672">
        <f t="shared" si="32"/>
        <v>0</v>
      </c>
      <c r="AI61" s="1672">
        <f t="shared" si="32"/>
        <v>0</v>
      </c>
      <c r="AJ61" s="1672">
        <f t="shared" si="32"/>
        <v>0</v>
      </c>
      <c r="AK61" s="1672">
        <f t="shared" si="32"/>
        <v>0</v>
      </c>
      <c r="AL61" s="1672">
        <f t="shared" si="32"/>
        <v>0</v>
      </c>
      <c r="AM61" s="1672">
        <f t="shared" si="32"/>
        <v>0</v>
      </c>
      <c r="AN61" s="1672">
        <f t="shared" si="32"/>
        <v>0</v>
      </c>
      <c r="AO61" s="1672">
        <f t="shared" si="32"/>
        <v>0</v>
      </c>
      <c r="AP61" s="1672">
        <f t="shared" si="32"/>
        <v>0</v>
      </c>
      <c r="AQ61" s="1672">
        <f t="shared" si="32"/>
        <v>0</v>
      </c>
      <c r="AR61" s="1806">
        <f t="shared" si="32"/>
        <v>0</v>
      </c>
      <c r="AS61" s="1672">
        <f t="shared" si="32"/>
        <v>0</v>
      </c>
      <c r="AT61" s="1672">
        <f t="shared" si="32"/>
        <v>0</v>
      </c>
      <c r="AU61" s="1672">
        <f t="shared" si="32"/>
        <v>0</v>
      </c>
      <c r="AV61" s="1672">
        <f t="shared" si="32"/>
        <v>0</v>
      </c>
      <c r="AW61" s="1672">
        <f t="shared" si="32"/>
        <v>0</v>
      </c>
      <c r="AX61" s="1672">
        <f t="shared" si="32"/>
        <v>0</v>
      </c>
      <c r="AY61" s="1672">
        <f t="shared" si="32"/>
        <v>0</v>
      </c>
      <c r="AZ61" s="1672">
        <f t="shared" si="32"/>
        <v>0</v>
      </c>
      <c r="BA61" s="1672">
        <f t="shared" si="32"/>
        <v>0</v>
      </c>
      <c r="BB61" s="1672">
        <f t="shared" si="32"/>
        <v>0</v>
      </c>
      <c r="BC61" s="1672">
        <f t="shared" si="32"/>
        <v>0</v>
      </c>
      <c r="BD61" s="1672">
        <f t="shared" si="32"/>
        <v>0</v>
      </c>
      <c r="BE61" s="1672">
        <f t="shared" si="32"/>
        <v>0</v>
      </c>
      <c r="BF61" s="1807">
        <f t="shared" si="32"/>
        <v>0</v>
      </c>
      <c r="BG61" s="1678">
        <f t="shared" si="32"/>
        <v>0</v>
      </c>
      <c r="BH61" s="1679">
        <f t="shared" si="32"/>
        <v>0</v>
      </c>
      <c r="BI61" s="1652"/>
      <c r="BJ61" s="527"/>
      <c r="BK61" s="527"/>
      <c r="BL61" s="527"/>
      <c r="BM61" s="527"/>
      <c r="BN61" s="527"/>
    </row>
    <row r="62" spans="1:66" ht="14.25">
      <c r="A62" s="2077"/>
      <c r="B62" s="784"/>
      <c r="C62" s="784" t="s">
        <v>1244</v>
      </c>
      <c r="D62" s="1802" t="s">
        <v>1245</v>
      </c>
      <c r="E62" s="1670" t="s">
        <v>1234</v>
      </c>
      <c r="F62" s="1670" t="s">
        <v>1232</v>
      </c>
      <c r="G62" s="1718" t="s">
        <v>1229</v>
      </c>
      <c r="H62" s="1672">
        <f t="shared" si="33"/>
        <v>462.06543967280163</v>
      </c>
      <c r="I62" s="1672">
        <f t="shared" si="32"/>
        <v>0</v>
      </c>
      <c r="J62" s="1672">
        <f t="shared" si="32"/>
        <v>0</v>
      </c>
      <c r="K62" s="1672">
        <f t="shared" si="32"/>
        <v>462.06543967280163</v>
      </c>
      <c r="L62" s="1672">
        <f t="shared" si="32"/>
        <v>0</v>
      </c>
      <c r="M62" s="1672">
        <f t="shared" si="32"/>
        <v>0</v>
      </c>
      <c r="N62" s="1672">
        <f t="shared" si="32"/>
        <v>462.06543967280163</v>
      </c>
      <c r="O62" s="1672">
        <f t="shared" si="32"/>
        <v>0</v>
      </c>
      <c r="P62" s="1672">
        <f t="shared" si="32"/>
        <v>0</v>
      </c>
      <c r="Q62" s="1672">
        <f t="shared" si="32"/>
        <v>462.06543967280163</v>
      </c>
      <c r="R62" s="1672">
        <f t="shared" si="32"/>
        <v>0</v>
      </c>
      <c r="S62" s="1672">
        <f t="shared" si="32"/>
        <v>0</v>
      </c>
      <c r="T62" s="1672">
        <f t="shared" si="32"/>
        <v>462.06543967280163</v>
      </c>
      <c r="U62" s="1672">
        <f t="shared" si="32"/>
        <v>0</v>
      </c>
      <c r="V62" s="1672">
        <f t="shared" si="32"/>
        <v>0</v>
      </c>
      <c r="W62" s="1672">
        <f t="shared" si="32"/>
        <v>231.0429447852761</v>
      </c>
      <c r="X62" s="1672">
        <f t="shared" si="32"/>
        <v>0</v>
      </c>
      <c r="Y62" s="1672">
        <f t="shared" si="32"/>
        <v>0</v>
      </c>
      <c r="Z62" s="1672">
        <f t="shared" si="32"/>
        <v>0</v>
      </c>
      <c r="AA62" s="1672">
        <f t="shared" si="32"/>
        <v>0</v>
      </c>
      <c r="AB62" s="1672">
        <f t="shared" si="32"/>
        <v>0</v>
      </c>
      <c r="AC62" s="1672">
        <f t="shared" si="32"/>
        <v>0</v>
      </c>
      <c r="AD62" s="1672">
        <f t="shared" si="32"/>
        <v>0</v>
      </c>
      <c r="AE62" s="1672">
        <f t="shared" si="32"/>
        <v>0</v>
      </c>
      <c r="AF62" s="1672">
        <f t="shared" si="32"/>
        <v>231.0429447852761</v>
      </c>
      <c r="AG62" s="1672">
        <f t="shared" si="32"/>
        <v>0</v>
      </c>
      <c r="AH62" s="1672">
        <f t="shared" si="32"/>
        <v>0</v>
      </c>
      <c r="AI62" s="1672">
        <f t="shared" si="32"/>
        <v>462.06543967280163</v>
      </c>
      <c r="AJ62" s="1672">
        <f t="shared" si="32"/>
        <v>0</v>
      </c>
      <c r="AK62" s="1672">
        <f t="shared" si="32"/>
        <v>0</v>
      </c>
      <c r="AL62" s="1672">
        <f t="shared" si="32"/>
        <v>462.06543967280163</v>
      </c>
      <c r="AM62" s="1672">
        <f t="shared" si="32"/>
        <v>0</v>
      </c>
      <c r="AN62" s="1672">
        <f t="shared" si="32"/>
        <v>0</v>
      </c>
      <c r="AO62" s="1672">
        <f t="shared" si="32"/>
        <v>462.06543967280163</v>
      </c>
      <c r="AP62" s="1672">
        <f t="shared" si="32"/>
        <v>0</v>
      </c>
      <c r="AQ62" s="1672">
        <f t="shared" si="32"/>
        <v>-462.06543967280163</v>
      </c>
      <c r="AR62" s="1806">
        <f t="shared" si="32"/>
        <v>4158.6094069529645</v>
      </c>
      <c r="AS62" s="1672">
        <f t="shared" si="32"/>
        <v>0</v>
      </c>
      <c r="AT62" s="1672">
        <f t="shared" si="32"/>
        <v>-4158.6094069529645</v>
      </c>
      <c r="AU62" s="1672">
        <f aca="true" t="shared" si="34" ref="I62:BH66">AU21+AU41</f>
        <v>1386.196319018405</v>
      </c>
      <c r="AV62" s="1672">
        <f t="shared" si="34"/>
        <v>0</v>
      </c>
      <c r="AW62" s="1672">
        <f t="shared" si="34"/>
        <v>-1386.196319018405</v>
      </c>
      <c r="AX62" s="1672">
        <f t="shared" si="34"/>
        <v>1155.1738241308794</v>
      </c>
      <c r="AY62" s="1672">
        <f t="shared" si="34"/>
        <v>0</v>
      </c>
      <c r="AZ62" s="1672">
        <f t="shared" si="34"/>
        <v>1155.1738241308794</v>
      </c>
      <c r="BA62" s="1672">
        <f t="shared" si="34"/>
        <v>231.0429447852761</v>
      </c>
      <c r="BB62" s="1672">
        <f t="shared" si="34"/>
        <v>0</v>
      </c>
      <c r="BC62" s="1672">
        <f t="shared" si="34"/>
        <v>-231.0429447852761</v>
      </c>
      <c r="BD62" s="1672">
        <f t="shared" si="34"/>
        <v>1386.196319018405</v>
      </c>
      <c r="BE62" s="1672">
        <f t="shared" si="34"/>
        <v>0</v>
      </c>
      <c r="BF62" s="1807">
        <f t="shared" si="34"/>
        <v>-1386.196319018405</v>
      </c>
      <c r="BG62" s="1678">
        <f t="shared" si="34"/>
        <v>2541.3701431492846</v>
      </c>
      <c r="BH62" s="1679">
        <f t="shared" si="34"/>
        <v>1617.239263803681</v>
      </c>
      <c r="BI62" s="1652"/>
      <c r="BJ62" s="527"/>
      <c r="BK62" s="527"/>
      <c r="BL62" s="527"/>
      <c r="BM62" s="527"/>
      <c r="BN62" s="527"/>
    </row>
    <row r="63" spans="1:66" ht="14.25">
      <c r="A63" s="2077"/>
      <c r="B63" s="784"/>
      <c r="C63" s="784" t="s">
        <v>1244</v>
      </c>
      <c r="D63" s="1802" t="s">
        <v>1245</v>
      </c>
      <c r="E63" s="1670" t="s">
        <v>1235</v>
      </c>
      <c r="F63" s="1670" t="s">
        <v>1232</v>
      </c>
      <c r="G63" s="1718" t="s">
        <v>1231</v>
      </c>
      <c r="H63" s="1672">
        <f t="shared" si="33"/>
        <v>0</v>
      </c>
      <c r="I63" s="1672">
        <f t="shared" si="34"/>
        <v>0</v>
      </c>
      <c r="J63" s="1672">
        <f t="shared" si="34"/>
        <v>0</v>
      </c>
      <c r="K63" s="1672">
        <f t="shared" si="34"/>
        <v>0</v>
      </c>
      <c r="L63" s="1672">
        <f t="shared" si="34"/>
        <v>0</v>
      </c>
      <c r="M63" s="1672">
        <f t="shared" si="34"/>
        <v>0</v>
      </c>
      <c r="N63" s="1672">
        <f t="shared" si="34"/>
        <v>0</v>
      </c>
      <c r="O63" s="1672">
        <f t="shared" si="34"/>
        <v>0</v>
      </c>
      <c r="P63" s="1672">
        <f t="shared" si="34"/>
        <v>0</v>
      </c>
      <c r="Q63" s="1672">
        <f t="shared" si="34"/>
        <v>0</v>
      </c>
      <c r="R63" s="1672">
        <f t="shared" si="34"/>
        <v>0</v>
      </c>
      <c r="S63" s="1672">
        <f t="shared" si="34"/>
        <v>0</v>
      </c>
      <c r="T63" s="1672">
        <f t="shared" si="34"/>
        <v>0</v>
      </c>
      <c r="U63" s="1672">
        <f t="shared" si="34"/>
        <v>0</v>
      </c>
      <c r="V63" s="1672">
        <f t="shared" si="34"/>
        <v>0</v>
      </c>
      <c r="W63" s="1672">
        <f t="shared" si="34"/>
        <v>0</v>
      </c>
      <c r="X63" s="1672">
        <f t="shared" si="34"/>
        <v>0</v>
      </c>
      <c r="Y63" s="1672">
        <f t="shared" si="34"/>
        <v>0</v>
      </c>
      <c r="Z63" s="1672">
        <f t="shared" si="34"/>
        <v>0</v>
      </c>
      <c r="AA63" s="1672">
        <f t="shared" si="34"/>
        <v>0</v>
      </c>
      <c r="AB63" s="1672">
        <f t="shared" si="34"/>
        <v>0</v>
      </c>
      <c r="AC63" s="1672">
        <f t="shared" si="34"/>
        <v>0</v>
      </c>
      <c r="AD63" s="1672">
        <f t="shared" si="34"/>
        <v>0</v>
      </c>
      <c r="AE63" s="1672">
        <f t="shared" si="34"/>
        <v>0</v>
      </c>
      <c r="AF63" s="1672">
        <f t="shared" si="34"/>
        <v>0</v>
      </c>
      <c r="AG63" s="1672">
        <f t="shared" si="34"/>
        <v>0</v>
      </c>
      <c r="AH63" s="1672">
        <f t="shared" si="34"/>
        <v>0</v>
      </c>
      <c r="AI63" s="1672">
        <f t="shared" si="34"/>
        <v>0</v>
      </c>
      <c r="AJ63" s="1672">
        <f t="shared" si="34"/>
        <v>0</v>
      </c>
      <c r="AK63" s="1672">
        <f t="shared" si="34"/>
        <v>0</v>
      </c>
      <c r="AL63" s="1672">
        <f t="shared" si="34"/>
        <v>0</v>
      </c>
      <c r="AM63" s="1672">
        <f t="shared" si="34"/>
        <v>0</v>
      </c>
      <c r="AN63" s="1672">
        <f t="shared" si="34"/>
        <v>0</v>
      </c>
      <c r="AO63" s="1672">
        <f t="shared" si="34"/>
        <v>0</v>
      </c>
      <c r="AP63" s="1672">
        <f t="shared" si="34"/>
        <v>0</v>
      </c>
      <c r="AQ63" s="1672">
        <f t="shared" si="34"/>
        <v>0</v>
      </c>
      <c r="AR63" s="1806">
        <f t="shared" si="34"/>
        <v>0</v>
      </c>
      <c r="AS63" s="1672">
        <f t="shared" si="34"/>
        <v>0</v>
      </c>
      <c r="AT63" s="1672">
        <f t="shared" si="34"/>
        <v>0</v>
      </c>
      <c r="AU63" s="1672">
        <f t="shared" si="34"/>
        <v>0</v>
      </c>
      <c r="AV63" s="1672">
        <f t="shared" si="34"/>
        <v>0</v>
      </c>
      <c r="AW63" s="1672">
        <f t="shared" si="34"/>
        <v>0</v>
      </c>
      <c r="AX63" s="1672">
        <f t="shared" si="34"/>
        <v>0</v>
      </c>
      <c r="AY63" s="1672">
        <f t="shared" si="34"/>
        <v>0</v>
      </c>
      <c r="AZ63" s="1672">
        <f t="shared" si="34"/>
        <v>0</v>
      </c>
      <c r="BA63" s="1672">
        <f t="shared" si="34"/>
        <v>0</v>
      </c>
      <c r="BB63" s="1672">
        <f t="shared" si="34"/>
        <v>0</v>
      </c>
      <c r="BC63" s="1672">
        <f t="shared" si="34"/>
        <v>0</v>
      </c>
      <c r="BD63" s="1672">
        <f t="shared" si="34"/>
        <v>0</v>
      </c>
      <c r="BE63" s="1672">
        <f t="shared" si="34"/>
        <v>0</v>
      </c>
      <c r="BF63" s="1807">
        <f t="shared" si="34"/>
        <v>0</v>
      </c>
      <c r="BG63" s="1678">
        <f t="shared" si="34"/>
        <v>0</v>
      </c>
      <c r="BH63" s="1679">
        <f t="shared" si="34"/>
        <v>0</v>
      </c>
      <c r="BI63" s="1652"/>
      <c r="BJ63" s="527"/>
      <c r="BK63" s="527"/>
      <c r="BL63" s="527"/>
      <c r="BM63" s="527"/>
      <c r="BN63" s="527"/>
    </row>
    <row r="64" spans="1:66" ht="14.25">
      <c r="A64" s="2077"/>
      <c r="B64" s="789"/>
      <c r="C64" s="784" t="s">
        <v>1244</v>
      </c>
      <c r="D64" s="1802" t="s">
        <v>1245</v>
      </c>
      <c r="E64" s="1670" t="s">
        <v>1513</v>
      </c>
      <c r="F64" s="1670" t="s">
        <v>1236</v>
      </c>
      <c r="G64" s="1811" t="s">
        <v>1237</v>
      </c>
      <c r="H64" s="1672">
        <f t="shared" si="33"/>
        <v>18</v>
      </c>
      <c r="I64" s="1672">
        <f t="shared" si="34"/>
        <v>4</v>
      </c>
      <c r="J64" s="1672">
        <f t="shared" si="34"/>
        <v>-14</v>
      </c>
      <c r="K64" s="1672">
        <f t="shared" si="34"/>
        <v>16</v>
      </c>
      <c r="L64" s="1672">
        <f t="shared" si="34"/>
        <v>13</v>
      </c>
      <c r="M64" s="1672">
        <f t="shared" si="34"/>
        <v>-3</v>
      </c>
      <c r="N64" s="1672">
        <f t="shared" si="34"/>
        <v>14</v>
      </c>
      <c r="O64" s="1672">
        <f t="shared" si="34"/>
        <v>10</v>
      </c>
      <c r="P64" s="1672">
        <f t="shared" si="34"/>
        <v>-4</v>
      </c>
      <c r="Q64" s="1672">
        <f t="shared" si="34"/>
        <v>10</v>
      </c>
      <c r="R64" s="1672">
        <f t="shared" si="34"/>
        <v>7</v>
      </c>
      <c r="S64" s="1672">
        <f t="shared" si="34"/>
        <v>-3</v>
      </c>
      <c r="T64" s="1672">
        <f t="shared" si="34"/>
        <v>7</v>
      </c>
      <c r="U64" s="1672">
        <f t="shared" si="34"/>
        <v>5</v>
      </c>
      <c r="V64" s="1672">
        <f t="shared" si="34"/>
        <v>-2</v>
      </c>
      <c r="W64" s="1672">
        <f t="shared" si="34"/>
        <v>3</v>
      </c>
      <c r="X64" s="1672">
        <f t="shared" si="34"/>
        <v>2</v>
      </c>
      <c r="Y64" s="1672">
        <f t="shared" si="34"/>
        <v>-1</v>
      </c>
      <c r="Z64" s="1672">
        <f t="shared" si="34"/>
        <v>0</v>
      </c>
      <c r="AA64" s="1672">
        <f t="shared" si="34"/>
        <v>0</v>
      </c>
      <c r="AB64" s="1672">
        <f t="shared" si="34"/>
        <v>0</v>
      </c>
      <c r="AC64" s="1672">
        <f t="shared" si="34"/>
        <v>0</v>
      </c>
      <c r="AD64" s="1672">
        <f t="shared" si="34"/>
        <v>0</v>
      </c>
      <c r="AE64" s="1672">
        <f t="shared" si="34"/>
        <v>0</v>
      </c>
      <c r="AF64" s="1672">
        <f t="shared" si="34"/>
        <v>6</v>
      </c>
      <c r="AG64" s="1672">
        <f t="shared" si="34"/>
        <v>0</v>
      </c>
      <c r="AH64" s="1672">
        <f t="shared" si="34"/>
        <v>-6</v>
      </c>
      <c r="AI64" s="1672">
        <f t="shared" si="34"/>
        <v>8</v>
      </c>
      <c r="AJ64" s="1672">
        <f t="shared" si="34"/>
        <v>9</v>
      </c>
      <c r="AK64" s="1672">
        <f t="shared" si="34"/>
        <v>1</v>
      </c>
      <c r="AL64" s="1672">
        <f t="shared" si="34"/>
        <v>13</v>
      </c>
      <c r="AM64" s="1672">
        <f t="shared" si="34"/>
        <v>14</v>
      </c>
      <c r="AN64" s="1672">
        <f t="shared" si="34"/>
        <v>1</v>
      </c>
      <c r="AO64" s="1672">
        <f t="shared" si="34"/>
        <v>18</v>
      </c>
      <c r="AP64" s="1672">
        <f t="shared" si="34"/>
        <v>19</v>
      </c>
      <c r="AQ64" s="1672">
        <f t="shared" si="34"/>
        <v>1</v>
      </c>
      <c r="AR64" s="1806">
        <f t="shared" si="34"/>
        <v>113</v>
      </c>
      <c r="AS64" s="1672">
        <f t="shared" si="34"/>
        <v>0</v>
      </c>
      <c r="AT64" s="1672">
        <f t="shared" si="34"/>
        <v>-113</v>
      </c>
      <c r="AU64" s="1672">
        <f t="shared" si="34"/>
        <v>48</v>
      </c>
      <c r="AV64" s="1672">
        <f t="shared" si="34"/>
        <v>27</v>
      </c>
      <c r="AW64" s="1672">
        <f t="shared" si="34"/>
        <v>-21</v>
      </c>
      <c r="AX64" s="1672">
        <f t="shared" si="34"/>
        <v>20</v>
      </c>
      <c r="AY64" s="1672">
        <f t="shared" si="34"/>
        <v>14</v>
      </c>
      <c r="AZ64" s="1672">
        <f t="shared" si="34"/>
        <v>-6</v>
      </c>
      <c r="BA64" s="1672">
        <f t="shared" si="34"/>
        <v>6</v>
      </c>
      <c r="BB64" s="1672">
        <f t="shared" si="34"/>
        <v>0</v>
      </c>
      <c r="BC64" s="1672">
        <f t="shared" si="34"/>
        <v>-6</v>
      </c>
      <c r="BD64" s="1672">
        <f t="shared" si="34"/>
        <v>39</v>
      </c>
      <c r="BE64" s="1672">
        <f t="shared" si="34"/>
        <v>34</v>
      </c>
      <c r="BF64" s="1807">
        <f t="shared" si="34"/>
        <v>-5</v>
      </c>
      <c r="BG64" s="1678">
        <f t="shared" si="34"/>
        <v>68</v>
      </c>
      <c r="BH64" s="1679">
        <f t="shared" si="34"/>
        <v>45</v>
      </c>
      <c r="BI64" s="1652"/>
      <c r="BJ64" s="527"/>
      <c r="BK64" s="527"/>
      <c r="BL64" s="527"/>
      <c r="BM64" s="527"/>
      <c r="BN64" s="527"/>
    </row>
    <row r="65" spans="1:66" ht="14.25">
      <c r="A65" s="2077"/>
      <c r="B65" s="789"/>
      <c r="C65" s="784" t="s">
        <v>1244</v>
      </c>
      <c r="D65" s="1802" t="s">
        <v>1245</v>
      </c>
      <c r="E65" s="1670" t="s">
        <v>1238</v>
      </c>
      <c r="F65" s="1670" t="s">
        <v>1232</v>
      </c>
      <c r="G65" s="1811" t="s">
        <v>1239</v>
      </c>
      <c r="H65" s="1672">
        <f t="shared" si="33"/>
        <v>468.9908841172461</v>
      </c>
      <c r="I65" s="1672">
        <f t="shared" si="34"/>
        <v>0</v>
      </c>
      <c r="J65" s="1672">
        <f t="shared" si="34"/>
        <v>6.557444444444445</v>
      </c>
      <c r="K65" s="1672">
        <f t="shared" si="34"/>
        <v>468.9908841172461</v>
      </c>
      <c r="L65" s="1672">
        <f t="shared" si="34"/>
        <v>5.614777777777778</v>
      </c>
      <c r="M65" s="1672">
        <f t="shared" si="34"/>
        <v>4.587555555555556</v>
      </c>
      <c r="N65" s="1672">
        <f t="shared" si="34"/>
        <v>468.9908841172461</v>
      </c>
      <c r="O65" s="1672">
        <f t="shared" si="34"/>
        <v>5.614777777777778</v>
      </c>
      <c r="P65" s="1672">
        <f t="shared" si="34"/>
        <v>4.587555555555556</v>
      </c>
      <c r="Q65" s="1672">
        <f t="shared" si="34"/>
        <v>468.9908841172461</v>
      </c>
      <c r="R65" s="1672">
        <f t="shared" si="34"/>
        <v>5.614777777777778</v>
      </c>
      <c r="S65" s="1672">
        <f t="shared" si="34"/>
        <v>4.587555555555556</v>
      </c>
      <c r="T65" s="1672">
        <f t="shared" si="34"/>
        <v>468.9908841172461</v>
      </c>
      <c r="U65" s="1672">
        <f t="shared" si="34"/>
        <v>5.614777777777778</v>
      </c>
      <c r="V65" s="1672">
        <f t="shared" si="34"/>
        <v>4.587555555555556</v>
      </c>
      <c r="W65" s="1672">
        <f t="shared" si="34"/>
        <v>234.50566700749832</v>
      </c>
      <c r="X65" s="1672">
        <f t="shared" si="34"/>
        <v>6.557444444444445</v>
      </c>
      <c r="Y65" s="1672">
        <f t="shared" si="34"/>
        <v>6.557444444444445</v>
      </c>
      <c r="Z65" s="1672">
        <f t="shared" si="34"/>
        <v>0</v>
      </c>
      <c r="AA65" s="1672">
        <f t="shared" si="34"/>
        <v>0</v>
      </c>
      <c r="AB65" s="1672">
        <f t="shared" si="34"/>
        <v>0</v>
      </c>
      <c r="AC65" s="1672">
        <f t="shared" si="34"/>
        <v>0</v>
      </c>
      <c r="AD65" s="1672">
        <f t="shared" si="34"/>
        <v>5.614777777777778</v>
      </c>
      <c r="AE65" s="1672">
        <f t="shared" si="34"/>
        <v>5.614777777777778</v>
      </c>
      <c r="AF65" s="1672">
        <f t="shared" si="34"/>
        <v>234.50566700749832</v>
      </c>
      <c r="AG65" s="1672">
        <f t="shared" si="34"/>
        <v>6.557444444444445</v>
      </c>
      <c r="AH65" s="1672">
        <f t="shared" si="34"/>
        <v>6.557444444444445</v>
      </c>
      <c r="AI65" s="1672">
        <f t="shared" si="34"/>
        <v>468.9908841172461</v>
      </c>
      <c r="AJ65" s="1672">
        <f t="shared" si="34"/>
        <v>6.557444444444445</v>
      </c>
      <c r="AK65" s="1672">
        <f t="shared" si="34"/>
        <v>6.557444444444445</v>
      </c>
      <c r="AL65" s="1672">
        <f t="shared" si="34"/>
        <v>468.9908841172461</v>
      </c>
      <c r="AM65" s="1672">
        <f t="shared" si="34"/>
        <v>6.557444444444445</v>
      </c>
      <c r="AN65" s="1672">
        <f t="shared" si="34"/>
        <v>6.557444444444445</v>
      </c>
      <c r="AO65" s="1672">
        <f t="shared" si="34"/>
        <v>468.9908841172461</v>
      </c>
      <c r="AP65" s="1672">
        <f t="shared" si="34"/>
        <v>611</v>
      </c>
      <c r="AQ65" s="1672">
        <f t="shared" si="34"/>
        <v>142.00911588275392</v>
      </c>
      <c r="AR65" s="1806">
        <f t="shared" si="34"/>
        <v>4220.938406952965</v>
      </c>
      <c r="AS65" s="1672">
        <f t="shared" si="34"/>
        <v>4.770666666666667</v>
      </c>
      <c r="AT65" s="1672">
        <f t="shared" si="34"/>
        <v>-4216.167740286299</v>
      </c>
      <c r="AU65" s="1672">
        <f t="shared" si="34"/>
        <v>1406.9726523517381</v>
      </c>
      <c r="AV65" s="1672">
        <f t="shared" si="34"/>
        <v>11.229555555555557</v>
      </c>
      <c r="AW65" s="1672">
        <f t="shared" si="34"/>
        <v>-1395.7430967961825</v>
      </c>
      <c r="AX65" s="1672">
        <f t="shared" si="34"/>
        <v>1172.4874352419904</v>
      </c>
      <c r="AY65" s="1672">
        <f t="shared" si="34"/>
        <v>17.787000000000003</v>
      </c>
      <c r="AZ65" s="1672">
        <f t="shared" si="34"/>
        <v>1151.4496574642128</v>
      </c>
      <c r="BA65" s="1672">
        <f t="shared" si="34"/>
        <v>234.50566700749832</v>
      </c>
      <c r="BB65" s="1672">
        <f t="shared" si="34"/>
        <v>0.9426666666666667</v>
      </c>
      <c r="BC65" s="1672">
        <f t="shared" si="34"/>
        <v>-233.56300034083165</v>
      </c>
      <c r="BD65" s="1672">
        <f t="shared" si="34"/>
        <v>1406.9726523517381</v>
      </c>
      <c r="BE65" s="1672">
        <f t="shared" si="34"/>
        <v>621.2295555555555</v>
      </c>
      <c r="BF65" s="1807">
        <f t="shared" si="34"/>
        <v>-785.7430967961826</v>
      </c>
      <c r="BG65" s="1678">
        <f t="shared" si="34"/>
        <v>2579.4600875937285</v>
      </c>
      <c r="BH65" s="1679">
        <f t="shared" si="34"/>
        <v>1641.4783193592364</v>
      </c>
      <c r="BI65" s="1796"/>
      <c r="BJ65" s="527"/>
      <c r="BK65" s="527"/>
      <c r="BL65" s="527"/>
      <c r="BM65" s="527"/>
      <c r="BN65" s="527"/>
    </row>
    <row r="66" spans="1:66" ht="14.25">
      <c r="A66" s="2078"/>
      <c r="B66" s="789"/>
      <c r="C66" s="784" t="s">
        <v>1244</v>
      </c>
      <c r="D66" s="1802" t="s">
        <v>1245</v>
      </c>
      <c r="E66" s="1670" t="s">
        <v>1240</v>
      </c>
      <c r="F66" s="1670" t="s">
        <v>1232</v>
      </c>
      <c r="G66" s="1729" t="s">
        <v>1241</v>
      </c>
      <c r="H66" s="1672">
        <f t="shared" si="33"/>
        <v>0</v>
      </c>
      <c r="I66" s="1672">
        <f t="shared" si="34"/>
        <v>0</v>
      </c>
      <c r="J66" s="1672">
        <f t="shared" si="34"/>
        <v>0</v>
      </c>
      <c r="K66" s="1672">
        <f t="shared" si="34"/>
        <v>0</v>
      </c>
      <c r="L66" s="1672">
        <f t="shared" si="34"/>
        <v>0</v>
      </c>
      <c r="M66" s="1672">
        <f t="shared" si="34"/>
        <v>0</v>
      </c>
      <c r="N66" s="1672">
        <f t="shared" si="34"/>
        <v>0</v>
      </c>
      <c r="O66" s="1672">
        <f t="shared" si="34"/>
        <v>0</v>
      </c>
      <c r="P66" s="1672">
        <f t="shared" si="34"/>
        <v>0</v>
      </c>
      <c r="Q66" s="1672">
        <f t="shared" si="34"/>
        <v>0</v>
      </c>
      <c r="R66" s="1672">
        <f t="shared" si="34"/>
        <v>0</v>
      </c>
      <c r="S66" s="1672">
        <f t="shared" si="34"/>
        <v>0</v>
      </c>
      <c r="T66" s="1672">
        <f t="shared" si="34"/>
        <v>0</v>
      </c>
      <c r="U66" s="1672">
        <f t="shared" si="34"/>
        <v>0</v>
      </c>
      <c r="V66" s="1672">
        <f t="shared" si="34"/>
        <v>0</v>
      </c>
      <c r="W66" s="1672">
        <f t="shared" si="34"/>
        <v>0</v>
      </c>
      <c r="X66" s="1672">
        <f t="shared" si="34"/>
        <v>0</v>
      </c>
      <c r="Y66" s="1672">
        <f t="shared" si="34"/>
        <v>0</v>
      </c>
      <c r="Z66" s="1672">
        <f t="shared" si="34"/>
        <v>0</v>
      </c>
      <c r="AA66" s="1672">
        <f t="shared" si="34"/>
        <v>0</v>
      </c>
      <c r="AB66" s="1672">
        <f t="shared" si="34"/>
        <v>0</v>
      </c>
      <c r="AC66" s="1672">
        <f t="shared" si="34"/>
        <v>0</v>
      </c>
      <c r="AD66" s="1672">
        <f t="shared" si="34"/>
        <v>0</v>
      </c>
      <c r="AE66" s="1672">
        <f t="shared" si="34"/>
        <v>0</v>
      </c>
      <c r="AF66" s="1672">
        <f t="shared" si="34"/>
        <v>0</v>
      </c>
      <c r="AG66" s="1672">
        <f t="shared" si="34"/>
        <v>0</v>
      </c>
      <c r="AH66" s="1672">
        <f t="shared" si="34"/>
        <v>0</v>
      </c>
      <c r="AI66" s="1672">
        <f t="shared" si="34"/>
        <v>0</v>
      </c>
      <c r="AJ66" s="1672">
        <f t="shared" si="34"/>
        <v>0</v>
      </c>
      <c r="AK66" s="1672">
        <f t="shared" si="34"/>
        <v>0</v>
      </c>
      <c r="AL66" s="1672">
        <f t="shared" si="34"/>
        <v>0</v>
      </c>
      <c r="AM66" s="1672">
        <f t="shared" si="34"/>
        <v>0</v>
      </c>
      <c r="AN66" s="1672">
        <f t="shared" si="34"/>
        <v>0</v>
      </c>
      <c r="AO66" s="1672">
        <f t="shared" si="34"/>
        <v>0</v>
      </c>
      <c r="AP66" s="1672">
        <f t="shared" si="34"/>
        <v>0</v>
      </c>
      <c r="AQ66" s="1672">
        <f t="shared" si="34"/>
        <v>0</v>
      </c>
      <c r="AR66" s="1806">
        <f t="shared" si="34"/>
        <v>0</v>
      </c>
      <c r="AS66" s="1672">
        <f t="shared" si="34"/>
        <v>0</v>
      </c>
      <c r="AT66" s="1672">
        <f t="shared" si="34"/>
        <v>0</v>
      </c>
      <c r="AU66" s="1672">
        <f t="shared" si="34"/>
        <v>0</v>
      </c>
      <c r="AV66" s="1672">
        <f t="shared" si="34"/>
        <v>0</v>
      </c>
      <c r="AW66" s="1672">
        <f t="shared" si="34"/>
        <v>0</v>
      </c>
      <c r="AX66" s="1672">
        <f t="shared" si="34"/>
        <v>0</v>
      </c>
      <c r="AY66" s="1672">
        <f t="shared" si="34"/>
        <v>0</v>
      </c>
      <c r="AZ66" s="1672">
        <f t="shared" si="34"/>
        <v>0</v>
      </c>
      <c r="BA66" s="1672">
        <f t="shared" si="34"/>
        <v>0</v>
      </c>
      <c r="BB66" s="1672">
        <f t="shared" si="34"/>
        <v>0</v>
      </c>
      <c r="BC66" s="1672">
        <f t="shared" si="34"/>
        <v>0</v>
      </c>
      <c r="BD66" s="1672">
        <f t="shared" si="34"/>
        <v>0</v>
      </c>
      <c r="BE66" s="1672">
        <f t="shared" si="34"/>
        <v>0</v>
      </c>
      <c r="BF66" s="1807">
        <f t="shared" si="34"/>
        <v>0</v>
      </c>
      <c r="BG66" s="1678">
        <f t="shared" si="34"/>
        <v>0</v>
      </c>
      <c r="BH66" s="1679">
        <f t="shared" si="34"/>
        <v>0</v>
      </c>
      <c r="BI66" s="1652"/>
      <c r="BJ66" s="527"/>
      <c r="BK66" s="527"/>
      <c r="BL66" s="527"/>
      <c r="BM66" s="527"/>
      <c r="BN66" s="527"/>
    </row>
    <row r="67" spans="1:66" ht="15" thickBot="1">
      <c r="A67" s="1732" t="s">
        <v>656</v>
      </c>
      <c r="B67" s="1732" t="s">
        <v>656</v>
      </c>
      <c r="C67" s="1732" t="s">
        <v>656</v>
      </c>
      <c r="D67" s="1732" t="s">
        <v>656</v>
      </c>
      <c r="E67" s="1732" t="s">
        <v>656</v>
      </c>
      <c r="F67" s="1732" t="s">
        <v>656</v>
      </c>
      <c r="G67" s="1732" t="s">
        <v>656</v>
      </c>
      <c r="H67" s="1732" t="s">
        <v>656</v>
      </c>
      <c r="I67" s="1732" t="s">
        <v>656</v>
      </c>
      <c r="J67" s="1732" t="s">
        <v>656</v>
      </c>
      <c r="K67" s="1732" t="s">
        <v>656</v>
      </c>
      <c r="L67" s="1732" t="s">
        <v>656</v>
      </c>
      <c r="M67" s="1732" t="s">
        <v>656</v>
      </c>
      <c r="N67" s="1732" t="s">
        <v>656</v>
      </c>
      <c r="O67" s="1732" t="s">
        <v>656</v>
      </c>
      <c r="P67" s="1732" t="s">
        <v>656</v>
      </c>
      <c r="Q67" s="1732" t="s">
        <v>656</v>
      </c>
      <c r="R67" s="1732" t="s">
        <v>656</v>
      </c>
      <c r="S67" s="1732" t="s">
        <v>656</v>
      </c>
      <c r="T67" s="1732" t="s">
        <v>656</v>
      </c>
      <c r="U67" s="1732" t="s">
        <v>656</v>
      </c>
      <c r="V67" s="1732" t="s">
        <v>656</v>
      </c>
      <c r="W67" s="1732" t="s">
        <v>656</v>
      </c>
      <c r="X67" s="1732" t="s">
        <v>656</v>
      </c>
      <c r="Y67" s="1732" t="s">
        <v>656</v>
      </c>
      <c r="Z67" s="1732" t="s">
        <v>656</v>
      </c>
      <c r="AA67" s="1732" t="s">
        <v>656</v>
      </c>
      <c r="AB67" s="1732" t="s">
        <v>656</v>
      </c>
      <c r="AC67" s="1732" t="s">
        <v>656</v>
      </c>
      <c r="AD67" s="1732" t="s">
        <v>656</v>
      </c>
      <c r="AE67" s="1732" t="s">
        <v>656</v>
      </c>
      <c r="AF67" s="1732" t="s">
        <v>656</v>
      </c>
      <c r="AG67" s="1732" t="s">
        <v>656</v>
      </c>
      <c r="AH67" s="1732" t="s">
        <v>656</v>
      </c>
      <c r="AI67" s="1732" t="s">
        <v>656</v>
      </c>
      <c r="AJ67" s="1732" t="s">
        <v>656</v>
      </c>
      <c r="AK67" s="1732" t="s">
        <v>656</v>
      </c>
      <c r="AL67" s="1732" t="s">
        <v>656</v>
      </c>
      <c r="AM67" s="1732" t="s">
        <v>656</v>
      </c>
      <c r="AN67" s="1732" t="s">
        <v>656</v>
      </c>
      <c r="AO67" s="1732" t="s">
        <v>656</v>
      </c>
      <c r="AP67" s="1732" t="s">
        <v>656</v>
      </c>
      <c r="AQ67" s="1732" t="s">
        <v>656</v>
      </c>
      <c r="AR67" s="1732" t="s">
        <v>656</v>
      </c>
      <c r="AS67" s="1732" t="s">
        <v>656</v>
      </c>
      <c r="AT67" s="1732" t="s">
        <v>656</v>
      </c>
      <c r="AU67" s="1732" t="s">
        <v>656</v>
      </c>
      <c r="AV67" s="1732" t="s">
        <v>656</v>
      </c>
      <c r="AW67" s="1732" t="s">
        <v>656</v>
      </c>
      <c r="AX67" s="1732" t="s">
        <v>656</v>
      </c>
      <c r="AY67" s="1732" t="s">
        <v>656</v>
      </c>
      <c r="AZ67" s="1732" t="s">
        <v>656</v>
      </c>
      <c r="BA67" s="1732" t="s">
        <v>656</v>
      </c>
      <c r="BB67" s="1732" t="s">
        <v>656</v>
      </c>
      <c r="BC67" s="1732" t="s">
        <v>656</v>
      </c>
      <c r="BD67" s="1732" t="s">
        <v>656</v>
      </c>
      <c r="BE67" s="1732" t="s">
        <v>656</v>
      </c>
      <c r="BF67" s="1734" t="s">
        <v>656</v>
      </c>
      <c r="BG67" s="1812"/>
      <c r="BH67" s="1813"/>
      <c r="BI67" s="1652"/>
      <c r="BJ67" s="527"/>
      <c r="BK67" s="527"/>
      <c r="BL67" s="527"/>
      <c r="BM67" s="527"/>
      <c r="BN67" s="527"/>
    </row>
    <row r="68" spans="1:66" ht="14.25">
      <c r="A68" s="1652"/>
      <c r="B68" s="1652"/>
      <c r="C68" s="1652"/>
      <c r="D68" s="1652"/>
      <c r="E68" s="1652"/>
      <c r="F68" s="1652"/>
      <c r="G68" s="1652"/>
      <c r="H68" s="1652"/>
      <c r="I68" s="1652"/>
      <c r="J68" s="1652"/>
      <c r="K68" s="1652"/>
      <c r="L68" s="1652"/>
      <c r="M68" s="1652"/>
      <c r="N68" s="1652"/>
      <c r="O68" s="1652"/>
      <c r="P68" s="1652"/>
      <c r="Q68" s="1652"/>
      <c r="R68" s="1652"/>
      <c r="S68" s="1652"/>
      <c r="T68" s="1652"/>
      <c r="U68" s="1652"/>
      <c r="V68" s="1652"/>
      <c r="W68" s="1652"/>
      <c r="X68" s="1652"/>
      <c r="Y68" s="1652"/>
      <c r="Z68" s="1652"/>
      <c r="AA68" s="1652"/>
      <c r="AB68" s="1652"/>
      <c r="AC68" s="1652"/>
      <c r="AD68" s="1652"/>
      <c r="AE68" s="1652"/>
      <c r="AF68" s="1652"/>
      <c r="AG68" s="1652"/>
      <c r="AH68" s="1652"/>
      <c r="AI68" s="1652"/>
      <c r="AJ68" s="1652"/>
      <c r="AK68" s="1652"/>
      <c r="AL68" s="1652"/>
      <c r="AM68" s="1652"/>
      <c r="AN68" s="1652"/>
      <c r="AO68" s="1652"/>
      <c r="AP68" s="1652"/>
      <c r="AQ68" s="1652"/>
      <c r="AR68" s="1652"/>
      <c r="AS68" s="1652"/>
      <c r="AT68" s="1652"/>
      <c r="AU68" s="1652"/>
      <c r="AV68" s="1652"/>
      <c r="AW68" s="1652"/>
      <c r="AX68" s="1652"/>
      <c r="AY68" s="1652"/>
      <c r="AZ68" s="1652"/>
      <c r="BA68" s="1652"/>
      <c r="BB68" s="1652"/>
      <c r="BC68" s="1652"/>
      <c r="BD68" s="1652"/>
      <c r="BE68" s="1652"/>
      <c r="BF68" s="1652"/>
      <c r="BG68" s="1814"/>
      <c r="BH68" s="1815"/>
      <c r="BI68" s="1652"/>
      <c r="BJ68" s="527"/>
      <c r="BK68" s="527"/>
      <c r="BL68" s="527"/>
      <c r="BM68" s="527"/>
      <c r="BN68" s="527"/>
    </row>
    <row r="69" spans="1:66" ht="14.25">
      <c r="A69" s="1652"/>
      <c r="B69" s="1652"/>
      <c r="C69" s="1652"/>
      <c r="D69" s="1652"/>
      <c r="E69" s="1652"/>
      <c r="F69" s="1652"/>
      <c r="G69" s="1652" t="s">
        <v>1495</v>
      </c>
      <c r="H69" s="1652"/>
      <c r="I69" s="1652"/>
      <c r="J69" s="1652"/>
      <c r="K69" s="1652"/>
      <c r="L69" s="1652"/>
      <c r="M69" s="1652"/>
      <c r="N69" s="1652"/>
      <c r="O69" s="1652"/>
      <c r="P69" s="1652"/>
      <c r="Q69" s="1652"/>
      <c r="R69" s="1652"/>
      <c r="S69" s="1652"/>
      <c r="T69" s="1652"/>
      <c r="U69" s="1652"/>
      <c r="V69" s="1652"/>
      <c r="W69" s="1652"/>
      <c r="X69" s="1652"/>
      <c r="Y69" s="1652"/>
      <c r="Z69" s="1652"/>
      <c r="AA69" s="1652"/>
      <c r="AB69" s="1652"/>
      <c r="AC69" s="1652"/>
      <c r="AD69" s="1652"/>
      <c r="AE69" s="1652"/>
      <c r="AF69" s="1652"/>
      <c r="AG69" s="1652"/>
      <c r="AH69" s="1652"/>
      <c r="AI69" s="1652"/>
      <c r="AJ69" s="1652"/>
      <c r="AK69" s="1652"/>
      <c r="AL69" s="1652"/>
      <c r="AM69" s="1652"/>
      <c r="AN69" s="1652"/>
      <c r="AO69" s="1652"/>
      <c r="AP69" s="1652"/>
      <c r="AQ69" s="1652"/>
      <c r="AR69" s="1652"/>
      <c r="AS69" s="1652"/>
      <c r="AT69" s="1652"/>
      <c r="AU69" s="1652"/>
      <c r="AV69" s="1652"/>
      <c r="AW69" s="1652"/>
      <c r="AX69" s="1652"/>
      <c r="AY69" s="1652"/>
      <c r="AZ69" s="1652"/>
      <c r="BA69" s="1652"/>
      <c r="BB69" s="1652"/>
      <c r="BC69" s="1652"/>
      <c r="BD69" s="1652"/>
      <c r="BE69" s="1652"/>
      <c r="BF69" s="1652"/>
      <c r="BG69" s="1816"/>
      <c r="BH69" s="1816"/>
      <c r="BI69" s="1652"/>
      <c r="BJ69" s="527"/>
      <c r="BK69" s="527"/>
      <c r="BL69" s="527"/>
      <c r="BM69" s="527"/>
      <c r="BN69" s="527"/>
    </row>
    <row r="70" spans="1:66" ht="14.25">
      <c r="A70" s="527"/>
      <c r="B70" s="527"/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527"/>
      <c r="S70" s="527"/>
      <c r="T70" s="527"/>
      <c r="U70" s="527"/>
      <c r="V70" s="527"/>
      <c r="W70" s="527"/>
      <c r="X70" s="527"/>
      <c r="Y70" s="527"/>
      <c r="Z70" s="527"/>
      <c r="AA70" s="527"/>
      <c r="AB70" s="527"/>
      <c r="AC70" s="527"/>
      <c r="AD70" s="527"/>
      <c r="AE70" s="527"/>
      <c r="AF70" s="527"/>
      <c r="AG70" s="527"/>
      <c r="AH70" s="527"/>
      <c r="AI70" s="527"/>
      <c r="AJ70" s="527"/>
      <c r="AK70" s="527"/>
      <c r="AL70" s="527"/>
      <c r="AM70" s="527"/>
      <c r="AN70" s="527"/>
      <c r="AO70" s="527"/>
      <c r="AP70" s="527"/>
      <c r="AQ70" s="527"/>
      <c r="AR70" s="527"/>
      <c r="AS70" s="527"/>
      <c r="AT70" s="527"/>
      <c r="AU70" s="527"/>
      <c r="AV70" s="527"/>
      <c r="AW70" s="527"/>
      <c r="AX70" s="527"/>
      <c r="AY70" s="527"/>
      <c r="AZ70" s="527"/>
      <c r="BA70" s="527"/>
      <c r="BB70" s="527"/>
      <c r="BC70" s="527"/>
      <c r="BD70" s="527"/>
      <c r="BE70" s="527"/>
      <c r="BF70" s="527"/>
      <c r="BG70" s="527"/>
      <c r="BH70" s="527"/>
      <c r="BI70" s="527"/>
      <c r="BJ70" s="527"/>
      <c r="BK70" s="527"/>
      <c r="BL70" s="527"/>
      <c r="BM70" s="527"/>
      <c r="BN70" s="527"/>
    </row>
    <row r="71" spans="1:66" ht="14.25">
      <c r="A71" s="527"/>
      <c r="B71" s="527"/>
      <c r="C71" s="527"/>
      <c r="D71" s="527"/>
      <c r="E71" s="527"/>
      <c r="F71" s="527"/>
      <c r="G71" s="527"/>
      <c r="H71" s="527"/>
      <c r="I71" s="527"/>
      <c r="J71" s="527"/>
      <c r="K71" s="527"/>
      <c r="L71" s="527"/>
      <c r="M71" s="527"/>
      <c r="N71" s="527"/>
      <c r="O71" s="527"/>
      <c r="P71" s="527"/>
      <c r="Q71" s="527"/>
      <c r="R71" s="527"/>
      <c r="S71" s="527"/>
      <c r="T71" s="527"/>
      <c r="U71" s="527"/>
      <c r="V71" s="527"/>
      <c r="W71" s="527"/>
      <c r="X71" s="527"/>
      <c r="Y71" s="527"/>
      <c r="Z71" s="527"/>
      <c r="AA71" s="527"/>
      <c r="AB71" s="527"/>
      <c r="AC71" s="527"/>
      <c r="AD71" s="527"/>
      <c r="AE71" s="527"/>
      <c r="AF71" s="527"/>
      <c r="AG71" s="527"/>
      <c r="AH71" s="527"/>
      <c r="AI71" s="527"/>
      <c r="AJ71" s="527"/>
      <c r="AK71" s="527"/>
      <c r="AL71" s="527"/>
      <c r="AM71" s="527"/>
      <c r="AN71" s="527"/>
      <c r="AO71" s="527"/>
      <c r="AP71" s="527"/>
      <c r="AQ71" s="527"/>
      <c r="AR71" s="527"/>
      <c r="AS71" s="527"/>
      <c r="AT71" s="527"/>
      <c r="AU71" s="527"/>
      <c r="AV71" s="527"/>
      <c r="AW71" s="527"/>
      <c r="AX71" s="527"/>
      <c r="AY71" s="527"/>
      <c r="AZ71" s="527"/>
      <c r="BA71" s="527"/>
      <c r="BB71" s="527"/>
      <c r="BC71" s="527"/>
      <c r="BD71" s="527"/>
      <c r="BE71" s="527"/>
      <c r="BF71" s="527"/>
      <c r="BG71" s="527"/>
      <c r="BH71" s="527"/>
      <c r="BI71" s="527"/>
      <c r="BJ71" s="527"/>
      <c r="BK71" s="527"/>
      <c r="BL71" s="527"/>
      <c r="BM71" s="527"/>
      <c r="BN71" s="527"/>
    </row>
    <row r="72" spans="1:66" ht="14.25">
      <c r="A72" s="527"/>
      <c r="B72" s="527"/>
      <c r="C72" s="527"/>
      <c r="D72" s="527"/>
      <c r="E72" s="527"/>
      <c r="F72" s="527"/>
      <c r="G72" s="527"/>
      <c r="H72" s="527"/>
      <c r="I72" s="527"/>
      <c r="J72" s="527"/>
      <c r="K72" s="527"/>
      <c r="L72" s="527"/>
      <c r="M72" s="527"/>
      <c r="N72" s="527"/>
      <c r="O72" s="527"/>
      <c r="P72" s="527"/>
      <c r="Q72" s="527"/>
      <c r="R72" s="527"/>
      <c r="S72" s="527"/>
      <c r="T72" s="527"/>
      <c r="U72" s="527"/>
      <c r="V72" s="527"/>
      <c r="W72" s="527"/>
      <c r="X72" s="527"/>
      <c r="Y72" s="527"/>
      <c r="Z72" s="527"/>
      <c r="AA72" s="527"/>
      <c r="AB72" s="527"/>
      <c r="AC72" s="527"/>
      <c r="AD72" s="527"/>
      <c r="AE72" s="527"/>
      <c r="AF72" s="527"/>
      <c r="AG72" s="527"/>
      <c r="AH72" s="527"/>
      <c r="AI72" s="527"/>
      <c r="AJ72" s="527"/>
      <c r="AK72" s="527"/>
      <c r="AL72" s="527"/>
      <c r="AM72" s="527"/>
      <c r="AN72" s="527"/>
      <c r="AO72" s="527"/>
      <c r="AP72" s="527"/>
      <c r="AQ72" s="527"/>
      <c r="AR72" s="527"/>
      <c r="AS72" s="527"/>
      <c r="AT72" s="527"/>
      <c r="AU72" s="527"/>
      <c r="AV72" s="527"/>
      <c r="AW72" s="527"/>
      <c r="AX72" s="527"/>
      <c r="AY72" s="527"/>
      <c r="AZ72" s="527"/>
      <c r="BA72" s="527"/>
      <c r="BB72" s="527"/>
      <c r="BC72" s="527"/>
      <c r="BD72" s="527"/>
      <c r="BE72" s="527"/>
      <c r="BF72" s="527"/>
      <c r="BG72" s="527"/>
      <c r="BH72" s="527"/>
      <c r="BI72" s="527"/>
      <c r="BJ72" s="527"/>
      <c r="BK72" s="527"/>
      <c r="BL72" s="527"/>
      <c r="BM72" s="527"/>
      <c r="BN72" s="527"/>
    </row>
    <row r="73" spans="1:66" ht="14.25">
      <c r="A73" s="527"/>
      <c r="B73" s="527"/>
      <c r="C73" s="527"/>
      <c r="D73" s="527"/>
      <c r="E73" s="527"/>
      <c r="F73" s="527"/>
      <c r="G73" s="527"/>
      <c r="H73" s="527"/>
      <c r="I73" s="527"/>
      <c r="J73" s="527"/>
      <c r="K73" s="527"/>
      <c r="L73" s="527"/>
      <c r="M73" s="527"/>
      <c r="N73" s="527"/>
      <c r="O73" s="527"/>
      <c r="P73" s="527"/>
      <c r="Q73" s="527"/>
      <c r="R73" s="527"/>
      <c r="S73" s="527"/>
      <c r="T73" s="527"/>
      <c r="U73" s="527"/>
      <c r="V73" s="527"/>
      <c r="W73" s="527"/>
      <c r="X73" s="527"/>
      <c r="Y73" s="527"/>
      <c r="Z73" s="527"/>
      <c r="AA73" s="527"/>
      <c r="AB73" s="527"/>
      <c r="AC73" s="527"/>
      <c r="AD73" s="527"/>
      <c r="AE73" s="527"/>
      <c r="AF73" s="527"/>
      <c r="AG73" s="527"/>
      <c r="AH73" s="527"/>
      <c r="AI73" s="527"/>
      <c r="AJ73" s="527"/>
      <c r="AK73" s="527"/>
      <c r="AL73" s="527"/>
      <c r="AM73" s="527"/>
      <c r="AN73" s="527"/>
      <c r="AO73" s="527"/>
      <c r="AP73" s="527"/>
      <c r="AQ73" s="527"/>
      <c r="AR73" s="527"/>
      <c r="AS73" s="527"/>
      <c r="AT73" s="527"/>
      <c r="AU73" s="527"/>
      <c r="AV73" s="527"/>
      <c r="AW73" s="527"/>
      <c r="AX73" s="527"/>
      <c r="AY73" s="527"/>
      <c r="AZ73" s="527"/>
      <c r="BA73" s="527"/>
      <c r="BB73" s="527"/>
      <c r="BC73" s="527"/>
      <c r="BD73" s="527"/>
      <c r="BE73" s="527"/>
      <c r="BF73" s="527"/>
      <c r="BG73" s="527"/>
      <c r="BH73" s="527"/>
      <c r="BI73" s="527"/>
      <c r="BJ73" s="527"/>
      <c r="BK73" s="527"/>
      <c r="BL73" s="527"/>
      <c r="BM73" s="527"/>
      <c r="BN73" s="527"/>
    </row>
    <row r="74" spans="1:66" ht="14.25">
      <c r="A74" s="527"/>
      <c r="B74" s="527"/>
      <c r="C74" s="527"/>
      <c r="D74" s="527"/>
      <c r="E74" s="527"/>
      <c r="F74" s="527"/>
      <c r="G74" s="527"/>
      <c r="H74" s="527"/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527"/>
      <c r="AD74" s="527"/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7"/>
      <c r="AU74" s="527"/>
      <c r="AV74" s="527"/>
      <c r="AW74" s="527"/>
      <c r="AX74" s="527"/>
      <c r="AY74" s="527"/>
      <c r="AZ74" s="527"/>
      <c r="BA74" s="527"/>
      <c r="BB74" s="527"/>
      <c r="BC74" s="527"/>
      <c r="BD74" s="527"/>
      <c r="BE74" s="527"/>
      <c r="BF74" s="527"/>
      <c r="BG74" s="527"/>
      <c r="BH74" s="527"/>
      <c r="BI74" s="527"/>
      <c r="BJ74" s="527"/>
      <c r="BK74" s="527"/>
      <c r="BL74" s="527"/>
      <c r="BM74" s="527"/>
      <c r="BN74" s="527"/>
    </row>
    <row r="75" spans="1:66" ht="14.25">
      <c r="A75" s="527"/>
      <c r="B75" s="527"/>
      <c r="C75" s="527"/>
      <c r="D75" s="527"/>
      <c r="E75" s="527"/>
      <c r="F75" s="527"/>
      <c r="G75" s="527"/>
      <c r="H75" s="527"/>
      <c r="I75" s="527"/>
      <c r="J75" s="527"/>
      <c r="K75" s="527"/>
      <c r="L75" s="527"/>
      <c r="M75" s="527"/>
      <c r="N75" s="527"/>
      <c r="O75" s="527"/>
      <c r="P75" s="527"/>
      <c r="Q75" s="527"/>
      <c r="R75" s="527"/>
      <c r="S75" s="527"/>
      <c r="T75" s="527"/>
      <c r="U75" s="527"/>
      <c r="V75" s="527"/>
      <c r="W75" s="527"/>
      <c r="X75" s="527"/>
      <c r="Y75" s="527"/>
      <c r="Z75" s="527"/>
      <c r="AA75" s="527"/>
      <c r="AB75" s="527"/>
      <c r="AC75" s="527"/>
      <c r="AD75" s="527"/>
      <c r="AE75" s="527"/>
      <c r="AF75" s="527"/>
      <c r="AG75" s="527"/>
      <c r="AH75" s="527"/>
      <c r="AI75" s="527"/>
      <c r="AJ75" s="527"/>
      <c r="AK75" s="527"/>
      <c r="AL75" s="527"/>
      <c r="AM75" s="527"/>
      <c r="AN75" s="527"/>
      <c r="AO75" s="527"/>
      <c r="AP75" s="527"/>
      <c r="AQ75" s="527"/>
      <c r="AR75" s="527"/>
      <c r="AS75" s="527"/>
      <c r="AT75" s="527"/>
      <c r="AU75" s="527"/>
      <c r="AV75" s="527"/>
      <c r="AW75" s="527"/>
      <c r="AX75" s="527"/>
      <c r="AY75" s="527"/>
      <c r="AZ75" s="527"/>
      <c r="BA75" s="527"/>
      <c r="BB75" s="527"/>
      <c r="BC75" s="527"/>
      <c r="BD75" s="527"/>
      <c r="BE75" s="527"/>
      <c r="BF75" s="527"/>
      <c r="BG75" s="527"/>
      <c r="BH75" s="527"/>
      <c r="BI75" s="527"/>
      <c r="BJ75" s="527"/>
      <c r="BK75" s="527"/>
      <c r="BL75" s="527"/>
      <c r="BM75" s="527"/>
      <c r="BN75" s="527"/>
    </row>
    <row r="76" spans="1:66" ht="14.25">
      <c r="A76" s="527"/>
      <c r="B76" s="527"/>
      <c r="C76" s="527"/>
      <c r="D76" s="527"/>
      <c r="E76" s="527"/>
      <c r="F76" s="527"/>
      <c r="G76" s="527"/>
      <c r="H76" s="527"/>
      <c r="I76" s="527"/>
      <c r="J76" s="527"/>
      <c r="K76" s="527"/>
      <c r="L76" s="527"/>
      <c r="M76" s="527"/>
      <c r="N76" s="527"/>
      <c r="O76" s="527"/>
      <c r="P76" s="527"/>
      <c r="Q76" s="527"/>
      <c r="R76" s="527"/>
      <c r="S76" s="527"/>
      <c r="T76" s="527"/>
      <c r="U76" s="527"/>
      <c r="V76" s="527"/>
      <c r="W76" s="527"/>
      <c r="X76" s="527"/>
      <c r="Y76" s="527"/>
      <c r="Z76" s="527"/>
      <c r="AA76" s="527"/>
      <c r="AB76" s="527"/>
      <c r="AC76" s="527"/>
      <c r="AD76" s="527"/>
      <c r="AE76" s="527"/>
      <c r="AF76" s="527"/>
      <c r="AG76" s="527"/>
      <c r="AH76" s="527"/>
      <c r="AI76" s="527"/>
      <c r="AJ76" s="527"/>
      <c r="AK76" s="527"/>
      <c r="AL76" s="527"/>
      <c r="AM76" s="527"/>
      <c r="AN76" s="527"/>
      <c r="AO76" s="527"/>
      <c r="AP76" s="527"/>
      <c r="AQ76" s="527"/>
      <c r="AR76" s="527"/>
      <c r="AS76" s="527"/>
      <c r="AT76" s="527"/>
      <c r="AU76" s="527"/>
      <c r="AV76" s="527"/>
      <c r="AW76" s="527"/>
      <c r="AX76" s="527"/>
      <c r="AY76" s="527"/>
      <c r="AZ76" s="527"/>
      <c r="BA76" s="527"/>
      <c r="BB76" s="527"/>
      <c r="BC76" s="527"/>
      <c r="BD76" s="527"/>
      <c r="BE76" s="527"/>
      <c r="BF76" s="527"/>
      <c r="BG76" s="527"/>
      <c r="BH76" s="527"/>
      <c r="BI76" s="527"/>
      <c r="BJ76" s="527"/>
      <c r="BK76" s="527"/>
      <c r="BL76" s="527"/>
      <c r="BM76" s="527"/>
      <c r="BN76" s="527"/>
    </row>
    <row r="77" spans="1:66" ht="14.25">
      <c r="A77" s="527"/>
      <c r="B77" s="527"/>
      <c r="C77" s="527"/>
      <c r="D77" s="527"/>
      <c r="E77" s="527"/>
      <c r="F77" s="527"/>
      <c r="G77" s="527"/>
      <c r="H77" s="527"/>
      <c r="I77" s="527"/>
      <c r="J77" s="527"/>
      <c r="K77" s="527"/>
      <c r="L77" s="527"/>
      <c r="M77" s="527"/>
      <c r="N77" s="527"/>
      <c r="O77" s="527"/>
      <c r="P77" s="527"/>
      <c r="Q77" s="527"/>
      <c r="R77" s="527"/>
      <c r="S77" s="527"/>
      <c r="T77" s="527"/>
      <c r="U77" s="527"/>
      <c r="V77" s="527"/>
      <c r="W77" s="527"/>
      <c r="X77" s="527"/>
      <c r="Y77" s="527"/>
      <c r="Z77" s="527"/>
      <c r="AA77" s="527"/>
      <c r="AB77" s="527"/>
      <c r="AC77" s="527"/>
      <c r="AD77" s="527"/>
      <c r="AE77" s="527"/>
      <c r="AF77" s="527"/>
      <c r="AG77" s="527"/>
      <c r="AH77" s="527"/>
      <c r="AI77" s="527"/>
      <c r="AJ77" s="527"/>
      <c r="AK77" s="527"/>
      <c r="AL77" s="527"/>
      <c r="AM77" s="527"/>
      <c r="AN77" s="527"/>
      <c r="AO77" s="527"/>
      <c r="AP77" s="527"/>
      <c r="AQ77" s="527"/>
      <c r="AR77" s="527"/>
      <c r="AS77" s="527"/>
      <c r="AT77" s="527"/>
      <c r="AU77" s="527"/>
      <c r="AV77" s="527"/>
      <c r="AW77" s="527"/>
      <c r="AX77" s="527"/>
      <c r="AY77" s="527"/>
      <c r="AZ77" s="527"/>
      <c r="BA77" s="527"/>
      <c r="BB77" s="527"/>
      <c r="BC77" s="527"/>
      <c r="BD77" s="527"/>
      <c r="BE77" s="527"/>
      <c r="BF77" s="527"/>
      <c r="BG77" s="527"/>
      <c r="BH77" s="527"/>
      <c r="BI77" s="527"/>
      <c r="BJ77" s="527"/>
      <c r="BK77" s="527"/>
      <c r="BL77" s="527"/>
      <c r="BM77" s="527"/>
      <c r="BN77" s="527"/>
    </row>
    <row r="78" spans="1:66" ht="14.25">
      <c r="A78" s="527"/>
      <c r="B78" s="527"/>
      <c r="C78" s="527"/>
      <c r="D78" s="527"/>
      <c r="E78" s="527"/>
      <c r="F78" s="527"/>
      <c r="G78" s="527"/>
      <c r="H78" s="527"/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527"/>
      <c r="AD78" s="527"/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7"/>
      <c r="AY78" s="527"/>
      <c r="AZ78" s="527"/>
      <c r="BA78" s="527"/>
      <c r="BB78" s="527"/>
      <c r="BC78" s="527"/>
      <c r="BD78" s="527"/>
      <c r="BE78" s="527"/>
      <c r="BF78" s="527"/>
      <c r="BG78" s="527"/>
      <c r="BH78" s="527"/>
      <c r="BI78" s="527"/>
      <c r="BJ78" s="527"/>
      <c r="BK78" s="527"/>
      <c r="BL78" s="527"/>
      <c r="BM78" s="527"/>
      <c r="BN78" s="527"/>
    </row>
    <row r="79" spans="1:66" ht="14.25">
      <c r="A79" s="527"/>
      <c r="B79" s="527"/>
      <c r="C79" s="527"/>
      <c r="D79" s="527"/>
      <c r="E79" s="527"/>
      <c r="F79" s="527"/>
      <c r="G79" s="527"/>
      <c r="H79" s="527"/>
      <c r="I79" s="527"/>
      <c r="J79" s="527"/>
      <c r="K79" s="527"/>
      <c r="L79" s="527"/>
      <c r="M79" s="527"/>
      <c r="N79" s="527"/>
      <c r="O79" s="527"/>
      <c r="P79" s="527"/>
      <c r="Q79" s="527"/>
      <c r="R79" s="527"/>
      <c r="S79" s="527"/>
      <c r="T79" s="527"/>
      <c r="U79" s="527"/>
      <c r="V79" s="527"/>
      <c r="W79" s="527"/>
      <c r="X79" s="527"/>
      <c r="Y79" s="527"/>
      <c r="Z79" s="527"/>
      <c r="AA79" s="527"/>
      <c r="AB79" s="527"/>
      <c r="AC79" s="527"/>
      <c r="AD79" s="527"/>
      <c r="AE79" s="527"/>
      <c r="AF79" s="527"/>
      <c r="AG79" s="527"/>
      <c r="AH79" s="527"/>
      <c r="AI79" s="527"/>
      <c r="AJ79" s="527"/>
      <c r="AK79" s="527"/>
      <c r="AL79" s="527"/>
      <c r="AM79" s="527"/>
      <c r="AN79" s="527"/>
      <c r="AO79" s="527"/>
      <c r="AP79" s="527"/>
      <c r="AQ79" s="527"/>
      <c r="AR79" s="527"/>
      <c r="AS79" s="527"/>
      <c r="AT79" s="527"/>
      <c r="AU79" s="527"/>
      <c r="AV79" s="527"/>
      <c r="AW79" s="527"/>
      <c r="AX79" s="527"/>
      <c r="AY79" s="527"/>
      <c r="AZ79" s="527"/>
      <c r="BA79" s="527"/>
      <c r="BB79" s="527"/>
      <c r="BC79" s="527"/>
      <c r="BD79" s="527"/>
      <c r="BE79" s="527"/>
      <c r="BF79" s="527"/>
      <c r="BG79" s="527"/>
      <c r="BH79" s="527"/>
      <c r="BI79" s="527"/>
      <c r="BJ79" s="527"/>
      <c r="BK79" s="527"/>
      <c r="BL79" s="527"/>
      <c r="BM79" s="527"/>
      <c r="BN79" s="527"/>
    </row>
    <row r="80" spans="1:66" ht="14.25">
      <c r="A80" s="527"/>
      <c r="B80" s="527"/>
      <c r="C80" s="527"/>
      <c r="D80" s="527"/>
      <c r="E80" s="527"/>
      <c r="F80" s="527"/>
      <c r="G80" s="527"/>
      <c r="H80" s="527"/>
      <c r="I80" s="527"/>
      <c r="J80" s="527"/>
      <c r="K80" s="527"/>
      <c r="L80" s="527"/>
      <c r="M80" s="527"/>
      <c r="N80" s="527"/>
      <c r="O80" s="527"/>
      <c r="P80" s="527"/>
      <c r="Q80" s="527"/>
      <c r="R80" s="527"/>
      <c r="S80" s="527"/>
      <c r="T80" s="527"/>
      <c r="U80" s="527"/>
      <c r="V80" s="527"/>
      <c r="W80" s="527"/>
      <c r="X80" s="527"/>
      <c r="Y80" s="527"/>
      <c r="Z80" s="527"/>
      <c r="AA80" s="527"/>
      <c r="AB80" s="527"/>
      <c r="AC80" s="527"/>
      <c r="AD80" s="527"/>
      <c r="AE80" s="527"/>
      <c r="AF80" s="527"/>
      <c r="AG80" s="527"/>
      <c r="AH80" s="527"/>
      <c r="AI80" s="527"/>
      <c r="AJ80" s="527"/>
      <c r="AK80" s="527"/>
      <c r="AL80" s="527"/>
      <c r="AM80" s="527"/>
      <c r="AN80" s="527"/>
      <c r="AO80" s="527"/>
      <c r="AP80" s="527"/>
      <c r="AQ80" s="527"/>
      <c r="AR80" s="527"/>
      <c r="AS80" s="527"/>
      <c r="AT80" s="527"/>
      <c r="AU80" s="527"/>
      <c r="AV80" s="527"/>
      <c r="AW80" s="527"/>
      <c r="AX80" s="527"/>
      <c r="AY80" s="527"/>
      <c r="AZ80" s="527"/>
      <c r="BA80" s="527"/>
      <c r="BB80" s="527"/>
      <c r="BC80" s="527"/>
      <c r="BD80" s="527"/>
      <c r="BE80" s="527"/>
      <c r="BF80" s="527"/>
      <c r="BG80" s="527"/>
      <c r="BH80" s="527"/>
      <c r="BI80" s="527"/>
      <c r="BJ80" s="527"/>
      <c r="BK80" s="527"/>
      <c r="BL80" s="527"/>
      <c r="BM80" s="527"/>
      <c r="BN80" s="527"/>
    </row>
    <row r="81" spans="1:66" ht="14.25">
      <c r="A81" s="527"/>
      <c r="B81" s="527"/>
      <c r="C81" s="527"/>
      <c r="D81" s="527"/>
      <c r="E81" s="527"/>
      <c r="F81" s="527"/>
      <c r="G81" s="527"/>
      <c r="H81" s="527"/>
      <c r="I81" s="527"/>
      <c r="J81" s="527"/>
      <c r="K81" s="527"/>
      <c r="L81" s="527"/>
      <c r="M81" s="527"/>
      <c r="N81" s="527"/>
      <c r="O81" s="527"/>
      <c r="P81" s="527"/>
      <c r="Q81" s="527"/>
      <c r="R81" s="527"/>
      <c r="S81" s="527"/>
      <c r="T81" s="527"/>
      <c r="U81" s="527"/>
      <c r="V81" s="527"/>
      <c r="W81" s="527"/>
      <c r="X81" s="527"/>
      <c r="Y81" s="527"/>
      <c r="Z81" s="527"/>
      <c r="AA81" s="527"/>
      <c r="AB81" s="527"/>
      <c r="AC81" s="527"/>
      <c r="AD81" s="527"/>
      <c r="AE81" s="527"/>
      <c r="AF81" s="527"/>
      <c r="AG81" s="527"/>
      <c r="AH81" s="527"/>
      <c r="AI81" s="527"/>
      <c r="AJ81" s="527"/>
      <c r="AK81" s="527"/>
      <c r="AL81" s="527"/>
      <c r="AM81" s="527"/>
      <c r="AN81" s="527"/>
      <c r="AO81" s="527"/>
      <c r="AP81" s="527"/>
      <c r="AQ81" s="527"/>
      <c r="AR81" s="527"/>
      <c r="AS81" s="527"/>
      <c r="AT81" s="527"/>
      <c r="AU81" s="527"/>
      <c r="AV81" s="527"/>
      <c r="AW81" s="527"/>
      <c r="AX81" s="527"/>
      <c r="AY81" s="527"/>
      <c r="AZ81" s="527"/>
      <c r="BA81" s="527"/>
      <c r="BB81" s="527"/>
      <c r="BC81" s="527"/>
      <c r="BD81" s="527"/>
      <c r="BE81" s="527"/>
      <c r="BF81" s="527"/>
      <c r="BG81" s="527"/>
      <c r="BH81" s="527"/>
      <c r="BI81" s="527"/>
      <c r="BJ81" s="527"/>
      <c r="BK81" s="527"/>
      <c r="BL81" s="527"/>
      <c r="BM81" s="527"/>
      <c r="BN81" s="527"/>
    </row>
    <row r="82" spans="1:66" ht="14.25">
      <c r="A82" s="527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7"/>
      <c r="AY82" s="527"/>
      <c r="AZ82" s="527"/>
      <c r="BA82" s="527"/>
      <c r="BB82" s="527"/>
      <c r="BC82" s="527"/>
      <c r="BD82" s="527"/>
      <c r="BE82" s="527"/>
      <c r="BF82" s="527"/>
      <c r="BG82" s="527"/>
      <c r="BH82" s="527"/>
      <c r="BI82" s="527"/>
      <c r="BJ82" s="527"/>
      <c r="BK82" s="527"/>
      <c r="BL82" s="527"/>
      <c r="BM82" s="527"/>
      <c r="BN82" s="527"/>
    </row>
    <row r="83" spans="1:66" ht="14.25">
      <c r="A83" s="527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27"/>
      <c r="AL83" s="527"/>
      <c r="AM83" s="527"/>
      <c r="AN83" s="527"/>
      <c r="AO83" s="527"/>
      <c r="AP83" s="527"/>
      <c r="AQ83" s="527"/>
      <c r="AR83" s="527"/>
      <c r="AS83" s="527"/>
      <c r="AT83" s="527"/>
      <c r="AU83" s="527"/>
      <c r="AV83" s="527"/>
      <c r="AW83" s="527"/>
      <c r="AX83" s="527"/>
      <c r="AY83" s="527"/>
      <c r="AZ83" s="527"/>
      <c r="BA83" s="527"/>
      <c r="BB83" s="527"/>
      <c r="BC83" s="527"/>
      <c r="BD83" s="527"/>
      <c r="BE83" s="527"/>
      <c r="BF83" s="527"/>
      <c r="BG83" s="527"/>
      <c r="BH83" s="527"/>
      <c r="BI83" s="527"/>
      <c r="BJ83" s="527"/>
      <c r="BK83" s="527"/>
      <c r="BL83" s="527"/>
      <c r="BM83" s="527"/>
      <c r="BN83" s="527"/>
    </row>
    <row r="84" spans="1:66" ht="14.25">
      <c r="A84" s="527"/>
      <c r="B84" s="527"/>
      <c r="C84" s="527"/>
      <c r="D84" s="527"/>
      <c r="E84" s="527"/>
      <c r="F84" s="527"/>
      <c r="G84" s="527"/>
      <c r="H84" s="527"/>
      <c r="I84" s="527"/>
      <c r="J84" s="527"/>
      <c r="K84" s="527"/>
      <c r="L84" s="527"/>
      <c r="M84" s="527"/>
      <c r="N84" s="527"/>
      <c r="O84" s="527"/>
      <c r="P84" s="527"/>
      <c r="Q84" s="527"/>
      <c r="R84" s="527"/>
      <c r="S84" s="527"/>
      <c r="T84" s="527"/>
      <c r="U84" s="527"/>
      <c r="V84" s="527"/>
      <c r="W84" s="527"/>
      <c r="X84" s="527"/>
      <c r="Y84" s="527"/>
      <c r="Z84" s="527"/>
      <c r="AA84" s="527"/>
      <c r="AB84" s="527"/>
      <c r="AC84" s="527"/>
      <c r="AD84" s="527"/>
      <c r="AE84" s="527"/>
      <c r="AF84" s="527"/>
      <c r="AG84" s="527"/>
      <c r="AH84" s="527"/>
      <c r="AI84" s="527"/>
      <c r="AJ84" s="527"/>
      <c r="AK84" s="527"/>
      <c r="AL84" s="527"/>
      <c r="AM84" s="527"/>
      <c r="AN84" s="527"/>
      <c r="AO84" s="527"/>
      <c r="AP84" s="527"/>
      <c r="AQ84" s="527"/>
      <c r="AR84" s="527"/>
      <c r="AS84" s="527"/>
      <c r="AT84" s="527"/>
      <c r="AU84" s="527"/>
      <c r="AV84" s="527"/>
      <c r="AW84" s="527"/>
      <c r="AX84" s="527"/>
      <c r="AY84" s="527"/>
      <c r="AZ84" s="527"/>
      <c r="BA84" s="527"/>
      <c r="BB84" s="527"/>
      <c r="BC84" s="527"/>
      <c r="BD84" s="527"/>
      <c r="BE84" s="527"/>
      <c r="BF84" s="527"/>
      <c r="BG84" s="527"/>
      <c r="BH84" s="527"/>
      <c r="BI84" s="527"/>
      <c r="BJ84" s="527"/>
      <c r="BK84" s="527"/>
      <c r="BL84" s="527"/>
      <c r="BM84" s="527"/>
      <c r="BN84" s="527"/>
    </row>
  </sheetData>
  <sheetProtection/>
  <protectedRanges>
    <protectedRange password="CC01" sqref="H52:Q52 E4:G21 W25:X26 E25:G42 E22:BF22 AB25:AB29 AA29 AE25:AE29 H38:BF38 AD29 L9 W4:X6 Z4:Z6 AA4:AB9 AC4:AC6 AD4:AE9 AF4:AF6 AG4:AH9 AP9 U9 AL4:AM6 AJ9 L29 N25:O26 Q25:R26 T25:U26 X29 Z25:AA26 AC25:AD26 AG29 AJ29 AH25:AH29 AF25:AG26 AK25:AK29 AI25:AJ26 AN25:AN29 H4:I6 AM29 Y4:Y9 AP29 E46:G67 AL25:AM26 K4:L6 M4:M9 N4:O6 P4:P9 R9 S4:S9 Q4:R6 V4:V9 T4:U6 AK4:AK9 AI4:AJ6 AN4:AN9 O9 AM9 AO4:AP6 H25:I26 I29 M25:M29 K25:L26 P25:P29 O29 S25:S29 R29 V25:V29 U29 Y25:Y29 A4:A67 AR45:AT45 I9 AQ4:BF4 AR37:BF37 E23:F24 E43:F44 H41 K41 N41 Q41 T41 W41 Z41 AI41 AL41 AO41 H67:BF67 AW13:AW18 BG31:BH31 AQ5:BH6 H20:BF22 H19:BH19 AU23:BD24 AO25:BH26 AW33:AW36 AC41:AF41 H40:BF40 AR41:AT42 BA39:BH39 H53:BH66 S52:BH52 H11:I18 J4:J18 AQ7:AS10 K11:AS18 BF33:BF36 AQ27:AS30 AZ13:AZ18 AZ33:AZ36 AT7:AT18 AU9:AV18 BC13:BC18 AT27:AV36 BC33:BC36 AX9:AY18 BF13:BF18 AX27:AY36 AZ45 BA9:BB18 BG11:BH11 BA27:BB36 H39:AY39 AU41:AY45 BA41:BF45 AZ42:AZ43 BD9:BE18 BD27:BE36 J25:J37 H31:I36 K31:AS36 E45:AP45 H42:AP42 H46:AP51 AR46:BH51 AQ46:AQ47" name="Диапазон2"/>
    <protectedRange password="CC01" sqref="A1:A3 E1:BF3" name="Диапазон1"/>
    <protectedRange password="CC01" sqref="BE23:BF24 G23:AT24" name="Диапазон2_1"/>
    <protectedRange password="CC01" sqref="G43:AP44 AR43:AT44" name="Диапазон2_2"/>
  </protectedRanges>
  <mergeCells count="27">
    <mergeCell ref="A7:A25"/>
    <mergeCell ref="A27:A45"/>
    <mergeCell ref="A48:A66"/>
    <mergeCell ref="AU4:AW4"/>
    <mergeCell ref="W4:Y4"/>
    <mergeCell ref="Z4:AB4"/>
    <mergeCell ref="AC4:AE4"/>
    <mergeCell ref="AF4:AH4"/>
    <mergeCell ref="K4:M4"/>
    <mergeCell ref="N4:P4"/>
    <mergeCell ref="AX4:AZ4"/>
    <mergeCell ref="BA4:BC4"/>
    <mergeCell ref="BD4:BF4"/>
    <mergeCell ref="AI4:AK4"/>
    <mergeCell ref="AL4:AN4"/>
    <mergeCell ref="AO4:AQ4"/>
    <mergeCell ref="AR4:AT4"/>
    <mergeCell ref="Q4:S4"/>
    <mergeCell ref="T4:V4"/>
    <mergeCell ref="E4:E5"/>
    <mergeCell ref="F4:F5"/>
    <mergeCell ref="G4:G5"/>
    <mergeCell ref="H4:J4"/>
    <mergeCell ref="A4:A5"/>
    <mergeCell ref="B4:B5"/>
    <mergeCell ref="C4:C5"/>
    <mergeCell ref="D4:D5"/>
  </mergeCells>
  <printOptions/>
  <pageMargins left="0.16" right="0.16" top="0.13" bottom="0.15" header="0.11" footer="0.15"/>
  <pageSetup orientation="landscape" paperSize="9" scale="24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61"/>
  <sheetViews>
    <sheetView workbookViewId="0" topLeftCell="A3">
      <selection activeCell="A3" sqref="A3"/>
    </sheetView>
  </sheetViews>
  <sheetFormatPr defaultColWidth="9.140625" defaultRowHeight="15" outlineLevelCol="1"/>
  <cols>
    <col min="1" max="1" width="9.140625" style="746" customWidth="1"/>
    <col min="2" max="2" width="13.28125" style="746" customWidth="1"/>
    <col min="3" max="3" width="18.8515625" style="746" customWidth="1"/>
    <col min="4" max="4" width="11.28125" style="746" customWidth="1" outlineLevel="1"/>
    <col min="5" max="5" width="10.421875" style="746" customWidth="1"/>
    <col min="6" max="6" width="10.28125" style="746" customWidth="1"/>
    <col min="7" max="7" width="13.00390625" style="746" customWidth="1"/>
    <col min="8" max="8" width="13.7109375" style="746" customWidth="1"/>
    <col min="9" max="9" width="12.421875" style="746" customWidth="1"/>
    <col min="10" max="10" width="13.7109375" style="746" customWidth="1"/>
    <col min="11" max="16384" width="9.140625" style="746" customWidth="1"/>
  </cols>
  <sheetData>
    <row r="1" spans="1:10" ht="12.75">
      <c r="A1" s="746" t="s">
        <v>1160</v>
      </c>
      <c r="J1" s="747"/>
    </row>
    <row r="2" ht="12.75">
      <c r="A2" s="746" t="s">
        <v>1046</v>
      </c>
    </row>
    <row r="4" spans="1:10" ht="15">
      <c r="A4" s="2182" t="s">
        <v>368</v>
      </c>
      <c r="B4" s="2182"/>
      <c r="C4" s="2182"/>
      <c r="D4" s="2182"/>
      <c r="E4" s="2182"/>
      <c r="F4" s="2182"/>
      <c r="G4" s="2182"/>
      <c r="H4" s="2182"/>
      <c r="I4" s="2182"/>
      <c r="J4" s="2182"/>
    </row>
    <row r="6" spans="1:10" ht="66">
      <c r="A6" s="748" t="s">
        <v>1008</v>
      </c>
      <c r="B6" s="749" t="s">
        <v>1188</v>
      </c>
      <c r="C6" s="749" t="s">
        <v>1294</v>
      </c>
      <c r="D6" s="749" t="s">
        <v>1189</v>
      </c>
      <c r="E6" s="748" t="s">
        <v>1295</v>
      </c>
      <c r="F6" s="748" t="s">
        <v>1296</v>
      </c>
      <c r="G6" s="750" t="s">
        <v>1297</v>
      </c>
      <c r="H6" s="751" t="s">
        <v>868</v>
      </c>
      <c r="I6" s="751" t="s">
        <v>869</v>
      </c>
      <c r="J6" s="751" t="s">
        <v>870</v>
      </c>
    </row>
    <row r="7" spans="1:10" ht="15" customHeight="1">
      <c r="A7" s="752">
        <v>1</v>
      </c>
      <c r="B7" s="753">
        <v>2</v>
      </c>
      <c r="C7" s="753">
        <v>3</v>
      </c>
      <c r="D7" s="753"/>
      <c r="E7" s="753">
        <v>4</v>
      </c>
      <c r="F7" s="753">
        <v>5</v>
      </c>
      <c r="G7" s="753">
        <v>6</v>
      </c>
      <c r="H7" s="753">
        <v>7</v>
      </c>
      <c r="I7" s="753">
        <v>8</v>
      </c>
      <c r="J7" s="752">
        <v>9</v>
      </c>
    </row>
    <row r="8" spans="1:10" ht="15" customHeight="1">
      <c r="A8" s="2183" t="s">
        <v>125</v>
      </c>
      <c r="B8" s="2184"/>
      <c r="C8" s="2184"/>
      <c r="D8" s="2184"/>
      <c r="E8" s="2184"/>
      <c r="F8" s="2184"/>
      <c r="G8" s="2184"/>
      <c r="H8" s="2184"/>
      <c r="I8" s="2184"/>
      <c r="J8" s="2185"/>
    </row>
    <row r="9" spans="1:10" ht="12.75" customHeight="1">
      <c r="A9" s="802" t="s">
        <v>1017</v>
      </c>
      <c r="B9" s="2186" t="s">
        <v>1190</v>
      </c>
      <c r="C9" s="2187"/>
      <c r="D9" s="2187"/>
      <c r="E9" s="2187"/>
      <c r="F9" s="2187"/>
      <c r="G9" s="2187"/>
      <c r="H9" s="2187"/>
      <c r="I9" s="2187"/>
      <c r="J9" s="2188"/>
    </row>
    <row r="10" spans="1:10" ht="12.75" customHeight="1" hidden="1">
      <c r="A10" s="802"/>
      <c r="B10" s="1484"/>
      <c r="C10" s="1484"/>
      <c r="D10" s="1484"/>
      <c r="E10" s="1484"/>
      <c r="F10" s="1484"/>
      <c r="G10" s="1484"/>
      <c r="H10" s="1484"/>
      <c r="I10" s="1484"/>
      <c r="J10" s="1485"/>
    </row>
    <row r="11" spans="1:10" ht="38.25" customHeight="1">
      <c r="A11" s="754" t="s">
        <v>1009</v>
      </c>
      <c r="B11" s="803" t="s">
        <v>1158</v>
      </c>
      <c r="C11" s="757" t="s">
        <v>1</v>
      </c>
      <c r="D11" s="758" t="s">
        <v>1191</v>
      </c>
      <c r="E11" s="752">
        <v>2</v>
      </c>
      <c r="F11" s="759">
        <v>1.5</v>
      </c>
      <c r="G11" s="752">
        <v>24</v>
      </c>
      <c r="H11" s="752">
        <f>E11*F11*G11</f>
        <v>72</v>
      </c>
      <c r="I11" s="752">
        <v>273</v>
      </c>
      <c r="J11" s="1824">
        <f>H11*I11/1000</f>
        <v>19.656</v>
      </c>
    </row>
    <row r="12" spans="1:10" ht="33.75" customHeight="1">
      <c r="A12" s="754" t="s">
        <v>145</v>
      </c>
      <c r="B12" s="803"/>
      <c r="C12" s="757" t="s">
        <v>1161</v>
      </c>
      <c r="D12" s="758" t="s">
        <v>1191</v>
      </c>
      <c r="E12" s="1822">
        <v>1</v>
      </c>
      <c r="F12" s="1823">
        <v>0.75</v>
      </c>
      <c r="G12" s="752">
        <v>24</v>
      </c>
      <c r="H12" s="752">
        <f>E12*F12*G12</f>
        <v>18</v>
      </c>
      <c r="I12" s="752">
        <v>273</v>
      </c>
      <c r="J12" s="1824">
        <f>H12*I12/1000</f>
        <v>4.914</v>
      </c>
    </row>
    <row r="13" spans="1:10" ht="26.25">
      <c r="A13" s="754" t="s">
        <v>146</v>
      </c>
      <c r="B13" s="755"/>
      <c r="C13" s="755" t="s">
        <v>1162</v>
      </c>
      <c r="D13" s="758" t="s">
        <v>1191</v>
      </c>
      <c r="E13" s="758">
        <v>2</v>
      </c>
      <c r="F13" s="758">
        <v>0.5</v>
      </c>
      <c r="G13" s="752">
        <v>24</v>
      </c>
      <c r="H13" s="752">
        <f>E13*F13*G13</f>
        <v>24</v>
      </c>
      <c r="I13" s="752">
        <v>273</v>
      </c>
      <c r="J13" s="1824">
        <f>H13*I13/1000</f>
        <v>6.552</v>
      </c>
    </row>
    <row r="14" spans="1:10" ht="15" customHeight="1">
      <c r="A14" s="754" t="s">
        <v>631</v>
      </c>
      <c r="B14" s="755" t="s">
        <v>1192</v>
      </c>
      <c r="C14" s="755" t="s">
        <v>1193</v>
      </c>
      <c r="D14" s="755"/>
      <c r="E14" s="758">
        <v>4</v>
      </c>
      <c r="F14" s="758">
        <v>0.06</v>
      </c>
      <c r="G14" s="752">
        <v>6</v>
      </c>
      <c r="H14" s="752">
        <f>E14*F14*G14</f>
        <v>1.44</v>
      </c>
      <c r="I14" s="752">
        <v>273</v>
      </c>
      <c r="J14" s="1824">
        <f>H14*I14/1000</f>
        <v>0.39312</v>
      </c>
    </row>
    <row r="15" spans="1:10" ht="13.5">
      <c r="A15" s="754" t="s">
        <v>632</v>
      </c>
      <c r="B15" s="755" t="s">
        <v>1194</v>
      </c>
      <c r="C15" s="755"/>
      <c r="D15" s="761"/>
      <c r="E15" s="755"/>
      <c r="F15" s="755"/>
      <c r="G15" s="752"/>
      <c r="H15" s="752"/>
      <c r="I15" s="752"/>
      <c r="J15" s="1824"/>
    </row>
    <row r="16" spans="1:10" ht="12.75">
      <c r="A16" s="754" t="s">
        <v>633</v>
      </c>
      <c r="B16" s="755" t="s">
        <v>1195</v>
      </c>
      <c r="C16" s="755"/>
      <c r="D16" s="755"/>
      <c r="E16" s="755"/>
      <c r="F16" s="755"/>
      <c r="G16" s="752"/>
      <c r="H16" s="752"/>
      <c r="I16" s="752"/>
      <c r="J16" s="1824"/>
    </row>
    <row r="17" spans="1:10" ht="12.75">
      <c r="A17" s="754"/>
      <c r="B17" s="755" t="s">
        <v>610</v>
      </c>
      <c r="C17" s="755"/>
      <c r="D17" s="755"/>
      <c r="E17" s="755"/>
      <c r="F17" s="755"/>
      <c r="G17" s="752"/>
      <c r="H17" s="752"/>
      <c r="I17" s="752"/>
      <c r="J17" s="1825">
        <f>SUM(J11:J16)</f>
        <v>31.51512</v>
      </c>
    </row>
    <row r="18" spans="1:10" ht="12.75">
      <c r="A18" s="802" t="s">
        <v>1010</v>
      </c>
      <c r="B18" s="2176" t="s">
        <v>1190</v>
      </c>
      <c r="C18" s="2177"/>
      <c r="D18" s="2177"/>
      <c r="E18" s="2177"/>
      <c r="F18" s="2177"/>
      <c r="G18" s="2177"/>
      <c r="H18" s="2177"/>
      <c r="I18" s="2177"/>
      <c r="J18" s="2178"/>
    </row>
    <row r="19" spans="1:10" ht="54" customHeight="1">
      <c r="A19" s="754" t="s">
        <v>1011</v>
      </c>
      <c r="B19" s="803" t="s">
        <v>1159</v>
      </c>
      <c r="C19" s="757" t="s">
        <v>0</v>
      </c>
      <c r="D19" s="758" t="s">
        <v>1191</v>
      </c>
      <c r="E19" s="752">
        <v>1</v>
      </c>
      <c r="F19" s="759">
        <v>3</v>
      </c>
      <c r="G19" s="752">
        <v>24</v>
      </c>
      <c r="H19" s="752">
        <f>E19*F19*G19</f>
        <v>72</v>
      </c>
      <c r="I19" s="752">
        <v>273</v>
      </c>
      <c r="J19" s="1824">
        <f>H19*I19/1000</f>
        <v>19.656</v>
      </c>
    </row>
    <row r="20" spans="1:10" ht="23.25" customHeight="1">
      <c r="A20" s="754" t="s">
        <v>686</v>
      </c>
      <c r="B20" s="803"/>
      <c r="C20" s="757" t="s">
        <v>2</v>
      </c>
      <c r="D20" s="758" t="s">
        <v>1191</v>
      </c>
      <c r="E20" s="1822">
        <v>1</v>
      </c>
      <c r="F20" s="1823">
        <v>5.5</v>
      </c>
      <c r="G20" s="752">
        <v>24</v>
      </c>
      <c r="H20" s="752">
        <f>E20*F20*G20</f>
        <v>132</v>
      </c>
      <c r="I20" s="752">
        <v>273</v>
      </c>
      <c r="J20" s="1824">
        <f>H20*I20/1000</f>
        <v>36.036</v>
      </c>
    </row>
    <row r="21" spans="1:10" ht="33.75" customHeight="1">
      <c r="A21" s="754" t="s">
        <v>1003</v>
      </c>
      <c r="B21" s="803"/>
      <c r="C21" s="757" t="s">
        <v>3</v>
      </c>
      <c r="D21" s="758" t="s">
        <v>1191</v>
      </c>
      <c r="E21" s="1822">
        <v>1</v>
      </c>
      <c r="F21" s="1823">
        <v>1.5</v>
      </c>
      <c r="G21" s="752">
        <v>24</v>
      </c>
      <c r="H21" s="752">
        <f>E21*F21*G21</f>
        <v>36</v>
      </c>
      <c r="I21" s="752">
        <v>273</v>
      </c>
      <c r="J21" s="1824">
        <f>H21*I21/1000</f>
        <v>9.828</v>
      </c>
    </row>
    <row r="22" spans="1:10" ht="26.25">
      <c r="A22" s="754" t="s">
        <v>861</v>
      </c>
      <c r="B22" s="755"/>
      <c r="C22" s="755" t="s">
        <v>1162</v>
      </c>
      <c r="D22" s="758" t="s">
        <v>1191</v>
      </c>
      <c r="E22" s="758">
        <v>3</v>
      </c>
      <c r="F22" s="758">
        <v>0.5</v>
      </c>
      <c r="G22" s="752">
        <v>24</v>
      </c>
      <c r="H22" s="752">
        <f>E22*F22*G22</f>
        <v>36</v>
      </c>
      <c r="I22" s="752">
        <v>273</v>
      </c>
      <c r="J22" s="1824">
        <f>H22*I22/1000</f>
        <v>9.828</v>
      </c>
    </row>
    <row r="23" spans="1:10" ht="12.75" customHeight="1">
      <c r="A23" s="754" t="s">
        <v>863</v>
      </c>
      <c r="B23" s="755" t="s">
        <v>1192</v>
      </c>
      <c r="C23" s="755" t="s">
        <v>1193</v>
      </c>
      <c r="D23" s="761"/>
      <c r="E23" s="758">
        <v>4</v>
      </c>
      <c r="F23" s="758">
        <v>0.06</v>
      </c>
      <c r="G23" s="752">
        <v>6</v>
      </c>
      <c r="H23" s="752">
        <f>E23*F23*G23</f>
        <v>1.44</v>
      </c>
      <c r="I23" s="752">
        <v>273</v>
      </c>
      <c r="J23" s="1824">
        <f>H23*I23/1000</f>
        <v>0.39312</v>
      </c>
    </row>
    <row r="24" spans="1:10" ht="13.5">
      <c r="A24" s="754" t="s">
        <v>865</v>
      </c>
      <c r="B24" s="755" t="s">
        <v>1194</v>
      </c>
      <c r="C24" s="761"/>
      <c r="D24" s="755"/>
      <c r="E24" s="755"/>
      <c r="F24" s="755"/>
      <c r="G24" s="752"/>
      <c r="H24" s="752"/>
      <c r="I24" s="1824"/>
      <c r="J24" s="1824"/>
    </row>
    <row r="25" spans="1:10" ht="12.75">
      <c r="A25" s="755">
        <v>2.7</v>
      </c>
      <c r="B25" s="755" t="s">
        <v>1195</v>
      </c>
      <c r="C25" s="755"/>
      <c r="D25" s="755"/>
      <c r="E25" s="755"/>
      <c r="F25" s="755"/>
      <c r="G25" s="752"/>
      <c r="H25" s="752"/>
      <c r="I25" s="752"/>
      <c r="J25" s="1824"/>
    </row>
    <row r="26" spans="1:10" ht="12.75">
      <c r="A26" s="754"/>
      <c r="B26" s="755" t="s">
        <v>610</v>
      </c>
      <c r="C26" s="755"/>
      <c r="D26" s="755"/>
      <c r="E26" s="755"/>
      <c r="F26" s="755"/>
      <c r="G26" s="752"/>
      <c r="H26" s="752"/>
      <c r="I26" s="752"/>
      <c r="J26" s="1825">
        <f>SUM(J19:J25)</f>
        <v>75.74112</v>
      </c>
    </row>
    <row r="27" spans="1:10" ht="12.75" hidden="1">
      <c r="A27" s="802"/>
      <c r="B27" s="2176"/>
      <c r="C27" s="2177"/>
      <c r="D27" s="2177"/>
      <c r="E27" s="2177"/>
      <c r="F27" s="2177"/>
      <c r="G27" s="2177"/>
      <c r="H27" s="2177"/>
      <c r="I27" s="2177"/>
      <c r="J27" s="2178"/>
    </row>
    <row r="28" spans="1:10" ht="45.75" customHeight="1" hidden="1">
      <c r="A28" s="754"/>
      <c r="B28" s="803"/>
      <c r="C28" s="757"/>
      <c r="D28" s="758"/>
      <c r="E28" s="752"/>
      <c r="F28" s="759"/>
      <c r="G28" s="752"/>
      <c r="H28" s="752"/>
      <c r="I28" s="752"/>
      <c r="J28" s="760"/>
    </row>
    <row r="29" spans="1:10" ht="12.75" hidden="1">
      <c r="A29" s="754"/>
      <c r="B29" s="755"/>
      <c r="C29" s="755"/>
      <c r="D29" s="758"/>
      <c r="E29" s="758"/>
      <c r="F29" s="758"/>
      <c r="G29" s="752"/>
      <c r="H29" s="752"/>
      <c r="I29" s="752"/>
      <c r="J29" s="760"/>
    </row>
    <row r="30" spans="1:10" ht="12.75" hidden="1">
      <c r="A30" s="754"/>
      <c r="B30" s="755"/>
      <c r="C30" s="755"/>
      <c r="D30" s="755"/>
      <c r="E30" s="758"/>
      <c r="F30" s="758"/>
      <c r="G30" s="752"/>
      <c r="H30" s="752"/>
      <c r="I30" s="752"/>
      <c r="J30" s="760"/>
    </row>
    <row r="31" spans="1:10" ht="13.5" hidden="1">
      <c r="A31" s="754"/>
      <c r="B31" s="755"/>
      <c r="C31" s="761"/>
      <c r="D31" s="761"/>
      <c r="E31" s="755"/>
      <c r="F31" s="755"/>
      <c r="G31" s="752"/>
      <c r="H31" s="752"/>
      <c r="I31" s="752"/>
      <c r="J31" s="760"/>
    </row>
    <row r="32" spans="1:10" ht="12.75" hidden="1">
      <c r="A32" s="754"/>
      <c r="B32" s="755"/>
      <c r="C32" s="755"/>
      <c r="D32" s="755"/>
      <c r="E32" s="755"/>
      <c r="F32" s="755"/>
      <c r="G32" s="752"/>
      <c r="H32" s="752"/>
      <c r="I32" s="752"/>
      <c r="J32" s="760"/>
    </row>
    <row r="33" spans="1:10" ht="12.75" hidden="1">
      <c r="A33" s="755"/>
      <c r="B33" s="755"/>
      <c r="C33" s="755"/>
      <c r="D33" s="755"/>
      <c r="E33" s="755"/>
      <c r="F33" s="755"/>
      <c r="G33" s="752"/>
      <c r="H33" s="752"/>
      <c r="I33" s="752"/>
      <c r="J33" s="760"/>
    </row>
    <row r="34" spans="1:10" ht="12.75" hidden="1">
      <c r="A34" s="754"/>
      <c r="B34" s="755"/>
      <c r="C34" s="755"/>
      <c r="D34" s="755"/>
      <c r="E34" s="755"/>
      <c r="F34" s="755"/>
      <c r="G34" s="752"/>
      <c r="H34" s="752"/>
      <c r="I34" s="752"/>
      <c r="J34" s="762"/>
    </row>
    <row r="35" spans="1:10" ht="12.75" hidden="1">
      <c r="A35" s="802"/>
      <c r="B35" s="2176"/>
      <c r="C35" s="2177"/>
      <c r="D35" s="2177"/>
      <c r="E35" s="2177"/>
      <c r="F35" s="2177"/>
      <c r="G35" s="2177"/>
      <c r="H35" s="2177"/>
      <c r="I35" s="2177"/>
      <c r="J35" s="2178"/>
    </row>
    <row r="36" spans="1:10" ht="12.75" hidden="1">
      <c r="A36" s="754"/>
      <c r="B36" s="804"/>
      <c r="C36" s="757"/>
      <c r="D36" s="758"/>
      <c r="E36" s="752"/>
      <c r="F36" s="759"/>
      <c r="G36" s="752"/>
      <c r="H36" s="752"/>
      <c r="I36" s="752"/>
      <c r="J36" s="760"/>
    </row>
    <row r="37" spans="1:10" ht="12.75" hidden="1">
      <c r="A37" s="754"/>
      <c r="B37" s="755"/>
      <c r="C37" s="755"/>
      <c r="D37" s="758"/>
      <c r="E37" s="758"/>
      <c r="F37" s="758"/>
      <c r="G37" s="752"/>
      <c r="H37" s="752"/>
      <c r="I37" s="752"/>
      <c r="J37" s="760"/>
    </row>
    <row r="38" spans="1:10" ht="12.75" hidden="1">
      <c r="A38" s="754"/>
      <c r="B38" s="755"/>
      <c r="C38" s="755"/>
      <c r="D38" s="758"/>
      <c r="E38" s="758"/>
      <c r="F38" s="758"/>
      <c r="G38" s="752"/>
      <c r="H38" s="752"/>
      <c r="I38" s="752"/>
      <c r="J38" s="760"/>
    </row>
    <row r="39" spans="1:10" ht="13.5" hidden="1">
      <c r="A39" s="754"/>
      <c r="B39" s="755"/>
      <c r="C39" s="755"/>
      <c r="D39" s="761"/>
      <c r="E39" s="758"/>
      <c r="F39" s="758"/>
      <c r="G39" s="752"/>
      <c r="H39" s="752"/>
      <c r="I39" s="752"/>
      <c r="J39" s="760"/>
    </row>
    <row r="40" spans="1:10" ht="12.75" hidden="1">
      <c r="A40" s="754"/>
      <c r="B40" s="755"/>
      <c r="C40" s="755"/>
      <c r="D40" s="758"/>
      <c r="E40" s="758"/>
      <c r="F40" s="758"/>
      <c r="G40" s="752"/>
      <c r="H40" s="752"/>
      <c r="I40" s="752"/>
      <c r="J40" s="760"/>
    </row>
    <row r="41" spans="1:10" ht="12.75" hidden="1">
      <c r="A41" s="754"/>
      <c r="B41" s="756"/>
      <c r="C41" s="755"/>
      <c r="D41" s="755"/>
      <c r="E41" s="755"/>
      <c r="F41" s="755"/>
      <c r="G41" s="752"/>
      <c r="H41" s="752"/>
      <c r="I41" s="752"/>
      <c r="J41" s="762"/>
    </row>
    <row r="42" spans="1:10" ht="12.75" hidden="1">
      <c r="A42" s="754" t="s">
        <v>1019</v>
      </c>
      <c r="B42" s="2179" t="s">
        <v>1006</v>
      </c>
      <c r="C42" s="2180"/>
      <c r="D42" s="2180"/>
      <c r="E42" s="2180"/>
      <c r="F42" s="2180"/>
      <c r="G42" s="2180"/>
      <c r="H42" s="2180"/>
      <c r="I42" s="2180"/>
      <c r="J42" s="2181"/>
    </row>
    <row r="43" spans="1:10" ht="12.75" hidden="1">
      <c r="A43" s="754" t="s">
        <v>1308</v>
      </c>
      <c r="B43" s="755"/>
      <c r="C43" s="755" t="s">
        <v>1006</v>
      </c>
      <c r="D43" s="755"/>
      <c r="E43" s="763"/>
      <c r="F43" s="764"/>
      <c r="G43" s="752"/>
      <c r="H43" s="752"/>
      <c r="I43" s="752"/>
      <c r="J43" s="752"/>
    </row>
    <row r="44" spans="1:10" ht="12.75" hidden="1">
      <c r="A44" s="754" t="s">
        <v>1309</v>
      </c>
      <c r="B44" s="755"/>
      <c r="C44" s="755" t="s">
        <v>1006</v>
      </c>
      <c r="D44" s="755"/>
      <c r="E44" s="755"/>
      <c r="F44" s="755"/>
      <c r="G44" s="752"/>
      <c r="H44" s="752"/>
      <c r="I44" s="752"/>
      <c r="J44" s="752"/>
    </row>
    <row r="45" spans="1:10" ht="12.75" hidden="1">
      <c r="A45" s="754" t="s">
        <v>1310</v>
      </c>
      <c r="B45" s="755" t="s">
        <v>1192</v>
      </c>
      <c r="C45" s="755"/>
      <c r="D45" s="755"/>
      <c r="E45" s="755"/>
      <c r="F45" s="755"/>
      <c r="G45" s="752"/>
      <c r="H45" s="752"/>
      <c r="I45" s="752"/>
      <c r="J45" s="752"/>
    </row>
    <row r="46" spans="1:10" ht="13.5" hidden="1">
      <c r="A46" s="754" t="s">
        <v>748</v>
      </c>
      <c r="B46" s="755" t="s">
        <v>1194</v>
      </c>
      <c r="C46" s="761"/>
      <c r="D46" s="761"/>
      <c r="E46" s="755"/>
      <c r="F46" s="755"/>
      <c r="G46" s="752"/>
      <c r="H46" s="752"/>
      <c r="I46" s="752"/>
      <c r="J46" s="752"/>
    </row>
    <row r="47" spans="1:10" ht="12.75" hidden="1">
      <c r="A47" s="754" t="s">
        <v>749</v>
      </c>
      <c r="B47" s="755" t="s">
        <v>1195</v>
      </c>
      <c r="C47" s="755"/>
      <c r="D47" s="755"/>
      <c r="E47" s="755"/>
      <c r="F47" s="755"/>
      <c r="G47" s="752"/>
      <c r="H47" s="752"/>
      <c r="I47" s="752"/>
      <c r="J47" s="752"/>
    </row>
    <row r="48" spans="1:10" ht="12.75" hidden="1">
      <c r="A48" s="755" t="s">
        <v>1006</v>
      </c>
      <c r="B48" s="755"/>
      <c r="C48" s="755"/>
      <c r="D48" s="755"/>
      <c r="E48" s="755"/>
      <c r="F48" s="755"/>
      <c r="G48" s="752"/>
      <c r="H48" s="752"/>
      <c r="I48" s="752"/>
      <c r="J48" s="752"/>
    </row>
    <row r="49" spans="1:10" ht="12.75" hidden="1">
      <c r="A49" s="754"/>
      <c r="B49" s="755" t="s">
        <v>610</v>
      </c>
      <c r="C49" s="755"/>
      <c r="D49" s="755"/>
      <c r="E49" s="765"/>
      <c r="F49" s="755"/>
      <c r="G49" s="752"/>
      <c r="H49" s="752"/>
      <c r="I49" s="752"/>
      <c r="J49" s="752"/>
    </row>
    <row r="50" spans="1:11" ht="12.75">
      <c r="A50" s="766"/>
      <c r="B50" s="767" t="s">
        <v>1196</v>
      </c>
      <c r="C50" s="768"/>
      <c r="D50" s="768"/>
      <c r="E50" s="768"/>
      <c r="F50" s="768"/>
      <c r="G50" s="769"/>
      <c r="H50" s="769"/>
      <c r="I50" s="769"/>
      <c r="J50" s="1831">
        <f>J17+J26+J34+J41</f>
        <v>107.25623999999999</v>
      </c>
      <c r="K50" s="805"/>
    </row>
    <row r="51" spans="1:11" ht="12.75">
      <c r="A51" s="1826"/>
      <c r="B51" s="1826"/>
      <c r="C51" s="1826"/>
      <c r="D51" s="1826"/>
      <c r="E51" s="1826"/>
      <c r="F51" s="1827"/>
      <c r="G51" s="1827"/>
      <c r="H51" s="1827"/>
      <c r="I51" s="1827"/>
      <c r="J51" s="1828"/>
      <c r="K51" s="805"/>
    </row>
    <row r="52" spans="1:11" ht="12.75">
      <c r="A52" s="1826"/>
      <c r="B52" s="1826"/>
      <c r="C52" s="1826"/>
      <c r="D52" s="1826"/>
      <c r="E52" s="1826"/>
      <c r="F52" s="1827"/>
      <c r="G52" s="1827"/>
      <c r="H52" s="1827"/>
      <c r="I52" s="1827"/>
      <c r="J52" s="1828"/>
      <c r="K52" s="805"/>
    </row>
    <row r="53" spans="1:10" ht="12.75">
      <c r="A53" s="1826"/>
      <c r="B53" s="1826"/>
      <c r="C53" s="1826"/>
      <c r="D53" s="1826"/>
      <c r="E53" s="1826"/>
      <c r="F53" s="1827"/>
      <c r="G53" s="1827"/>
      <c r="H53" s="1827"/>
      <c r="I53" s="1827"/>
      <c r="J53" s="1826"/>
    </row>
    <row r="54" spans="1:10" ht="12.75">
      <c r="A54" s="1826"/>
      <c r="B54" s="1826"/>
      <c r="C54" s="1826"/>
      <c r="D54" s="1826"/>
      <c r="E54" s="1826"/>
      <c r="F54" s="1827"/>
      <c r="G54" s="1827"/>
      <c r="H54" s="1827"/>
      <c r="I54" s="1827"/>
      <c r="J54" s="1826"/>
    </row>
    <row r="55" spans="1:10" ht="12.75">
      <c r="A55" s="1829"/>
      <c r="B55" s="1829"/>
      <c r="C55" s="1829"/>
      <c r="D55" s="1829"/>
      <c r="E55" s="1829"/>
      <c r="F55" s="1830"/>
      <c r="G55" s="1830"/>
      <c r="H55" s="1830"/>
      <c r="I55" s="1830"/>
      <c r="J55" s="1829"/>
    </row>
    <row r="56" spans="1:10" s="770" customFormat="1" ht="9.75">
      <c r="A56" s="2173"/>
      <c r="B56" s="2173"/>
      <c r="C56" s="2173"/>
      <c r="D56" s="2173"/>
      <c r="E56" s="2173"/>
      <c r="F56" s="2173"/>
      <c r="G56" s="2173"/>
      <c r="H56" s="2173"/>
      <c r="I56" s="2173"/>
      <c r="J56" s="2173"/>
    </row>
    <row r="57" spans="1:10" ht="12.75">
      <c r="A57" s="2173"/>
      <c r="B57" s="2173"/>
      <c r="C57" s="2173"/>
      <c r="D57" s="2173"/>
      <c r="E57" s="2173"/>
      <c r="F57" s="2173"/>
      <c r="G57" s="2173"/>
      <c r="H57" s="2173"/>
      <c r="I57" s="2173"/>
      <c r="J57" s="2173"/>
    </row>
    <row r="58" spans="2:7" ht="15">
      <c r="B58" s="771" t="s">
        <v>1187</v>
      </c>
      <c r="C58" s="771"/>
      <c r="D58" s="771" t="s">
        <v>1197</v>
      </c>
      <c r="E58" s="771"/>
      <c r="F58" s="771"/>
      <c r="G58" s="771"/>
    </row>
    <row r="61" spans="1:11" ht="14.25">
      <c r="A61" s="2174"/>
      <c r="B61" s="2175"/>
      <c r="C61" s="2175"/>
      <c r="D61" s="2175"/>
      <c r="E61" s="2175"/>
      <c r="F61" s="2175"/>
      <c r="G61" s="2175"/>
      <c r="H61" s="2175"/>
      <c r="I61" s="2175"/>
      <c r="J61" s="2175"/>
      <c r="K61" s="2175"/>
    </row>
  </sheetData>
  <sheetProtection/>
  <mergeCells count="9">
    <mergeCell ref="A4:J4"/>
    <mergeCell ref="B18:J18"/>
    <mergeCell ref="B27:J27"/>
    <mergeCell ref="A8:J8"/>
    <mergeCell ref="B9:J9"/>
    <mergeCell ref="A56:J57"/>
    <mergeCell ref="A61:K61"/>
    <mergeCell ref="B35:J35"/>
    <mergeCell ref="B42:J42"/>
  </mergeCells>
  <printOptions horizontalCentered="1"/>
  <pageMargins left="0.984251968503937" right="0.1968503937007874" top="0.2755905511811024" bottom="0.2362204724409449" header="0.31496062992125984" footer="0.31496062992125984"/>
  <pageSetup fitToHeight="3" fitToWidth="1"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9"/>
  <sheetViews>
    <sheetView zoomScaleSheetLayoutView="100" workbookViewId="0" topLeftCell="A27">
      <selection activeCell="G42" sqref="G42"/>
    </sheetView>
  </sheetViews>
  <sheetFormatPr defaultColWidth="9.140625" defaultRowHeight="15" outlineLevelRow="1"/>
  <cols>
    <col min="1" max="1" width="9.140625" style="1" customWidth="1"/>
    <col min="2" max="2" width="30.00390625" style="1" customWidth="1"/>
    <col min="3" max="3" width="10.8515625" style="1" customWidth="1"/>
    <col min="4" max="4" width="10.28125" style="1" customWidth="1"/>
    <col min="5" max="6" width="9.57421875" style="1" customWidth="1"/>
    <col min="7" max="7" width="10.28125" style="1" customWidth="1"/>
    <col min="8" max="8" width="9.421875" style="1" customWidth="1"/>
    <col min="9" max="9" width="9.57421875" style="1" customWidth="1"/>
    <col min="10" max="10" width="10.7109375" style="1" customWidth="1"/>
    <col min="11" max="11" width="10.8515625" style="1" customWidth="1"/>
    <col min="12" max="12" width="9.57421875" style="1" customWidth="1"/>
    <col min="13" max="13" width="10.28125" style="1" customWidth="1"/>
    <col min="14" max="14" width="9.57421875" style="1" customWidth="1"/>
    <col min="15" max="16384" width="9.140625" style="1" customWidth="1"/>
  </cols>
  <sheetData>
    <row r="1" spans="1:11" ht="15" customHeight="1">
      <c r="A1" s="52" t="s">
        <v>5</v>
      </c>
      <c r="B1" s="52"/>
      <c r="C1" s="52"/>
      <c r="D1" s="52"/>
      <c r="E1" s="52"/>
      <c r="K1" s="2" t="s">
        <v>41</v>
      </c>
    </row>
    <row r="2" spans="1:11" ht="14.25">
      <c r="A2" s="52" t="s">
        <v>129</v>
      </c>
      <c r="B2" s="52"/>
      <c r="C2" s="52"/>
      <c r="D2" s="52"/>
      <c r="E2" s="52"/>
      <c r="K2" s="506">
        <v>41903</v>
      </c>
    </row>
    <row r="4" spans="1:12" ht="16.5">
      <c r="A4" s="33" t="s">
        <v>855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510"/>
    </row>
    <row r="5" ht="13.5">
      <c r="A5" s="179" t="s">
        <v>42</v>
      </c>
    </row>
    <row r="6" spans="1:14" ht="12.75" customHeight="1" hidden="1">
      <c r="A6" s="2006" t="s">
        <v>1008</v>
      </c>
      <c r="B6" s="2193" t="s">
        <v>43</v>
      </c>
      <c r="C6" s="2081" t="s">
        <v>1005</v>
      </c>
      <c r="D6" s="2082"/>
      <c r="E6" s="2082"/>
      <c r="F6" s="2082"/>
      <c r="G6" s="2082"/>
      <c r="H6" s="2082"/>
      <c r="I6" s="2082"/>
      <c r="J6" s="2082"/>
      <c r="K6" s="2082"/>
      <c r="L6" s="2082"/>
      <c r="M6" s="2082"/>
      <c r="N6" s="2083"/>
    </row>
    <row r="7" spans="1:14" ht="12.75" customHeight="1" hidden="1">
      <c r="A7" s="2007"/>
      <c r="B7" s="2010"/>
      <c r="C7" s="2189" t="s">
        <v>197</v>
      </c>
      <c r="D7" s="2189"/>
      <c r="E7" s="2189"/>
      <c r="F7" s="2189" t="s">
        <v>989</v>
      </c>
      <c r="G7" s="2189"/>
      <c r="H7" s="2189"/>
      <c r="I7" s="2189" t="s">
        <v>1563</v>
      </c>
      <c r="J7" s="2189"/>
      <c r="K7" s="2189"/>
      <c r="L7" s="2189" t="s">
        <v>1789</v>
      </c>
      <c r="M7" s="2189"/>
      <c r="N7" s="2189"/>
    </row>
    <row r="8" spans="1:14" s="588" customFormat="1" ht="12.75" customHeight="1" hidden="1">
      <c r="A8" s="2007"/>
      <c r="B8" s="2010"/>
      <c r="C8" s="2005"/>
      <c r="D8" s="2005"/>
      <c r="E8" s="2005"/>
      <c r="F8" s="2005"/>
      <c r="G8" s="2005"/>
      <c r="H8" s="2005"/>
      <c r="I8" s="2005"/>
      <c r="J8" s="2005"/>
      <c r="K8" s="2005"/>
      <c r="L8" s="2005"/>
      <c r="M8" s="2005"/>
      <c r="N8" s="2005"/>
    </row>
    <row r="9" spans="1:14" s="588" customFormat="1" ht="44.25" customHeight="1" hidden="1">
      <c r="A9" s="2007"/>
      <c r="B9" s="2010"/>
      <c r="C9" s="66" t="s">
        <v>45</v>
      </c>
      <c r="D9" s="690" t="s">
        <v>1355</v>
      </c>
      <c r="E9" s="66" t="s">
        <v>1356</v>
      </c>
      <c r="F9" s="66" t="s">
        <v>45</v>
      </c>
      <c r="G9" s="690" t="s">
        <v>1355</v>
      </c>
      <c r="H9" s="66" t="s">
        <v>1356</v>
      </c>
      <c r="I9" s="66" t="s">
        <v>45</v>
      </c>
      <c r="J9" s="690" t="s">
        <v>1355</v>
      </c>
      <c r="K9" s="66" t="s">
        <v>1356</v>
      </c>
      <c r="L9" s="66" t="s">
        <v>45</v>
      </c>
      <c r="M9" s="690" t="s">
        <v>1355</v>
      </c>
      <c r="N9" s="66" t="s">
        <v>1356</v>
      </c>
    </row>
    <row r="10" spans="1:14" s="588" customFormat="1" ht="15" hidden="1">
      <c r="A10" s="2009"/>
      <c r="B10" s="2021"/>
      <c r="C10" s="601" t="s">
        <v>1406</v>
      </c>
      <c r="D10" s="601" t="s">
        <v>1407</v>
      </c>
      <c r="E10" s="601" t="s">
        <v>1021</v>
      </c>
      <c r="F10" s="601" t="s">
        <v>1406</v>
      </c>
      <c r="G10" s="601" t="s">
        <v>1407</v>
      </c>
      <c r="H10" s="601" t="s">
        <v>1021</v>
      </c>
      <c r="I10" s="601" t="s">
        <v>1406</v>
      </c>
      <c r="J10" s="601" t="s">
        <v>1407</v>
      </c>
      <c r="K10" s="601" t="s">
        <v>1021</v>
      </c>
      <c r="L10" s="601" t="s">
        <v>1406</v>
      </c>
      <c r="M10" s="601" t="s">
        <v>1407</v>
      </c>
      <c r="N10" s="601" t="s">
        <v>1021</v>
      </c>
    </row>
    <row r="11" spans="1:14" s="588" customFormat="1" ht="12.75" hidden="1">
      <c r="A11" s="529">
        <v>1</v>
      </c>
      <c r="B11" s="602">
        <v>2</v>
      </c>
      <c r="C11" s="29">
        <v>3</v>
      </c>
      <c r="D11" s="29">
        <v>4</v>
      </c>
      <c r="E11" s="13">
        <v>5</v>
      </c>
      <c r="F11" s="29">
        <v>3</v>
      </c>
      <c r="G11" s="29">
        <v>4</v>
      </c>
      <c r="H11" s="13">
        <v>5</v>
      </c>
      <c r="I11" s="29">
        <v>9</v>
      </c>
      <c r="J11" s="29">
        <v>10</v>
      </c>
      <c r="K11" s="13">
        <v>11</v>
      </c>
      <c r="L11" s="29">
        <v>9</v>
      </c>
      <c r="M11" s="29">
        <v>10</v>
      </c>
      <c r="N11" s="13">
        <v>11</v>
      </c>
    </row>
    <row r="12" spans="1:14" ht="26.25" hidden="1">
      <c r="A12" s="86" t="s">
        <v>1017</v>
      </c>
      <c r="B12" s="26" t="s">
        <v>1408</v>
      </c>
      <c r="C12" s="603" t="e">
        <f>#REF!*1000</f>
        <v>#REF!</v>
      </c>
      <c r="D12" s="604">
        <v>0.04556</v>
      </c>
      <c r="E12" s="589" t="e">
        <f>C12*D12</f>
        <v>#REF!</v>
      </c>
      <c r="F12" s="603" t="e">
        <f>#REF!*1000</f>
        <v>#REF!</v>
      </c>
      <c r="G12" s="604">
        <v>0.04556</v>
      </c>
      <c r="H12" s="589" t="e">
        <f>F12*G12</f>
        <v>#REF!</v>
      </c>
      <c r="I12" s="603" t="e">
        <f>#REF!*1000</f>
        <v>#REF!</v>
      </c>
      <c r="J12" s="605">
        <f>J14</f>
        <v>0.04802</v>
      </c>
      <c r="K12" s="590" t="e">
        <f>I12*J12</f>
        <v>#REF!</v>
      </c>
      <c r="L12" s="603" t="e">
        <f>#REF!*1000</f>
        <v>#REF!</v>
      </c>
      <c r="M12" s="605">
        <f>M14</f>
        <v>0.04802</v>
      </c>
      <c r="N12" s="590" t="e">
        <f>L12*M12</f>
        <v>#REF!</v>
      </c>
    </row>
    <row r="13" spans="1:14" ht="26.25" hidden="1">
      <c r="A13" s="14" t="s">
        <v>1009</v>
      </c>
      <c r="B13" s="77" t="s">
        <v>852</v>
      </c>
      <c r="C13" s="606">
        <v>0</v>
      </c>
      <c r="D13" s="607"/>
      <c r="E13" s="590"/>
      <c r="F13" s="606">
        <v>0</v>
      </c>
      <c r="G13" s="607"/>
      <c r="H13" s="590"/>
      <c r="I13" s="606">
        <v>0</v>
      </c>
      <c r="J13" s="608"/>
      <c r="K13" s="590"/>
      <c r="L13" s="606">
        <v>0</v>
      </c>
      <c r="M13" s="608"/>
      <c r="N13" s="590"/>
    </row>
    <row r="14" spans="1:14" ht="26.25" hidden="1">
      <c r="A14" s="14" t="s">
        <v>145</v>
      </c>
      <c r="B14" s="77" t="s">
        <v>143</v>
      </c>
      <c r="C14" s="590" t="e">
        <f>C12-C15</f>
        <v>#REF!</v>
      </c>
      <c r="D14" s="609">
        <v>0.04556</v>
      </c>
      <c r="E14" s="589" t="e">
        <f>C14*D14</f>
        <v>#REF!</v>
      </c>
      <c r="F14" s="590" t="e">
        <f>F12-F15</f>
        <v>#REF!</v>
      </c>
      <c r="G14" s="609">
        <v>0.04556</v>
      </c>
      <c r="H14" s="590" t="e">
        <f>F14*G14</f>
        <v>#REF!</v>
      </c>
      <c r="I14" s="590" t="e">
        <f>I12-I15</f>
        <v>#REF!</v>
      </c>
      <c r="J14" s="610">
        <v>0.04802</v>
      </c>
      <c r="K14" s="590" t="e">
        <f>I14*J14</f>
        <v>#REF!</v>
      </c>
      <c r="L14" s="590" t="e">
        <f>L12-L15</f>
        <v>#REF!</v>
      </c>
      <c r="M14" s="610">
        <v>0.04802</v>
      </c>
      <c r="N14" s="590" t="e">
        <f>L14*M14</f>
        <v>#REF!</v>
      </c>
    </row>
    <row r="15" spans="1:14" ht="12.75" hidden="1">
      <c r="A15" s="14" t="s">
        <v>146</v>
      </c>
      <c r="B15" s="77" t="s">
        <v>1757</v>
      </c>
      <c r="C15" s="590" t="e">
        <f>#REF!*1000</f>
        <v>#REF!</v>
      </c>
      <c r="D15" s="609">
        <v>0.04556</v>
      </c>
      <c r="E15" s="589" t="e">
        <f>C15*D15</f>
        <v>#REF!</v>
      </c>
      <c r="F15" s="590" t="e">
        <f>#REF!*1000</f>
        <v>#REF!</v>
      </c>
      <c r="G15" s="609">
        <v>0.04556</v>
      </c>
      <c r="H15" s="590" t="e">
        <f>F15*G15</f>
        <v>#REF!</v>
      </c>
      <c r="I15" s="590" t="e">
        <f>#REF!*1000</f>
        <v>#REF!</v>
      </c>
      <c r="J15" s="610">
        <v>0.04802</v>
      </c>
      <c r="K15" s="590">
        <v>124</v>
      </c>
      <c r="L15" s="590" t="e">
        <f>#REF!*1000</f>
        <v>#REF!</v>
      </c>
      <c r="M15" s="610">
        <v>0.04802</v>
      </c>
      <c r="N15" s="590" t="e">
        <f>L15*M15</f>
        <v>#REF!</v>
      </c>
    </row>
    <row r="16" spans="1:14" ht="12.75" hidden="1">
      <c r="A16" s="14" t="s">
        <v>631</v>
      </c>
      <c r="B16" s="77" t="s">
        <v>853</v>
      </c>
      <c r="C16" s="691"/>
      <c r="D16" s="607"/>
      <c r="E16" s="590"/>
      <c r="F16" s="606"/>
      <c r="G16" s="607"/>
      <c r="H16" s="590"/>
      <c r="I16" s="606"/>
      <c r="J16" s="607"/>
      <c r="K16" s="590"/>
      <c r="L16" s="606"/>
      <c r="M16" s="607"/>
      <c r="N16" s="590"/>
    </row>
    <row r="17" spans="1:14" ht="18.75" customHeight="1" hidden="1">
      <c r="A17" s="86" t="s">
        <v>1010</v>
      </c>
      <c r="B17" s="26" t="s">
        <v>244</v>
      </c>
      <c r="C17" s="691"/>
      <c r="D17" s="607"/>
      <c r="E17" s="589"/>
      <c r="F17" s="606"/>
      <c r="G17" s="607"/>
      <c r="H17" s="589"/>
      <c r="I17" s="606"/>
      <c r="J17" s="607"/>
      <c r="K17" s="589"/>
      <c r="L17" s="606"/>
      <c r="M17" s="607"/>
      <c r="N17" s="589"/>
    </row>
    <row r="19" spans="1:14" ht="12.75">
      <c r="A19" s="2006" t="s">
        <v>1008</v>
      </c>
      <c r="B19" s="2029" t="s">
        <v>43</v>
      </c>
      <c r="C19" s="2081" t="s">
        <v>1005</v>
      </c>
      <c r="D19" s="2082"/>
      <c r="E19" s="2082"/>
      <c r="F19" s="2082"/>
      <c r="G19" s="2082"/>
      <c r="H19" s="2083"/>
      <c r="I19" s="992"/>
      <c r="J19" s="992"/>
      <c r="K19" s="992"/>
      <c r="L19" s="992"/>
      <c r="M19" s="992"/>
      <c r="N19" s="992"/>
    </row>
    <row r="20" spans="1:14" ht="18.75" customHeight="1">
      <c r="A20" s="2007"/>
      <c r="B20" s="2010"/>
      <c r="C20" s="2189" t="s">
        <v>812</v>
      </c>
      <c r="D20" s="2189"/>
      <c r="E20" s="2189"/>
      <c r="F20" s="2189" t="s">
        <v>813</v>
      </c>
      <c r="G20" s="2189"/>
      <c r="H20" s="2189"/>
      <c r="I20" s="2192"/>
      <c r="J20" s="2192"/>
      <c r="K20" s="2192"/>
      <c r="L20" s="2192"/>
      <c r="M20" s="2192"/>
      <c r="N20" s="2192"/>
    </row>
    <row r="21" spans="1:14" ht="12.75" customHeight="1">
      <c r="A21" s="2007"/>
      <c r="B21" s="2010"/>
      <c r="C21" s="2005"/>
      <c r="D21" s="2005"/>
      <c r="E21" s="2005"/>
      <c r="F21" s="2005"/>
      <c r="G21" s="2005"/>
      <c r="H21" s="2005"/>
      <c r="I21" s="2192"/>
      <c r="J21" s="2192"/>
      <c r="K21" s="2192"/>
      <c r="L21" s="2192"/>
      <c r="M21" s="2192"/>
      <c r="N21" s="2192"/>
    </row>
    <row r="22" spans="1:14" ht="52.5">
      <c r="A22" s="2007"/>
      <c r="B22" s="2010"/>
      <c r="C22" s="66" t="s">
        <v>45</v>
      </c>
      <c r="D22" s="690" t="s">
        <v>1355</v>
      </c>
      <c r="E22" s="66" t="s">
        <v>1356</v>
      </c>
      <c r="F22" s="66" t="s">
        <v>45</v>
      </c>
      <c r="G22" s="690" t="s">
        <v>1355</v>
      </c>
      <c r="H22" s="66" t="s">
        <v>1356</v>
      </c>
      <c r="I22" s="993"/>
      <c r="J22" s="994"/>
      <c r="K22" s="993"/>
      <c r="L22" s="993"/>
      <c r="M22" s="994"/>
      <c r="N22" s="993"/>
    </row>
    <row r="23" spans="1:14" ht="15">
      <c r="A23" s="2009"/>
      <c r="B23" s="2021"/>
      <c r="C23" s="601" t="s">
        <v>1406</v>
      </c>
      <c r="D23" s="601" t="s">
        <v>1407</v>
      </c>
      <c r="E23" s="601" t="s">
        <v>1021</v>
      </c>
      <c r="F23" s="601" t="s">
        <v>1406</v>
      </c>
      <c r="G23" s="601" t="s">
        <v>1407</v>
      </c>
      <c r="H23" s="601" t="s">
        <v>1021</v>
      </c>
      <c r="I23" s="995"/>
      <c r="J23" s="995"/>
      <c r="K23" s="995"/>
      <c r="L23" s="995"/>
      <c r="M23" s="995"/>
      <c r="N23" s="995"/>
    </row>
    <row r="24" spans="1:14" ht="12.75">
      <c r="A24" s="529">
        <v>1</v>
      </c>
      <c r="B24" s="602">
        <v>2</v>
      </c>
      <c r="C24" s="29">
        <v>3</v>
      </c>
      <c r="D24" s="29">
        <v>4</v>
      </c>
      <c r="E24" s="13">
        <v>5</v>
      </c>
      <c r="F24" s="29">
        <v>3</v>
      </c>
      <c r="G24" s="29">
        <v>4</v>
      </c>
      <c r="H24" s="13">
        <v>5</v>
      </c>
      <c r="I24" s="996"/>
      <c r="J24" s="996"/>
      <c r="K24" s="997"/>
      <c r="L24" s="996"/>
      <c r="M24" s="996"/>
      <c r="N24" s="997"/>
    </row>
    <row r="25" spans="1:14" ht="26.25">
      <c r="A25" s="86" t="s">
        <v>1017</v>
      </c>
      <c r="B25" s="26" t="s">
        <v>1408</v>
      </c>
      <c r="C25" s="1832">
        <f>C27+C28+C29</f>
        <v>4533.66</v>
      </c>
      <c r="D25" s="604">
        <v>0.05204</v>
      </c>
      <c r="E25" s="589">
        <f>SUM(E26:E29)</f>
        <v>235.9316664</v>
      </c>
      <c r="F25" s="1832">
        <f>F27+F28+F29</f>
        <v>4533.66</v>
      </c>
      <c r="G25" s="604">
        <v>0.05204</v>
      </c>
      <c r="H25" s="589">
        <f>F25*G25</f>
        <v>235.9316664</v>
      </c>
      <c r="I25" s="998"/>
      <c r="J25" s="999"/>
      <c r="K25" s="1000"/>
      <c r="L25" s="998"/>
      <c r="M25" s="999"/>
      <c r="N25" s="1000"/>
    </row>
    <row r="26" spans="1:14" ht="12.75">
      <c r="A26" s="14" t="s">
        <v>1009</v>
      </c>
      <c r="B26" s="1006" t="s">
        <v>852</v>
      </c>
      <c r="C26" s="1833"/>
      <c r="D26" s="607"/>
      <c r="E26" s="590"/>
      <c r="F26" s="1833"/>
      <c r="G26" s="607"/>
      <c r="H26" s="590"/>
      <c r="I26" s="1001"/>
      <c r="J26" s="1002"/>
      <c r="K26" s="1000"/>
      <c r="L26" s="1001"/>
      <c r="M26" s="1002"/>
      <c r="N26" s="1000"/>
    </row>
    <row r="27" spans="1:14" ht="12.75">
      <c r="A27" s="14" t="s">
        <v>145</v>
      </c>
      <c r="B27" s="1006" t="s">
        <v>132</v>
      </c>
      <c r="C27" s="592">
        <v>60</v>
      </c>
      <c r="D27" s="609">
        <v>0.05204</v>
      </c>
      <c r="E27" s="590">
        <f>C27*D27</f>
        <v>3.1224000000000003</v>
      </c>
      <c r="F27" s="592">
        <v>60</v>
      </c>
      <c r="G27" s="609">
        <v>0.05204</v>
      </c>
      <c r="H27" s="590">
        <f>F27*G27</f>
        <v>3.1224000000000003</v>
      </c>
      <c r="I27" s="1000"/>
      <c r="J27" s="1003"/>
      <c r="K27" s="1000"/>
      <c r="L27" s="1000"/>
      <c r="M27" s="1003"/>
      <c r="N27" s="1000"/>
    </row>
    <row r="28" spans="1:14" ht="36">
      <c r="A28" s="14" t="s">
        <v>146</v>
      </c>
      <c r="B28" s="1006" t="s">
        <v>130</v>
      </c>
      <c r="C28" s="592">
        <v>4473.66</v>
      </c>
      <c r="D28" s="609">
        <v>0.05204</v>
      </c>
      <c r="E28" s="590">
        <f>C28*D28</f>
        <v>232.8092664</v>
      </c>
      <c r="F28" s="592">
        <v>4473.66</v>
      </c>
      <c r="G28" s="609">
        <v>0.05204</v>
      </c>
      <c r="H28" s="590">
        <f>F28*G28</f>
        <v>232.8092664</v>
      </c>
      <c r="I28" s="1000"/>
      <c r="J28" s="1003"/>
      <c r="K28" s="1000"/>
      <c r="L28" s="1000"/>
      <c r="M28" s="1003"/>
      <c r="N28" s="1000"/>
    </row>
    <row r="29" spans="1:14" ht="12.75" hidden="1">
      <c r="A29" s="14"/>
      <c r="B29" s="1006"/>
      <c r="C29" s="606"/>
      <c r="D29" s="607"/>
      <c r="E29" s="590"/>
      <c r="F29" s="606"/>
      <c r="G29" s="607"/>
      <c r="H29" s="590"/>
      <c r="I29" s="1001"/>
      <c r="J29" s="1004"/>
      <c r="K29" s="1000"/>
      <c r="L29" s="1001"/>
      <c r="M29" s="1004"/>
      <c r="N29" s="1000"/>
    </row>
    <row r="30" spans="1:14" ht="12.75">
      <c r="A30" s="86" t="s">
        <v>1010</v>
      </c>
      <c r="B30" s="26" t="s">
        <v>244</v>
      </c>
      <c r="C30" s="691"/>
      <c r="D30" s="607"/>
      <c r="E30" s="589"/>
      <c r="F30" s="606"/>
      <c r="G30" s="607"/>
      <c r="H30" s="589"/>
      <c r="I30" s="1001"/>
      <c r="J30" s="1004"/>
      <c r="K30" s="1005"/>
      <c r="L30" s="1001"/>
      <c r="M30" s="1004"/>
      <c r="N30" s="1005"/>
    </row>
    <row r="32" spans="1:11" ht="12.75" outlineLevel="1">
      <c r="A32" s="2005" t="s">
        <v>1008</v>
      </c>
      <c r="B32" s="2190" t="s">
        <v>43</v>
      </c>
      <c r="C32" s="2191" t="s">
        <v>1007</v>
      </c>
      <c r="D32" s="2191"/>
      <c r="E32" s="2191"/>
      <c r="F32" s="2191"/>
      <c r="G32" s="2191"/>
      <c r="H32" s="2191"/>
      <c r="I32" s="2191"/>
      <c r="J32" s="2191"/>
      <c r="K32" s="2191"/>
    </row>
    <row r="33" spans="1:11" ht="18" customHeight="1" outlineLevel="1">
      <c r="A33" s="2005"/>
      <c r="B33" s="2190"/>
      <c r="C33" s="2195" t="s">
        <v>465</v>
      </c>
      <c r="D33" s="2195"/>
      <c r="E33" s="2195"/>
      <c r="F33" s="2195"/>
      <c r="G33" s="2195"/>
      <c r="H33" s="2195"/>
      <c r="I33" s="2195"/>
      <c r="J33" s="2195"/>
      <c r="K33" s="2195"/>
    </row>
    <row r="34" spans="1:11" ht="12.75" customHeight="1" outlineLevel="1">
      <c r="A34" s="2005"/>
      <c r="B34" s="2190"/>
      <c r="C34" s="2190" t="s">
        <v>142</v>
      </c>
      <c r="D34" s="2190"/>
      <c r="E34" s="2190"/>
      <c r="F34" s="2190" t="s">
        <v>707</v>
      </c>
      <c r="G34" s="2190"/>
      <c r="H34" s="2190"/>
      <c r="I34" s="2190" t="s">
        <v>708</v>
      </c>
      <c r="J34" s="2190"/>
      <c r="K34" s="2190"/>
    </row>
    <row r="35" spans="1:11" ht="52.5" outlineLevel="1">
      <c r="A35" s="2005"/>
      <c r="B35" s="2190"/>
      <c r="C35" s="66" t="s">
        <v>45</v>
      </c>
      <c r="D35" s="690" t="s">
        <v>1355</v>
      </c>
      <c r="E35" s="66" t="s">
        <v>1356</v>
      </c>
      <c r="F35" s="66" t="s">
        <v>45</v>
      </c>
      <c r="G35" s="690" t="s">
        <v>1355</v>
      </c>
      <c r="H35" s="66" t="s">
        <v>1356</v>
      </c>
      <c r="I35" s="66" t="s">
        <v>45</v>
      </c>
      <c r="J35" s="690" t="s">
        <v>1355</v>
      </c>
      <c r="K35" s="66" t="s">
        <v>1356</v>
      </c>
    </row>
    <row r="36" spans="1:11" ht="15" outlineLevel="1">
      <c r="A36" s="2194"/>
      <c r="B36" s="2190"/>
      <c r="C36" s="611" t="s">
        <v>1406</v>
      </c>
      <c r="D36" s="611" t="s">
        <v>1407</v>
      </c>
      <c r="E36" s="611" t="s">
        <v>1021</v>
      </c>
      <c r="F36" s="611" t="s">
        <v>1406</v>
      </c>
      <c r="G36" s="611" t="s">
        <v>1407</v>
      </c>
      <c r="H36" s="611" t="s">
        <v>1021</v>
      </c>
      <c r="I36" s="611" t="s">
        <v>1406</v>
      </c>
      <c r="J36" s="611" t="s">
        <v>1407</v>
      </c>
      <c r="K36" s="611" t="s">
        <v>1021</v>
      </c>
    </row>
    <row r="37" spans="1:11" ht="12.75" outlineLevel="1">
      <c r="A37" s="29">
        <v>1</v>
      </c>
      <c r="B37" s="119">
        <v>2</v>
      </c>
      <c r="C37" s="612">
        <v>12</v>
      </c>
      <c r="D37" s="612">
        <v>13</v>
      </c>
      <c r="E37" s="119">
        <v>14</v>
      </c>
      <c r="F37" s="612">
        <v>15</v>
      </c>
      <c r="G37" s="612">
        <v>16</v>
      </c>
      <c r="H37" s="119">
        <v>17</v>
      </c>
      <c r="I37" s="612">
        <v>18</v>
      </c>
      <c r="J37" s="612">
        <v>19</v>
      </c>
      <c r="K37" s="119">
        <v>20</v>
      </c>
    </row>
    <row r="38" spans="1:11" ht="26.25" outlineLevel="1">
      <c r="A38" s="86" t="s">
        <v>1017</v>
      </c>
      <c r="B38" s="613" t="s">
        <v>1408</v>
      </c>
      <c r="C38" s="614">
        <f>'4.2'!T18*1000</f>
        <v>4534</v>
      </c>
      <c r="D38" s="605">
        <f>E38/C38</f>
        <v>0.05695164111160123</v>
      </c>
      <c r="E38" s="597">
        <f>H38+K38</f>
        <v>258.2187408</v>
      </c>
      <c r="F38" s="614">
        <f>F40+F41+F42</f>
        <v>2777</v>
      </c>
      <c r="G38" s="605">
        <v>0.0558</v>
      </c>
      <c r="H38" s="597">
        <f>H40+H41+H42</f>
        <v>154.9566</v>
      </c>
      <c r="I38" s="614">
        <f>I40+I41+I42</f>
        <v>1736</v>
      </c>
      <c r="J38" s="605">
        <f>K38/I38</f>
        <v>0.059482799999999995</v>
      </c>
      <c r="K38" s="597">
        <f>K40+K41+K42</f>
        <v>103.2621408</v>
      </c>
    </row>
    <row r="39" spans="1:11" ht="12.75" outlineLevel="1">
      <c r="A39" s="14" t="s">
        <v>1009</v>
      </c>
      <c r="B39" s="1006" t="s">
        <v>852</v>
      </c>
      <c r="C39" s="616"/>
      <c r="D39" s="608"/>
      <c r="E39" s="599"/>
      <c r="F39" s="616"/>
      <c r="G39" s="608"/>
      <c r="H39" s="599"/>
      <c r="I39" s="616"/>
      <c r="J39" s="608"/>
      <c r="K39" s="599"/>
    </row>
    <row r="40" spans="1:12" ht="12.75" outlineLevel="1">
      <c r="A40" s="14" t="s">
        <v>145</v>
      </c>
      <c r="B40" s="1006" t="s">
        <v>132</v>
      </c>
      <c r="C40" s="616">
        <f>('4.2'!S22+'4.2'!S24)*1000</f>
        <v>60</v>
      </c>
      <c r="D40" s="610">
        <f>E40/C40</f>
        <v>0.057027600000000005</v>
      </c>
      <c r="E40" s="599">
        <f>H40+K40</f>
        <v>3.4216560000000005</v>
      </c>
      <c r="F40" s="616">
        <f>('4.2'!V22+'4.2'!V24)*1000</f>
        <v>40</v>
      </c>
      <c r="G40" s="610">
        <v>0.0558</v>
      </c>
      <c r="H40" s="599">
        <f>F40*G40</f>
        <v>2.232</v>
      </c>
      <c r="I40" s="599">
        <f>C40-F40</f>
        <v>20</v>
      </c>
      <c r="J40" s="610">
        <f>G40*1.066</f>
        <v>0.0594828</v>
      </c>
      <c r="K40" s="599">
        <f>I40*J40</f>
        <v>1.189656</v>
      </c>
      <c r="L40" s="541"/>
    </row>
    <row r="41" spans="1:11" ht="33.75" customHeight="1" outlineLevel="1">
      <c r="A41" s="14" t="s">
        <v>146</v>
      </c>
      <c r="B41" s="1006" t="s">
        <v>1649</v>
      </c>
      <c r="C41" s="616">
        <f>'4.2'!T26*1000</f>
        <v>4474</v>
      </c>
      <c r="D41" s="610">
        <f>E41/C41</f>
        <v>0.056950622440768886</v>
      </c>
      <c r="E41" s="599">
        <f>H41+K41</f>
        <v>254.7970848</v>
      </c>
      <c r="F41" s="616">
        <f>'4.2'!W26*1000</f>
        <v>2737</v>
      </c>
      <c r="G41" s="610">
        <v>0.0558</v>
      </c>
      <c r="H41" s="599">
        <f>F41*G41</f>
        <v>152.7246</v>
      </c>
      <c r="I41" s="599">
        <f>'4.2'!Z26*1000</f>
        <v>1716</v>
      </c>
      <c r="J41" s="610">
        <f>G41*1.066</f>
        <v>0.0594828</v>
      </c>
      <c r="K41" s="599">
        <f>I41*J41</f>
        <v>102.0724848</v>
      </c>
    </row>
    <row r="42" spans="1:11" ht="36" outlineLevel="1">
      <c r="A42" s="14"/>
      <c r="B42" s="1006" t="s">
        <v>6</v>
      </c>
      <c r="C42" s="617">
        <v>0</v>
      </c>
      <c r="D42" s="599"/>
      <c r="E42" s="599">
        <v>0</v>
      </c>
      <c r="F42" s="617">
        <v>0</v>
      </c>
      <c r="G42" s="617"/>
      <c r="H42" s="599">
        <v>0</v>
      </c>
      <c r="I42" s="617">
        <v>0</v>
      </c>
      <c r="J42" s="599"/>
      <c r="K42" s="599">
        <v>0</v>
      </c>
    </row>
    <row r="43" spans="1:11" ht="12.75" outlineLevel="1">
      <c r="A43" s="86" t="s">
        <v>1010</v>
      </c>
      <c r="B43" s="613" t="s">
        <v>244</v>
      </c>
      <c r="C43" s="617">
        <f>F43+I43</f>
        <v>0</v>
      </c>
      <c r="D43" s="599"/>
      <c r="E43" s="599">
        <f>H43+K43</f>
        <v>0</v>
      </c>
      <c r="F43" s="617">
        <v>0</v>
      </c>
      <c r="G43" s="617"/>
      <c r="H43" s="599">
        <f>F43*G43</f>
        <v>0</v>
      </c>
      <c r="I43" s="617">
        <v>0</v>
      </c>
      <c r="J43" s="617"/>
      <c r="K43" s="599">
        <f>I43*J43</f>
        <v>0</v>
      </c>
    </row>
    <row r="44" spans="1:11" ht="12.75">
      <c r="A44" s="2005" t="s">
        <v>1008</v>
      </c>
      <c r="B44" s="2190" t="s">
        <v>43</v>
      </c>
      <c r="C44" s="2191"/>
      <c r="D44" s="2191"/>
      <c r="E44" s="2191"/>
      <c r="F44" s="2191"/>
      <c r="G44" s="2191"/>
      <c r="H44" s="2191"/>
      <c r="I44" s="2191"/>
      <c r="J44" s="2191"/>
      <c r="K44" s="2191"/>
    </row>
    <row r="45" spans="1:11" ht="13.5">
      <c r="A45" s="2005"/>
      <c r="B45" s="2190"/>
      <c r="C45" s="2195" t="s">
        <v>1489</v>
      </c>
      <c r="D45" s="2195"/>
      <c r="E45" s="2195"/>
      <c r="F45" s="2195"/>
      <c r="G45" s="2195"/>
      <c r="H45" s="2195"/>
      <c r="I45" s="2195"/>
      <c r="J45" s="2195"/>
      <c r="K45" s="2195"/>
    </row>
    <row r="46" spans="1:11" ht="12.75">
      <c r="A46" s="2005"/>
      <c r="B46" s="2190"/>
      <c r="C46" s="2190" t="s">
        <v>142</v>
      </c>
      <c r="D46" s="2190"/>
      <c r="E46" s="2190"/>
      <c r="F46" s="2190" t="s">
        <v>707</v>
      </c>
      <c r="G46" s="2190"/>
      <c r="H46" s="2190"/>
      <c r="I46" s="2190" t="s">
        <v>708</v>
      </c>
      <c r="J46" s="2190"/>
      <c r="K46" s="2190"/>
    </row>
    <row r="47" spans="1:11" ht="52.5">
      <c r="A47" s="2005"/>
      <c r="B47" s="2190"/>
      <c r="C47" s="66" t="s">
        <v>45</v>
      </c>
      <c r="D47" s="690" t="s">
        <v>1355</v>
      </c>
      <c r="E47" s="66" t="s">
        <v>1356</v>
      </c>
      <c r="F47" s="66" t="s">
        <v>45</v>
      </c>
      <c r="G47" s="690" t="s">
        <v>1355</v>
      </c>
      <c r="H47" s="66" t="s">
        <v>1356</v>
      </c>
      <c r="I47" s="66" t="s">
        <v>45</v>
      </c>
      <c r="J47" s="690" t="s">
        <v>1355</v>
      </c>
      <c r="K47" s="66" t="s">
        <v>1356</v>
      </c>
    </row>
    <row r="48" spans="1:11" ht="15">
      <c r="A48" s="2194"/>
      <c r="B48" s="2190"/>
      <c r="C48" s="611" t="s">
        <v>1406</v>
      </c>
      <c r="D48" s="611" t="s">
        <v>1407</v>
      </c>
      <c r="E48" s="611" t="s">
        <v>1021</v>
      </c>
      <c r="F48" s="611" t="s">
        <v>1406</v>
      </c>
      <c r="G48" s="611" t="s">
        <v>1407</v>
      </c>
      <c r="H48" s="611" t="s">
        <v>1021</v>
      </c>
      <c r="I48" s="611" t="s">
        <v>1406</v>
      </c>
      <c r="J48" s="611" t="s">
        <v>1407</v>
      </c>
      <c r="K48" s="611" t="s">
        <v>1021</v>
      </c>
    </row>
    <row r="49" spans="1:11" ht="12.75">
      <c r="A49" s="29">
        <v>1</v>
      </c>
      <c r="B49" s="119">
        <v>2</v>
      </c>
      <c r="C49" s="612">
        <v>12</v>
      </c>
      <c r="D49" s="612">
        <v>13</v>
      </c>
      <c r="E49" s="119">
        <v>14</v>
      </c>
      <c r="F49" s="612">
        <v>15</v>
      </c>
      <c r="G49" s="612">
        <v>16</v>
      </c>
      <c r="H49" s="119">
        <v>17</v>
      </c>
      <c r="I49" s="612">
        <v>18</v>
      </c>
      <c r="J49" s="612">
        <v>19</v>
      </c>
      <c r="K49" s="119">
        <v>20</v>
      </c>
    </row>
    <row r="50" spans="1:11" ht="26.25">
      <c r="A50" s="86" t="s">
        <v>1017</v>
      </c>
      <c r="B50" s="613" t="s">
        <v>1408</v>
      </c>
      <c r="C50" s="614">
        <f>'4.2'!AC14*1000</f>
        <v>4534</v>
      </c>
      <c r="D50" s="605">
        <f>E50/C50</f>
        <v>0.061013189851257164</v>
      </c>
      <c r="E50" s="597">
        <f>E52+E53</f>
        <v>276.6338027856</v>
      </c>
      <c r="F50" s="614">
        <f>'4.2'!AF14*1000</f>
        <v>2777</v>
      </c>
      <c r="G50" s="605">
        <f>G52</f>
        <v>0.059482799999999995</v>
      </c>
      <c r="H50" s="597">
        <f>H52+H53</f>
        <v>165.18373559999998</v>
      </c>
      <c r="I50" s="614">
        <f>'4.2'!AI14*1000</f>
        <v>1756</v>
      </c>
      <c r="J50" s="605">
        <f>K50/I50</f>
        <v>0.0634681476</v>
      </c>
      <c r="K50" s="597">
        <f>K52+K53</f>
        <v>111.45006718559999</v>
      </c>
    </row>
    <row r="51" spans="1:11" ht="12.75">
      <c r="A51" s="14" t="s">
        <v>1009</v>
      </c>
      <c r="B51" s="1006" t="s">
        <v>852</v>
      </c>
      <c r="C51" s="616"/>
      <c r="D51" s="608"/>
      <c r="E51" s="599"/>
      <c r="F51" s="616"/>
      <c r="G51" s="608"/>
      <c r="H51" s="599"/>
      <c r="I51" s="616"/>
      <c r="J51" s="608"/>
      <c r="K51" s="599"/>
    </row>
    <row r="52" spans="1:11" ht="12.75">
      <c r="A52" s="14" t="s">
        <v>145</v>
      </c>
      <c r="B52" s="1006" t="s">
        <v>132</v>
      </c>
      <c r="C52" s="616">
        <f>('4.2'!AB22+'4.2'!AB24)*1000</f>
        <v>60</v>
      </c>
      <c r="D52" s="610">
        <f>E52/C52</f>
        <v>0.060811249199999994</v>
      </c>
      <c r="E52" s="599">
        <f>H52+K52</f>
        <v>3.6486749519999995</v>
      </c>
      <c r="F52" s="616">
        <f>('4.2'!AE22+'4.2'!AE24)*1000</f>
        <v>40</v>
      </c>
      <c r="G52" s="610">
        <f>J38</f>
        <v>0.059482799999999995</v>
      </c>
      <c r="H52" s="599">
        <f>F52*G52</f>
        <v>2.3793119999999996</v>
      </c>
      <c r="I52" s="599">
        <f>C52-F52</f>
        <v>20</v>
      </c>
      <c r="J52" s="610">
        <f>G52*1.067</f>
        <v>0.0634681476</v>
      </c>
      <c r="K52" s="599">
        <f>I52*J52</f>
        <v>1.2693629519999998</v>
      </c>
    </row>
    <row r="53" spans="1:11" ht="36">
      <c r="A53" s="14" t="s">
        <v>146</v>
      </c>
      <c r="B53" s="1006" t="s">
        <v>1648</v>
      </c>
      <c r="C53" s="616">
        <f>F53+I53</f>
        <v>4473</v>
      </c>
      <c r="D53" s="610">
        <f>E53/C53</f>
        <v>0.06102953897464788</v>
      </c>
      <c r="E53" s="599">
        <f>H53+K53</f>
        <v>272.98512783359996</v>
      </c>
      <c r="F53" s="599">
        <f>'4.2'!AE26*1000</f>
        <v>2737</v>
      </c>
      <c r="G53" s="610">
        <f>G52</f>
        <v>0.059482799999999995</v>
      </c>
      <c r="H53" s="599">
        <f>F53*G53</f>
        <v>162.80442359999998</v>
      </c>
      <c r="I53" s="599">
        <f>'4.2'!AH26*1000</f>
        <v>1736</v>
      </c>
      <c r="J53" s="610">
        <f>G53*1.067</f>
        <v>0.0634681476</v>
      </c>
      <c r="K53" s="599">
        <f>I53*J53</f>
        <v>110.1807042336</v>
      </c>
    </row>
    <row r="54" spans="1:11" ht="36">
      <c r="A54" s="14" t="s">
        <v>631</v>
      </c>
      <c r="B54" s="1006" t="s">
        <v>1650</v>
      </c>
      <c r="C54" s="617">
        <v>0</v>
      </c>
      <c r="D54" s="610"/>
      <c r="E54" s="599">
        <v>0</v>
      </c>
      <c r="F54" s="617">
        <v>0</v>
      </c>
      <c r="G54" s="1008"/>
      <c r="H54" s="599">
        <f>F54*G54</f>
        <v>0</v>
      </c>
      <c r="I54" s="617">
        <v>0</v>
      </c>
      <c r="J54" s="610"/>
      <c r="K54" s="599">
        <f>I54*J54</f>
        <v>0</v>
      </c>
    </row>
    <row r="55" spans="1:11" ht="12.75">
      <c r="A55" s="86" t="s">
        <v>1010</v>
      </c>
      <c r="B55" s="613" t="s">
        <v>244</v>
      </c>
      <c r="C55" s="617">
        <f>F55+I55</f>
        <v>0</v>
      </c>
      <c r="D55" s="610"/>
      <c r="E55" s="599">
        <f>H55+K55</f>
        <v>0</v>
      </c>
      <c r="F55" s="617"/>
      <c r="G55" s="618"/>
      <c r="H55" s="599">
        <f>F55*G55</f>
        <v>0</v>
      </c>
      <c r="I55" s="617"/>
      <c r="J55" s="618"/>
      <c r="K55" s="599">
        <f>I55*J55</f>
        <v>0</v>
      </c>
    </row>
    <row r="56" spans="1:11" ht="12.75">
      <c r="A56" s="2005" t="s">
        <v>1008</v>
      </c>
      <c r="B56" s="2190" t="s">
        <v>43</v>
      </c>
      <c r="C56" s="2196"/>
      <c r="D56" s="2197"/>
      <c r="E56" s="2197"/>
      <c r="F56" s="2197"/>
      <c r="G56" s="2197"/>
      <c r="H56" s="2197"/>
      <c r="I56" s="2197"/>
      <c r="J56" s="2197"/>
      <c r="K56" s="2198"/>
    </row>
    <row r="57" spans="1:11" ht="13.5">
      <c r="A57" s="2005"/>
      <c r="B57" s="2190"/>
      <c r="C57" s="2195" t="s">
        <v>814</v>
      </c>
      <c r="D57" s="2195"/>
      <c r="E57" s="2195"/>
      <c r="F57" s="2195"/>
      <c r="G57" s="2195"/>
      <c r="H57" s="2195"/>
      <c r="I57" s="2195"/>
      <c r="J57" s="2195"/>
      <c r="K57" s="2195"/>
    </row>
    <row r="58" spans="1:11" ht="12.75">
      <c r="A58" s="2005"/>
      <c r="B58" s="2190"/>
      <c r="C58" s="2190" t="s">
        <v>142</v>
      </c>
      <c r="D58" s="2190"/>
      <c r="E58" s="2190"/>
      <c r="F58" s="2190" t="s">
        <v>707</v>
      </c>
      <c r="G58" s="2190"/>
      <c r="H58" s="2190"/>
      <c r="I58" s="2190" t="s">
        <v>708</v>
      </c>
      <c r="J58" s="2190"/>
      <c r="K58" s="2190"/>
    </row>
    <row r="59" spans="1:11" ht="52.5">
      <c r="A59" s="2005"/>
      <c r="B59" s="2190"/>
      <c r="C59" s="66" t="s">
        <v>45</v>
      </c>
      <c r="D59" s="690" t="s">
        <v>1355</v>
      </c>
      <c r="E59" s="66" t="s">
        <v>1356</v>
      </c>
      <c r="F59" s="66" t="s">
        <v>45</v>
      </c>
      <c r="G59" s="690" t="s">
        <v>1355</v>
      </c>
      <c r="H59" s="66" t="s">
        <v>1356</v>
      </c>
      <c r="I59" s="66" t="s">
        <v>45</v>
      </c>
      <c r="J59" s="690" t="s">
        <v>1355</v>
      </c>
      <c r="K59" s="66" t="s">
        <v>1356</v>
      </c>
    </row>
    <row r="60" spans="1:11" ht="15">
      <c r="A60" s="2194"/>
      <c r="B60" s="2190"/>
      <c r="C60" s="611" t="s">
        <v>1406</v>
      </c>
      <c r="D60" s="611" t="s">
        <v>1407</v>
      </c>
      <c r="E60" s="611" t="s">
        <v>1021</v>
      </c>
      <c r="F60" s="611" t="s">
        <v>1406</v>
      </c>
      <c r="G60" s="611" t="s">
        <v>1407</v>
      </c>
      <c r="H60" s="611" t="s">
        <v>1021</v>
      </c>
      <c r="I60" s="611" t="s">
        <v>1406</v>
      </c>
      <c r="J60" s="611" t="s">
        <v>1407</v>
      </c>
      <c r="K60" s="611" t="s">
        <v>1021</v>
      </c>
    </row>
    <row r="61" spans="1:11" ht="12.75">
      <c r="A61" s="29">
        <v>1</v>
      </c>
      <c r="B61" s="119">
        <v>2</v>
      </c>
      <c r="C61" s="612">
        <v>12</v>
      </c>
      <c r="D61" s="612">
        <v>13</v>
      </c>
      <c r="E61" s="119">
        <v>14</v>
      </c>
      <c r="F61" s="612">
        <v>15</v>
      </c>
      <c r="G61" s="612">
        <v>16</v>
      </c>
      <c r="H61" s="119">
        <v>17</v>
      </c>
      <c r="I61" s="612">
        <v>18</v>
      </c>
      <c r="J61" s="612">
        <v>19</v>
      </c>
      <c r="K61" s="119">
        <v>20</v>
      </c>
    </row>
    <row r="62" spans="1:11" ht="26.25">
      <c r="A62" s="86" t="s">
        <v>1017</v>
      </c>
      <c r="B62" s="613" t="s">
        <v>1408</v>
      </c>
      <c r="C62" s="614">
        <f>'4.2'!AL18*1000</f>
        <v>4534</v>
      </c>
      <c r="D62" s="605">
        <f>E62/C62</f>
        <v>0.06510107357129138</v>
      </c>
      <c r="E62" s="597">
        <f>H62+K62</f>
        <v>295.16826757223515</v>
      </c>
      <c r="F62" s="614">
        <f>'4.2'!AO14*1000</f>
        <v>2777</v>
      </c>
      <c r="G62" s="605">
        <f>G64</f>
        <v>0.0634681476</v>
      </c>
      <c r="H62" s="597">
        <f>H64+H65+H66</f>
        <v>176.25104588519997</v>
      </c>
      <c r="I62" s="614">
        <f>I64+I65+I66</f>
        <v>1756</v>
      </c>
      <c r="J62" s="605">
        <f>K62/I62</f>
        <v>0.0677205134892</v>
      </c>
      <c r="K62" s="597">
        <f>K64+K65+K66</f>
        <v>118.9172216870352</v>
      </c>
    </row>
    <row r="63" spans="1:11" ht="12.75">
      <c r="A63" s="14" t="s">
        <v>1009</v>
      </c>
      <c r="B63" s="1006" t="s">
        <v>852</v>
      </c>
      <c r="C63" s="616"/>
      <c r="D63" s="608"/>
      <c r="E63" s="599"/>
      <c r="F63" s="616"/>
      <c r="G63" s="608"/>
      <c r="H63" s="599"/>
      <c r="I63" s="616"/>
      <c r="J63" s="608"/>
      <c r="K63" s="599"/>
    </row>
    <row r="64" spans="1:11" ht="12.75">
      <c r="A64" s="14" t="s">
        <v>145</v>
      </c>
      <c r="B64" s="1006" t="s">
        <v>132</v>
      </c>
      <c r="C64" s="616">
        <f>('4.2'!AK22+'4.2'!AK24)*1000</f>
        <v>60</v>
      </c>
      <c r="D64" s="610">
        <f>E64/C64</f>
        <v>0.0648856028964</v>
      </c>
      <c r="E64" s="599">
        <f>H64+K64</f>
        <v>3.893136173784</v>
      </c>
      <c r="F64" s="616">
        <f>('4.2'!AN22+'4.2'!AN24)*1000</f>
        <v>40</v>
      </c>
      <c r="G64" s="610">
        <f>J50</f>
        <v>0.0634681476</v>
      </c>
      <c r="H64" s="599">
        <f>F64*G64</f>
        <v>2.5387259039999996</v>
      </c>
      <c r="I64" s="599">
        <f>C64-F64</f>
        <v>20</v>
      </c>
      <c r="J64" s="610">
        <f>G64*1.067</f>
        <v>0.0677205134892</v>
      </c>
      <c r="K64" s="599">
        <f>I64*J64</f>
        <v>1.354410269784</v>
      </c>
    </row>
    <row r="65" spans="1:11" ht="36">
      <c r="A65" s="14" t="s">
        <v>146</v>
      </c>
      <c r="B65" s="1006" t="s">
        <v>130</v>
      </c>
      <c r="C65" s="616">
        <f>F65+I65</f>
        <v>4473</v>
      </c>
      <c r="D65" s="610">
        <f>E65/C65</f>
        <v>0.0651185180859493</v>
      </c>
      <c r="E65" s="599">
        <f>H65+K65</f>
        <v>291.2751313984512</v>
      </c>
      <c r="F65" s="599">
        <f>'4.2'!AN26*1000</f>
        <v>2737</v>
      </c>
      <c r="G65" s="610">
        <f>G64</f>
        <v>0.0634681476</v>
      </c>
      <c r="H65" s="599">
        <f>F65*G65</f>
        <v>173.71231998119998</v>
      </c>
      <c r="I65" s="599">
        <f>'4.2'!AQ26*1000</f>
        <v>1736</v>
      </c>
      <c r="J65" s="610">
        <f>G65*1.067</f>
        <v>0.0677205134892</v>
      </c>
      <c r="K65" s="599">
        <f>I65*J65</f>
        <v>117.5628114172512</v>
      </c>
    </row>
    <row r="66" spans="1:11" ht="36">
      <c r="A66" s="14" t="s">
        <v>631</v>
      </c>
      <c r="B66" s="1006" t="s">
        <v>131</v>
      </c>
      <c r="C66" s="617">
        <f>F66+I66</f>
        <v>0</v>
      </c>
      <c r="D66" s="610"/>
      <c r="E66" s="599">
        <v>0</v>
      </c>
      <c r="F66" s="617">
        <v>0</v>
      </c>
      <c r="G66" s="1008"/>
      <c r="H66" s="599">
        <f>F66*G66</f>
        <v>0</v>
      </c>
      <c r="I66" s="617">
        <v>0</v>
      </c>
      <c r="J66" s="610"/>
      <c r="K66" s="599">
        <f>I66*J66</f>
        <v>0</v>
      </c>
    </row>
    <row r="67" spans="1:11" ht="12.75">
      <c r="A67" s="86" t="s">
        <v>1010</v>
      </c>
      <c r="B67" s="613" t="s">
        <v>244</v>
      </c>
      <c r="C67" s="617">
        <f>F67+I67</f>
        <v>0</v>
      </c>
      <c r="D67" s="610"/>
      <c r="E67" s="599">
        <f>H67+K67</f>
        <v>0</v>
      </c>
      <c r="F67" s="617"/>
      <c r="G67" s="618"/>
      <c r="H67" s="599">
        <f>F67*G67</f>
        <v>0</v>
      </c>
      <c r="I67" s="617"/>
      <c r="J67" s="618"/>
      <c r="K67" s="599">
        <f>I67*J67</f>
        <v>0</v>
      </c>
    </row>
    <row r="69" ht="34.5" customHeight="1">
      <c r="A69" s="1" t="s">
        <v>990</v>
      </c>
    </row>
  </sheetData>
  <sheetProtection/>
  <protectedRanges>
    <protectedRange password="CC01" sqref="K2" name="Диапазон1"/>
  </protectedRanges>
  <mergeCells count="35">
    <mergeCell ref="A56:A60"/>
    <mergeCell ref="B56:B60"/>
    <mergeCell ref="C56:K56"/>
    <mergeCell ref="C57:K57"/>
    <mergeCell ref="C58:E58"/>
    <mergeCell ref="F58:H58"/>
    <mergeCell ref="I58:K58"/>
    <mergeCell ref="A44:A48"/>
    <mergeCell ref="B44:B48"/>
    <mergeCell ref="C44:K44"/>
    <mergeCell ref="C45:K45"/>
    <mergeCell ref="C46:E46"/>
    <mergeCell ref="F46:H46"/>
    <mergeCell ref="I46:K46"/>
    <mergeCell ref="A19:A23"/>
    <mergeCell ref="B19:B23"/>
    <mergeCell ref="C20:E21"/>
    <mergeCell ref="A32:A36"/>
    <mergeCell ref="B32:B36"/>
    <mergeCell ref="C33:K33"/>
    <mergeCell ref="C34:E34"/>
    <mergeCell ref="F34:H34"/>
    <mergeCell ref="A6:A10"/>
    <mergeCell ref="B6:B10"/>
    <mergeCell ref="C7:E8"/>
    <mergeCell ref="I7:K8"/>
    <mergeCell ref="L7:N8"/>
    <mergeCell ref="C6:N6"/>
    <mergeCell ref="F7:H8"/>
    <mergeCell ref="I34:K34"/>
    <mergeCell ref="C32:K32"/>
    <mergeCell ref="F20:H21"/>
    <mergeCell ref="I20:K21"/>
    <mergeCell ref="L20:N21"/>
    <mergeCell ref="C19:H19"/>
  </mergeCells>
  <printOptions/>
  <pageMargins left="0.7874015748031497" right="0.1968503937007874" top="0.4330708661417323" bottom="0.4330708661417323" header="0.31496062992125984" footer="0.31496062992125984"/>
  <pageSetup fitToHeight="2" horizontalDpi="600" verticalDpi="600" orientation="portrait" paperSize="9" scale="64" r:id="rId1"/>
  <rowBreaks count="1" manualBreakCount="1">
    <brk id="69" max="10" man="1"/>
  </rowBreaks>
  <colBreaks count="1" manualBreakCount="1">
    <brk id="11" max="9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N88"/>
  <sheetViews>
    <sheetView zoomScaleSheetLayoutView="100" workbookViewId="0" topLeftCell="A1">
      <pane xSplit="4" ySplit="18" topLeftCell="G19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K1" sqref="K1"/>
    </sheetView>
  </sheetViews>
  <sheetFormatPr defaultColWidth="9.140625" defaultRowHeight="15" outlineLevelRow="1"/>
  <cols>
    <col min="1" max="1" width="6.7109375" style="493" hidden="1" customWidth="1"/>
    <col min="2" max="2" width="6.8515625" style="1" customWidth="1"/>
    <col min="3" max="3" width="32.00390625" style="1" customWidth="1"/>
    <col min="4" max="4" width="10.7109375" style="1" customWidth="1"/>
    <col min="5" max="6" width="12.00390625" style="1" hidden="1" customWidth="1"/>
    <col min="7" max="7" width="11.140625" style="510" customWidth="1"/>
    <col min="8" max="8" width="11.8515625" style="510" customWidth="1"/>
    <col min="9" max="9" width="11.00390625" style="510" customWidth="1"/>
    <col min="10" max="11" width="10.8515625" style="510" customWidth="1"/>
    <col min="12" max="12" width="9.140625" style="510" customWidth="1"/>
    <col min="13" max="13" width="10.00390625" style="1" customWidth="1"/>
    <col min="14" max="14" width="9.8515625" style="1" customWidth="1"/>
    <col min="15" max="16384" width="9.140625" style="1" customWidth="1"/>
  </cols>
  <sheetData>
    <row r="1" spans="2:17" ht="15" customHeight="1">
      <c r="B1" s="52" t="s">
        <v>1041</v>
      </c>
      <c r="C1" s="52"/>
      <c r="D1" s="52"/>
      <c r="E1" s="52"/>
      <c r="F1" s="52"/>
      <c r="K1" s="1197"/>
      <c r="N1" s="2"/>
      <c r="Q1" s="1197" t="s">
        <v>1409</v>
      </c>
    </row>
    <row r="2" spans="2:6" ht="12.75">
      <c r="B2" s="52" t="s">
        <v>126</v>
      </c>
      <c r="C2" s="52"/>
      <c r="D2" s="52"/>
      <c r="E2" s="52"/>
      <c r="F2" s="52"/>
    </row>
    <row r="3" ht="12.75"/>
    <row r="4" spans="2:14" ht="16.5">
      <c r="B4" s="33" t="s">
        <v>1184</v>
      </c>
      <c r="C4" s="33"/>
      <c r="D4" s="33"/>
      <c r="E4" s="33"/>
      <c r="F4" s="33"/>
      <c r="G4" s="1198"/>
      <c r="H4" s="1198"/>
      <c r="I4" s="1198"/>
      <c r="J4" s="1198"/>
      <c r="K4" s="1198"/>
      <c r="L4" s="1198"/>
      <c r="M4" s="33"/>
      <c r="N4" s="33"/>
    </row>
    <row r="5" spans="2:4" ht="15.75">
      <c r="B5" s="308" t="str">
        <f>'[5]4.1'!B6</f>
        <v>Усть-Камчатское муниципальное образование</v>
      </c>
      <c r="C5" s="619"/>
      <c r="D5" s="619"/>
    </row>
    <row r="6" spans="2:17" ht="14.25" customHeight="1" thickBot="1">
      <c r="B6" s="2006" t="s">
        <v>1008</v>
      </c>
      <c r="C6" s="2029" t="s">
        <v>1016</v>
      </c>
      <c r="D6" s="2005" t="s">
        <v>161</v>
      </c>
      <c r="E6" s="2141" t="s">
        <v>1005</v>
      </c>
      <c r="F6" s="2142"/>
      <c r="G6" s="2142"/>
      <c r="H6" s="2208"/>
      <c r="I6" s="2202" t="s">
        <v>1007</v>
      </c>
      <c r="J6" s="2203"/>
      <c r="K6" s="2203"/>
      <c r="L6" s="2203"/>
      <c r="M6" s="2203"/>
      <c r="N6" s="2203"/>
      <c r="O6" s="2203"/>
      <c r="P6" s="2203"/>
      <c r="Q6" s="2204"/>
    </row>
    <row r="7" spans="2:17" ht="12.75" customHeight="1">
      <c r="B7" s="2007"/>
      <c r="C7" s="2010"/>
      <c r="D7" s="2005"/>
      <c r="E7" s="2206" t="s">
        <v>197</v>
      </c>
      <c r="F7" s="2206" t="s">
        <v>1788</v>
      </c>
      <c r="G7" s="2206" t="s">
        <v>812</v>
      </c>
      <c r="H7" s="2209" t="s">
        <v>813</v>
      </c>
      <c r="I7" s="2199" t="s">
        <v>465</v>
      </c>
      <c r="J7" s="2200"/>
      <c r="K7" s="2201"/>
      <c r="L7" s="2199" t="s">
        <v>1489</v>
      </c>
      <c r="M7" s="2200"/>
      <c r="N7" s="2201"/>
      <c r="O7" s="2199" t="s">
        <v>814</v>
      </c>
      <c r="P7" s="2200"/>
      <c r="Q7" s="2201"/>
    </row>
    <row r="8" spans="2:17" ht="27" customHeight="1">
      <c r="B8" s="2003"/>
      <c r="C8" s="2021"/>
      <c r="D8" s="2005"/>
      <c r="E8" s="2207"/>
      <c r="F8" s="2207"/>
      <c r="G8" s="2207"/>
      <c r="H8" s="2210"/>
      <c r="I8" s="1448" t="s">
        <v>142</v>
      </c>
      <c r="J8" s="66" t="s">
        <v>707</v>
      </c>
      <c r="K8" s="1033" t="s">
        <v>708</v>
      </c>
      <c r="L8" s="1414" t="s">
        <v>142</v>
      </c>
      <c r="M8" s="1247" t="s">
        <v>707</v>
      </c>
      <c r="N8" s="1250" t="s">
        <v>708</v>
      </c>
      <c r="O8" s="1414" t="s">
        <v>142</v>
      </c>
      <c r="P8" s="1247" t="s">
        <v>707</v>
      </c>
      <c r="Q8" s="1250" t="s">
        <v>708</v>
      </c>
    </row>
    <row r="9" spans="2:17" ht="13.5" thickBot="1">
      <c r="B9" s="43">
        <v>1</v>
      </c>
      <c r="C9" s="49">
        <v>2</v>
      </c>
      <c r="D9" s="43">
        <v>3</v>
      </c>
      <c r="E9" s="49">
        <v>4</v>
      </c>
      <c r="F9" s="43">
        <v>5</v>
      </c>
      <c r="G9" s="1007">
        <v>6</v>
      </c>
      <c r="H9" s="1436">
        <v>7</v>
      </c>
      <c r="I9" s="1449">
        <v>8</v>
      </c>
      <c r="J9" s="66">
        <v>9</v>
      </c>
      <c r="K9" s="1033">
        <v>10</v>
      </c>
      <c r="L9" s="1414">
        <v>11</v>
      </c>
      <c r="M9" s="1247">
        <v>12</v>
      </c>
      <c r="N9" s="1250">
        <v>13</v>
      </c>
      <c r="O9" s="1414">
        <v>11</v>
      </c>
      <c r="P9" s="1247">
        <v>12</v>
      </c>
      <c r="Q9" s="1250">
        <v>13</v>
      </c>
    </row>
    <row r="10" spans="1:17" ht="12.75" hidden="1" outlineLevel="1">
      <c r="A10" s="1199">
        <v>1</v>
      </c>
      <c r="B10" s="67">
        <v>1</v>
      </c>
      <c r="C10" s="620" t="s">
        <v>1410</v>
      </c>
      <c r="D10" s="613"/>
      <c r="E10" s="596"/>
      <c r="F10" s="596"/>
      <c r="G10" s="596"/>
      <c r="H10" s="1009"/>
      <c r="I10" s="1200"/>
      <c r="J10" s="596"/>
      <c r="K10" s="1959"/>
      <c r="L10" s="1415"/>
      <c r="M10" s="1416"/>
      <c r="N10" s="1417"/>
      <c r="O10" s="1415"/>
      <c r="P10" s="1416"/>
      <c r="Q10" s="1417"/>
    </row>
    <row r="11" spans="1:17" ht="12.75" hidden="1" outlineLevel="1">
      <c r="A11" s="655" t="s">
        <v>1009</v>
      </c>
      <c r="B11" s="68" t="s">
        <v>1009</v>
      </c>
      <c r="C11" s="621" t="s">
        <v>1411</v>
      </c>
      <c r="D11" s="66" t="s">
        <v>1412</v>
      </c>
      <c r="E11" s="32"/>
      <c r="F11" s="32"/>
      <c r="G11" s="32"/>
      <c r="H11" s="1437">
        <f>'[5]Расшиф. 4.9'!S10</f>
        <v>0</v>
      </c>
      <c r="I11" s="1201">
        <f>'[5]Расшиф. 4.9'!AC10</f>
        <v>0</v>
      </c>
      <c r="J11" s="1010">
        <f>'[5]Расшиф. 4.9'!AD10</f>
        <v>0</v>
      </c>
      <c r="K11" s="1960">
        <f>'[5]Расшиф. 4.9'!AE10</f>
        <v>0</v>
      </c>
      <c r="L11" s="1418"/>
      <c r="M11" s="512"/>
      <c r="N11" s="1419"/>
      <c r="O11" s="1418"/>
      <c r="P11" s="512"/>
      <c r="Q11" s="1419"/>
    </row>
    <row r="12" spans="1:17" ht="12.75" hidden="1" outlineLevel="1">
      <c r="A12" s="1199"/>
      <c r="B12" s="67"/>
      <c r="C12" s="621" t="s">
        <v>1413</v>
      </c>
      <c r="D12" s="66" t="s">
        <v>1412</v>
      </c>
      <c r="E12" s="596"/>
      <c r="F12" s="596"/>
      <c r="G12" s="596"/>
      <c r="H12" s="1438"/>
      <c r="I12" s="1202"/>
      <c r="J12" s="1203"/>
      <c r="K12" s="1961"/>
      <c r="L12" s="1415"/>
      <c r="M12" s="1416"/>
      <c r="N12" s="1417"/>
      <c r="O12" s="1415"/>
      <c r="P12" s="1416"/>
      <c r="Q12" s="1417"/>
    </row>
    <row r="13" spans="1:17" ht="12.75" hidden="1" outlineLevel="1">
      <c r="A13" s="655" t="s">
        <v>145</v>
      </c>
      <c r="B13" s="68" t="s">
        <v>145</v>
      </c>
      <c r="C13" s="621" t="s">
        <v>1414</v>
      </c>
      <c r="D13" s="66" t="s">
        <v>1412</v>
      </c>
      <c r="E13" s="4"/>
      <c r="F13" s="4"/>
      <c r="G13" s="32"/>
      <c r="H13" s="1437">
        <f>H11</f>
        <v>0</v>
      </c>
      <c r="I13" s="1201">
        <f>I11</f>
        <v>0</v>
      </c>
      <c r="J13" s="1010">
        <f>J11</f>
        <v>0</v>
      </c>
      <c r="K13" s="1960">
        <f>K11</f>
        <v>0</v>
      </c>
      <c r="L13" s="1418"/>
      <c r="M13" s="512"/>
      <c r="N13" s="1419"/>
      <c r="O13" s="1418"/>
      <c r="P13" s="512"/>
      <c r="Q13" s="1419"/>
    </row>
    <row r="14" spans="1:17" ht="12.75" hidden="1" outlineLevel="1">
      <c r="A14" s="655"/>
      <c r="B14" s="68"/>
      <c r="C14" s="621" t="s">
        <v>1415</v>
      </c>
      <c r="D14" s="66" t="s">
        <v>1412</v>
      </c>
      <c r="E14" s="4"/>
      <c r="F14" s="4"/>
      <c r="G14" s="32"/>
      <c r="H14" s="1348"/>
      <c r="I14" s="1118"/>
      <c r="J14" s="32"/>
      <c r="K14" s="1119"/>
      <c r="L14" s="1418"/>
      <c r="M14" s="512"/>
      <c r="N14" s="1419"/>
      <c r="O14" s="1418"/>
      <c r="P14" s="512"/>
      <c r="Q14" s="1419"/>
    </row>
    <row r="15" spans="1:17" ht="12.75" hidden="1" outlineLevel="1">
      <c r="A15" s="655" t="s">
        <v>146</v>
      </c>
      <c r="B15" s="68" t="s">
        <v>146</v>
      </c>
      <c r="C15" s="621" t="s">
        <v>1416</v>
      </c>
      <c r="D15" s="66" t="s">
        <v>1412</v>
      </c>
      <c r="E15" s="622"/>
      <c r="F15" s="622"/>
      <c r="G15" s="32"/>
      <c r="H15" s="1439">
        <f>H18</f>
        <v>9</v>
      </c>
      <c r="I15" s="1204">
        <f>I18</f>
        <v>9</v>
      </c>
      <c r="J15" s="635">
        <f>J18</f>
        <v>9</v>
      </c>
      <c r="K15" s="1962">
        <f>K18</f>
        <v>9</v>
      </c>
      <c r="L15" s="1418"/>
      <c r="M15" s="512"/>
      <c r="N15" s="1419"/>
      <c r="O15" s="1418"/>
      <c r="P15" s="512"/>
      <c r="Q15" s="1419"/>
    </row>
    <row r="16" spans="1:17" ht="12.75" hidden="1" outlineLevel="1">
      <c r="A16" s="655"/>
      <c r="B16" s="68"/>
      <c r="C16" s="621" t="s">
        <v>1417</v>
      </c>
      <c r="D16" s="66" t="s">
        <v>1307</v>
      </c>
      <c r="E16" s="4"/>
      <c r="F16" s="4"/>
      <c r="G16" s="32"/>
      <c r="H16" s="1440" t="e">
        <f>H15/H13</f>
        <v>#DIV/0!</v>
      </c>
      <c r="I16" s="1205" t="e">
        <f>I15/I13</f>
        <v>#DIV/0!</v>
      </c>
      <c r="J16" s="1206" t="e">
        <f>J15/J13</f>
        <v>#DIV/0!</v>
      </c>
      <c r="K16" s="1963" t="e">
        <f>K15/K13</f>
        <v>#DIV/0!</v>
      </c>
      <c r="L16" s="1418"/>
      <c r="M16" s="512"/>
      <c r="N16" s="1419"/>
      <c r="O16" s="1418"/>
      <c r="P16" s="512"/>
      <c r="Q16" s="1419"/>
    </row>
    <row r="17" spans="1:17" ht="12.75" hidden="1" outlineLevel="1">
      <c r="A17" s="655" t="s">
        <v>631</v>
      </c>
      <c r="B17" s="68" t="s">
        <v>631</v>
      </c>
      <c r="C17" s="621" t="s">
        <v>1418</v>
      </c>
      <c r="D17" s="66" t="s">
        <v>1412</v>
      </c>
      <c r="E17" s="623"/>
      <c r="F17" s="623"/>
      <c r="G17" s="624"/>
      <c r="H17" s="1346"/>
      <c r="I17" s="1105"/>
      <c r="J17" s="624"/>
      <c r="K17" s="1106"/>
      <c r="L17" s="1420"/>
      <c r="M17" s="1299"/>
      <c r="N17" s="1421"/>
      <c r="O17" s="1974"/>
      <c r="P17" s="1454"/>
      <c r="Q17" s="1455"/>
    </row>
    <row r="18" spans="1:17" s="1055" customFormat="1" ht="25.5" collapsed="1">
      <c r="A18" s="1199" t="s">
        <v>632</v>
      </c>
      <c r="B18" s="67" t="s">
        <v>632</v>
      </c>
      <c r="C18" s="620" t="s">
        <v>1419</v>
      </c>
      <c r="D18" s="637" t="s">
        <v>1412</v>
      </c>
      <c r="E18" s="1207">
        <f>'[5]Расшиф. 4.9'!K11</f>
        <v>8.5</v>
      </c>
      <c r="F18" s="1207">
        <f>'[5]Расшиф. 4.9'!K11</f>
        <v>8.5</v>
      </c>
      <c r="G18" s="1208">
        <f>'Расшиф. 4.9 ЗП'!O11</f>
        <v>8</v>
      </c>
      <c r="H18" s="1441">
        <v>9</v>
      </c>
      <c r="I18" s="1209">
        <f>'Расшиф. 4.9 ЗП'!AC11</f>
        <v>9</v>
      </c>
      <c r="J18" s="1208">
        <f>'Расшиф. 4.9 ЗП'!AD11</f>
        <v>9</v>
      </c>
      <c r="K18" s="1378">
        <f>'Расшиф. 4.9 ЗП'!AE11</f>
        <v>9</v>
      </c>
      <c r="L18" s="1209">
        <f>I18</f>
        <v>9</v>
      </c>
      <c r="M18" s="1208">
        <f>J18</f>
        <v>9</v>
      </c>
      <c r="N18" s="1378">
        <f>K18</f>
        <v>9</v>
      </c>
      <c r="O18" s="1456">
        <v>8.5</v>
      </c>
      <c r="P18" s="1457">
        <v>8.5</v>
      </c>
      <c r="Q18" s="1458">
        <v>8.5</v>
      </c>
    </row>
    <row r="19" spans="1:17" ht="16.5" customHeight="1" hidden="1">
      <c r="A19" s="1210" t="s">
        <v>1664</v>
      </c>
      <c r="B19" s="67" t="s">
        <v>1664</v>
      </c>
      <c r="C19" s="1211" t="s">
        <v>1665</v>
      </c>
      <c r="D19" s="1020"/>
      <c r="E19" s="652"/>
      <c r="F19" s="652"/>
      <c r="G19" s="653"/>
      <c r="H19" s="1442">
        <f>'[5]Расшиф. 4.9'!S12</f>
        <v>0</v>
      </c>
      <c r="I19" s="1212">
        <f>'[5]Расшиф. 4.9'!AC12</f>
        <v>0</v>
      </c>
      <c r="J19" s="1213">
        <f>'[5]Расшиф. 4.9'!AD12</f>
        <v>0</v>
      </c>
      <c r="K19" s="1383">
        <f>'[5]Расшиф. 4.9'!AE12</f>
        <v>0</v>
      </c>
      <c r="L19" s="1422"/>
      <c r="M19" s="1423"/>
      <c r="N19" s="1424"/>
      <c r="O19" s="1422"/>
      <c r="P19" s="1423"/>
      <c r="Q19" s="1424"/>
    </row>
    <row r="20" spans="1:17" ht="12.75">
      <c r="A20" s="1199" t="s">
        <v>1010</v>
      </c>
      <c r="B20" s="67" t="s">
        <v>1010</v>
      </c>
      <c r="C20" s="620" t="s">
        <v>1420</v>
      </c>
      <c r="D20" s="523"/>
      <c r="E20" s="623"/>
      <c r="F20" s="623"/>
      <c r="G20" s="624"/>
      <c r="H20" s="1346"/>
      <c r="I20" s="1105"/>
      <c r="J20" s="624"/>
      <c r="K20" s="1106"/>
      <c r="L20" s="1420"/>
      <c r="M20" s="1299"/>
      <c r="N20" s="1421"/>
      <c r="O20" s="1420"/>
      <c r="P20" s="1299"/>
      <c r="Q20" s="1421"/>
    </row>
    <row r="21" spans="1:17" ht="25.5">
      <c r="A21" s="655" t="s">
        <v>1011</v>
      </c>
      <c r="B21" s="68" t="s">
        <v>1011</v>
      </c>
      <c r="C21" s="621" t="s">
        <v>1368</v>
      </c>
      <c r="D21" s="523" t="s">
        <v>1369</v>
      </c>
      <c r="E21" s="599">
        <f>'[5]Расшиф. 4.9'!M14</f>
        <v>4590</v>
      </c>
      <c r="F21" s="599">
        <f>'[5]Расшиф. 4.9'!N14</f>
        <v>4590</v>
      </c>
      <c r="G21" s="599">
        <f>'Расшиф. 4.9 ЗП'!O14</f>
        <v>7860</v>
      </c>
      <c r="H21" s="1190">
        <v>7860</v>
      </c>
      <c r="I21" s="1214">
        <f>'Расшиф. 4.9 ЗП'!AC14</f>
        <v>7860</v>
      </c>
      <c r="J21" s="599">
        <f>'Расшиф. 4.9 ЗП'!AD14</f>
        <v>7860</v>
      </c>
      <c r="K21" s="1374">
        <f>'Расшиф. 4.9 ЗП'!AE14</f>
        <v>7860</v>
      </c>
      <c r="L21" s="1425"/>
      <c r="M21" s="1426"/>
      <c r="N21" s="1427"/>
      <c r="O21" s="1425"/>
      <c r="P21" s="1426"/>
      <c r="Q21" s="1427"/>
    </row>
    <row r="22" spans="1:17" ht="12.75">
      <c r="A22" s="655" t="s">
        <v>1011</v>
      </c>
      <c r="B22" s="68" t="s">
        <v>1011</v>
      </c>
      <c r="C22" s="621" t="s">
        <v>1370</v>
      </c>
      <c r="D22" s="523"/>
      <c r="E22" s="91">
        <f>'[5]Расшиф. 4.9'!M15</f>
        <v>1.056</v>
      </c>
      <c r="F22" s="91">
        <f>'[5]Расшиф. 4.9'!N15</f>
        <v>1.056</v>
      </c>
      <c r="G22" s="91">
        <f>'Расшиф. 4.9 ЗП'!O15</f>
        <v>1.074</v>
      </c>
      <c r="H22" s="1386">
        <v>1.074</v>
      </c>
      <c r="I22" s="1215">
        <f>'Расшиф. 4.9 ЗП'!AC15</f>
        <v>1.058</v>
      </c>
      <c r="J22" s="91">
        <f>'Расшиф. 4.9 ЗП'!AD15</f>
        <v>1.058</v>
      </c>
      <c r="K22" s="1387">
        <f>'Расшиф. 4.9 ЗП'!AE15</f>
        <v>1.058</v>
      </c>
      <c r="L22" s="1435"/>
      <c r="M22" s="516"/>
      <c r="N22" s="1972"/>
      <c r="O22" s="1425"/>
      <c r="P22" s="1426"/>
      <c r="Q22" s="1427"/>
    </row>
    <row r="23" spans="1:17" s="1055" customFormat="1" ht="25.5">
      <c r="A23" s="655" t="s">
        <v>686</v>
      </c>
      <c r="B23" s="68" t="s">
        <v>686</v>
      </c>
      <c r="C23" s="621" t="s">
        <v>1371</v>
      </c>
      <c r="D23" s="523" t="s">
        <v>1369</v>
      </c>
      <c r="E23" s="599">
        <f aca="true" t="shared" si="0" ref="E23:J23">E21*E22</f>
        <v>4847.04</v>
      </c>
      <c r="F23" s="599">
        <f t="shared" si="0"/>
        <v>4847.04</v>
      </c>
      <c r="G23" s="599">
        <f>G21*G22</f>
        <v>8441.640000000001</v>
      </c>
      <c r="H23" s="1190">
        <f t="shared" si="0"/>
        <v>8441.640000000001</v>
      </c>
      <c r="I23" s="1214">
        <f t="shared" si="0"/>
        <v>8315.880000000001</v>
      </c>
      <c r="J23" s="599">
        <f t="shared" si="0"/>
        <v>8315.880000000001</v>
      </c>
      <c r="K23" s="1374">
        <f>K21*K22</f>
        <v>8315.880000000001</v>
      </c>
      <c r="L23" s="1425"/>
      <c r="M23" s="1426"/>
      <c r="N23" s="1427"/>
      <c r="O23" s="1425"/>
      <c r="P23" s="1426"/>
      <c r="Q23" s="1427"/>
    </row>
    <row r="24" spans="1:17" ht="25.5">
      <c r="A24" s="655" t="s">
        <v>1003</v>
      </c>
      <c r="B24" s="68" t="s">
        <v>1003</v>
      </c>
      <c r="C24" s="621" t="s">
        <v>1372</v>
      </c>
      <c r="D24" s="523"/>
      <c r="E24" s="1216">
        <f>'[5]Расшиф. 4.9'!G17</f>
        <v>6.18</v>
      </c>
      <c r="F24" s="1216">
        <f>'[5]Расшиф. 4.9'!H17</f>
        <v>0</v>
      </c>
      <c r="G24" s="1217"/>
      <c r="H24" s="1443">
        <f>'Расшиф. 4.9 ЗП'!S17</f>
        <v>6.5</v>
      </c>
      <c r="I24" s="1218">
        <f>'Расшиф. 4.9 ЗП'!AC17</f>
        <v>6.5</v>
      </c>
      <c r="J24" s="1217">
        <f>'Расшиф. 4.9 ЗП'!AD17</f>
        <v>6.5</v>
      </c>
      <c r="K24" s="1964">
        <f>J24</f>
        <v>6.5</v>
      </c>
      <c r="L24" s="1433"/>
      <c r="M24" s="1434"/>
      <c r="N24" s="1973"/>
      <c r="O24" s="1425"/>
      <c r="P24" s="1426"/>
      <c r="Q24" s="1427"/>
    </row>
    <row r="25" spans="1:17" ht="25.5">
      <c r="A25" s="655"/>
      <c r="B25" s="68"/>
      <c r="C25" s="621" t="s">
        <v>960</v>
      </c>
      <c r="D25" s="523"/>
      <c r="E25" s="1216">
        <f>'[5]Расшиф. 4.9'!G19</f>
        <v>1.2</v>
      </c>
      <c r="F25" s="1216">
        <f>'[5]Расшиф. 4.9'!H19</f>
        <v>0</v>
      </c>
      <c r="G25" s="1217"/>
      <c r="H25" s="1443">
        <f>'[5]Расшиф. 4.9'!S19</f>
        <v>1</v>
      </c>
      <c r="I25" s="1218">
        <f>'Расшиф. 4.9 ЗП'!AC19</f>
        <v>1</v>
      </c>
      <c r="J25" s="1217">
        <f>'Расшиф. 4.9 ЗП'!AD19</f>
        <v>1</v>
      </c>
      <c r="K25" s="1964">
        <f>'Расшиф. 4.9 ЗП'!AE19</f>
        <v>1</v>
      </c>
      <c r="L25" s="1433"/>
      <c r="M25" s="1434"/>
      <c r="N25" s="1973"/>
      <c r="O25" s="1425"/>
      <c r="P25" s="1426"/>
      <c r="Q25" s="1427"/>
    </row>
    <row r="26" spans="1:17" ht="38.25">
      <c r="A26" s="655" t="s">
        <v>861</v>
      </c>
      <c r="B26" s="68" t="s">
        <v>861</v>
      </c>
      <c r="C26" s="621" t="s">
        <v>1373</v>
      </c>
      <c r="D26" s="523"/>
      <c r="E26" s="1216">
        <f>'[5]Расшиф. 4.9'!G18</f>
        <v>1.74</v>
      </c>
      <c r="F26" s="1216">
        <f>'[5]Расшиф. 4.9'!K18</f>
        <v>1.74</v>
      </c>
      <c r="G26" s="1217"/>
      <c r="H26" s="1443">
        <v>1.9</v>
      </c>
      <c r="I26" s="1218">
        <f>'Расшиф. 4.9 ЗП'!AC18</f>
        <v>1.9044444444444446</v>
      </c>
      <c r="J26" s="1217">
        <f>'Расшиф. 4.9 ЗП'!AD18</f>
        <v>1.9044444444444446</v>
      </c>
      <c r="K26" s="1964">
        <f>'Расшиф. 4.9 ЗП'!AE18</f>
        <v>1.9044444444444446</v>
      </c>
      <c r="L26" s="1425"/>
      <c r="M26" s="1426"/>
      <c r="N26" s="1427"/>
      <c r="O26" s="1425"/>
      <c r="P26" s="1426"/>
      <c r="Q26" s="1427"/>
    </row>
    <row r="27" spans="1:17" s="1220" customFormat="1" ht="14.25" customHeight="1">
      <c r="A27" s="1219" t="s">
        <v>863</v>
      </c>
      <c r="B27" s="594" t="s">
        <v>863</v>
      </c>
      <c r="C27" s="621" t="s">
        <v>961</v>
      </c>
      <c r="D27" s="1035" t="s">
        <v>1369</v>
      </c>
      <c r="E27" s="599">
        <f>'[5]Расшиф. 4.9'!G20</f>
        <v>10138</v>
      </c>
      <c r="F27" s="599">
        <f>'[5]Расшиф. 4.9'!K20</f>
        <v>10120.536</v>
      </c>
      <c r="G27" s="599"/>
      <c r="H27" s="1190">
        <f>H23*H25*H26</f>
        <v>16039.116000000002</v>
      </c>
      <c r="I27" s="1214">
        <f>'Расшиф. 4.9 ЗП'!AC20</f>
        <v>14469.63</v>
      </c>
      <c r="J27" s="599">
        <f>'Расшиф. 4.9 ЗП'!AD20</f>
        <v>14469.63</v>
      </c>
      <c r="K27" s="1374">
        <f>'Расшиф. 4.9 ЗП'!AE20</f>
        <v>14469.63</v>
      </c>
      <c r="L27" s="1425"/>
      <c r="M27" s="1426"/>
      <c r="N27" s="1427"/>
      <c r="O27" s="1425"/>
      <c r="P27" s="1426"/>
      <c r="Q27" s="1427"/>
    </row>
    <row r="28" spans="1:17" ht="38.25">
      <c r="A28" s="655" t="s">
        <v>865</v>
      </c>
      <c r="B28" s="68" t="s">
        <v>865</v>
      </c>
      <c r="C28" s="621" t="s">
        <v>962</v>
      </c>
      <c r="D28" s="66"/>
      <c r="E28" s="4"/>
      <c r="F28" s="4"/>
      <c r="G28" s="32"/>
      <c r="H28" s="1348"/>
      <c r="I28" s="1118"/>
      <c r="J28" s="32"/>
      <c r="K28" s="1119"/>
      <c r="L28" s="1425"/>
      <c r="M28" s="1426"/>
      <c r="N28" s="1427"/>
      <c r="O28" s="1425"/>
      <c r="P28" s="1426"/>
      <c r="Q28" s="1427"/>
    </row>
    <row r="29" spans="1:17" ht="12.75">
      <c r="A29" s="655" t="s">
        <v>1716</v>
      </c>
      <c r="B29" s="68"/>
      <c r="C29" s="634" t="s">
        <v>963</v>
      </c>
      <c r="D29" s="66" t="s">
        <v>1307</v>
      </c>
      <c r="E29" s="622">
        <f>'[5]Расшиф. 4.9'!K22</f>
        <v>21</v>
      </c>
      <c r="F29" s="622">
        <f>'[5]Расшиф. 4.9'!K22</f>
        <v>21</v>
      </c>
      <c r="G29" s="635"/>
      <c r="H29" s="1439">
        <v>16</v>
      </c>
      <c r="I29" s="1204">
        <f>'[5]Расшиф. 4.9'!AC22</f>
        <v>22.005518512099677</v>
      </c>
      <c r="J29" s="635">
        <f>I29</f>
        <v>22.005518512099677</v>
      </c>
      <c r="K29" s="1962">
        <f>J29</f>
        <v>22.005518512099677</v>
      </c>
      <c r="L29" s="1425"/>
      <c r="M29" s="1426"/>
      <c r="N29" s="1427"/>
      <c r="O29" s="1425"/>
      <c r="P29" s="1426"/>
      <c r="Q29" s="1427"/>
    </row>
    <row r="30" spans="1:17" ht="12.75">
      <c r="A30" s="655"/>
      <c r="B30" s="68"/>
      <c r="C30" s="634" t="s">
        <v>964</v>
      </c>
      <c r="D30" s="66" t="s">
        <v>1369</v>
      </c>
      <c r="E30" s="590">
        <f>'[5]Расшиф. 4.9'!G23</f>
        <v>2081</v>
      </c>
      <c r="F30" s="590">
        <f>'[5]Расшиф. 4.9'!K23</f>
        <v>2125.31256</v>
      </c>
      <c r="G30" s="599"/>
      <c r="H30" s="1190">
        <f>(H27*H29)/100</f>
        <v>2566.25856</v>
      </c>
      <c r="I30" s="1214">
        <f>'Расшиф. 4.9 ЗП'!AC23</f>
        <v>2916.5177140000005</v>
      </c>
      <c r="J30" s="599">
        <f>'Расшиф. 4.9 ЗП'!AD23</f>
        <v>2916.5177140000005</v>
      </c>
      <c r="K30" s="1374">
        <f>'Расшиф. 4.9 ЗП'!AE23</f>
        <v>2916.5177140000005</v>
      </c>
      <c r="L30" s="1425"/>
      <c r="M30" s="1426"/>
      <c r="N30" s="1427"/>
      <c r="O30" s="1425"/>
      <c r="P30" s="1426"/>
      <c r="Q30" s="1427"/>
    </row>
    <row r="31" spans="1:17" ht="12.75">
      <c r="A31" s="655" t="s">
        <v>867</v>
      </c>
      <c r="B31" s="68" t="s">
        <v>867</v>
      </c>
      <c r="C31" s="621" t="s">
        <v>965</v>
      </c>
      <c r="D31" s="66"/>
      <c r="E31" s="4"/>
      <c r="F31" s="4"/>
      <c r="G31" s="32"/>
      <c r="H31" s="1348"/>
      <c r="I31" s="1118"/>
      <c r="J31" s="32"/>
      <c r="K31" s="1119"/>
      <c r="L31" s="1425"/>
      <c r="M31" s="1426"/>
      <c r="N31" s="1427"/>
      <c r="O31" s="1425"/>
      <c r="P31" s="1426"/>
      <c r="Q31" s="1427"/>
    </row>
    <row r="32" spans="1:17" ht="12.75">
      <c r="A32" s="655" t="s">
        <v>1717</v>
      </c>
      <c r="B32" s="68"/>
      <c r="C32" s="634" t="s">
        <v>963</v>
      </c>
      <c r="D32" s="66" t="s">
        <v>1307</v>
      </c>
      <c r="E32" s="590">
        <f>'[5]Расшиф. 4.9'!K25</f>
        <v>30</v>
      </c>
      <c r="F32" s="590">
        <f>'[5]Расшиф. 4.9'!L25</f>
        <v>30</v>
      </c>
      <c r="G32" s="599"/>
      <c r="H32" s="1190">
        <f>'[5]Расшиф. 4.9'!S25</f>
        <v>30</v>
      </c>
      <c r="I32" s="1204">
        <f>'Расшиф. 4.9 ЗП'!AC25</f>
        <v>30</v>
      </c>
      <c r="J32" s="635">
        <f>'Расшиф. 4.9 ЗП'!AD25</f>
        <v>30</v>
      </c>
      <c r="K32" s="1962">
        <f>'Расшиф. 4.9 ЗП'!AE25</f>
        <v>30</v>
      </c>
      <c r="L32" s="1425"/>
      <c r="M32" s="1426"/>
      <c r="N32" s="1427"/>
      <c r="O32" s="1425"/>
      <c r="P32" s="1426"/>
      <c r="Q32" s="1427"/>
    </row>
    <row r="33" spans="1:17" ht="12.75">
      <c r="A33" s="655"/>
      <c r="B33" s="68"/>
      <c r="C33" s="634" t="s">
        <v>964</v>
      </c>
      <c r="D33" s="66" t="s">
        <v>1369</v>
      </c>
      <c r="E33" s="590">
        <f aca="true" t="shared" si="1" ref="E33:K33">(E27+E30)*E32/100</f>
        <v>3665.7</v>
      </c>
      <c r="F33" s="590">
        <f t="shared" si="1"/>
        <v>3673.754568</v>
      </c>
      <c r="G33" s="599"/>
      <c r="H33" s="1190">
        <f>(H27+H30)*H32/100</f>
        <v>5581.612368000001</v>
      </c>
      <c r="I33" s="1214">
        <f t="shared" si="1"/>
        <v>5215.8443142</v>
      </c>
      <c r="J33" s="599">
        <f t="shared" si="1"/>
        <v>5215.8443142</v>
      </c>
      <c r="K33" s="1374">
        <f t="shared" si="1"/>
        <v>5215.8443142</v>
      </c>
      <c r="L33" s="1425"/>
      <c r="M33" s="1426"/>
      <c r="N33" s="1427"/>
      <c r="O33" s="1425"/>
      <c r="P33" s="1426"/>
      <c r="Q33" s="1427"/>
    </row>
    <row r="34" spans="1:17" ht="25.5">
      <c r="A34" s="655" t="s">
        <v>136</v>
      </c>
      <c r="B34" s="68" t="s">
        <v>136</v>
      </c>
      <c r="C34" s="621" t="s">
        <v>966</v>
      </c>
      <c r="D34" s="66"/>
      <c r="E34" s="4"/>
      <c r="F34" s="4"/>
      <c r="G34" s="32"/>
      <c r="H34" s="1348"/>
      <c r="I34" s="1118"/>
      <c r="J34" s="32"/>
      <c r="K34" s="1119"/>
      <c r="L34" s="1425"/>
      <c r="M34" s="1426"/>
      <c r="N34" s="1427"/>
      <c r="O34" s="1425"/>
      <c r="P34" s="1426"/>
      <c r="Q34" s="1427"/>
    </row>
    <row r="35" spans="1:17" ht="12.75">
      <c r="A35" s="655" t="s">
        <v>1718</v>
      </c>
      <c r="B35" s="68"/>
      <c r="C35" s="634" t="s">
        <v>963</v>
      </c>
      <c r="D35" s="66" t="s">
        <v>1307</v>
      </c>
      <c r="E35" s="590">
        <f>'[5]Расшиф. 4.9'!K28</f>
        <v>0</v>
      </c>
      <c r="F35" s="590">
        <v>0</v>
      </c>
      <c r="G35" s="599"/>
      <c r="H35" s="1190">
        <f>'[5]Расшиф. 4.9'!S28</f>
        <v>0</v>
      </c>
      <c r="I35" s="1204">
        <f>'[5]Расшиф. 4.9'!AC28</f>
        <v>0</v>
      </c>
      <c r="J35" s="635">
        <f>'[5]Расшиф. 4.9'!AD28</f>
        <v>0</v>
      </c>
      <c r="K35" s="1962">
        <f>'[5]Расшиф. 4.9'!AE28</f>
        <v>0</v>
      </c>
      <c r="L35" s="1425"/>
      <c r="M35" s="1426"/>
      <c r="N35" s="1427"/>
      <c r="O35" s="1425"/>
      <c r="P35" s="1426"/>
      <c r="Q35" s="1427"/>
    </row>
    <row r="36" spans="1:17" ht="12.75">
      <c r="A36" s="655"/>
      <c r="B36" s="68"/>
      <c r="C36" s="634" t="s">
        <v>964</v>
      </c>
      <c r="D36" s="66" t="s">
        <v>1369</v>
      </c>
      <c r="E36" s="590">
        <f>(E27+E30)*E35/100</f>
        <v>0</v>
      </c>
      <c r="F36" s="590">
        <v>0</v>
      </c>
      <c r="G36" s="599"/>
      <c r="H36" s="1190">
        <f>(H27+H30)*H35/100</f>
        <v>0</v>
      </c>
      <c r="I36" s="1214">
        <f>(I27+I30)*I35/100</f>
        <v>0</v>
      </c>
      <c r="J36" s="599">
        <f>(J27+J30)*J35/100</f>
        <v>0</v>
      </c>
      <c r="K36" s="1374">
        <f>(K27+K30)*K35/100</f>
        <v>0</v>
      </c>
      <c r="L36" s="1425"/>
      <c r="M36" s="1426"/>
      <c r="N36" s="1427"/>
      <c r="O36" s="1425"/>
      <c r="P36" s="1426"/>
      <c r="Q36" s="1427"/>
    </row>
    <row r="37" spans="1:17" ht="12.75">
      <c r="A37" s="655" t="s">
        <v>138</v>
      </c>
      <c r="B37" s="68" t="s">
        <v>138</v>
      </c>
      <c r="C37" s="621" t="s">
        <v>967</v>
      </c>
      <c r="D37" s="637"/>
      <c r="E37" s="641"/>
      <c r="F37" s="641"/>
      <c r="G37" s="642"/>
      <c r="H37" s="1349"/>
      <c r="I37" s="1221"/>
      <c r="J37" s="642"/>
      <c r="K37" s="1124"/>
      <c r="L37" s="1425"/>
      <c r="M37" s="1426"/>
      <c r="N37" s="1427"/>
      <c r="O37" s="1425"/>
      <c r="P37" s="1426"/>
      <c r="Q37" s="1427"/>
    </row>
    <row r="38" spans="1:17" ht="12.75">
      <c r="A38" s="655" t="s">
        <v>1719</v>
      </c>
      <c r="B38" s="68"/>
      <c r="C38" s="634" t="s">
        <v>963</v>
      </c>
      <c r="D38" s="66" t="s">
        <v>1307</v>
      </c>
      <c r="E38" s="4"/>
      <c r="F38" s="4"/>
      <c r="G38" s="32"/>
      <c r="H38" s="1348"/>
      <c r="I38" s="1118"/>
      <c r="J38" s="32"/>
      <c r="K38" s="1119"/>
      <c r="L38" s="1425"/>
      <c r="M38" s="1426"/>
      <c r="N38" s="1427"/>
      <c r="O38" s="1425"/>
      <c r="P38" s="1426"/>
      <c r="Q38" s="1427"/>
    </row>
    <row r="39" spans="1:17" ht="12.75">
      <c r="A39" s="655"/>
      <c r="B39" s="68"/>
      <c r="C39" s="634" t="s">
        <v>964</v>
      </c>
      <c r="D39" s="66" t="s">
        <v>1369</v>
      </c>
      <c r="E39" s="4"/>
      <c r="F39" s="4"/>
      <c r="G39" s="32"/>
      <c r="H39" s="1348"/>
      <c r="I39" s="1118"/>
      <c r="J39" s="32"/>
      <c r="K39" s="1119"/>
      <c r="L39" s="1425"/>
      <c r="M39" s="1426"/>
      <c r="N39" s="1427"/>
      <c r="O39" s="1425"/>
      <c r="P39" s="1426"/>
      <c r="Q39" s="1427"/>
    </row>
    <row r="40" spans="1:17" ht="25.5">
      <c r="A40" s="655" t="s">
        <v>612</v>
      </c>
      <c r="B40" s="68" t="s">
        <v>612</v>
      </c>
      <c r="C40" s="621" t="s">
        <v>968</v>
      </c>
      <c r="D40" s="66"/>
      <c r="E40" s="4"/>
      <c r="F40" s="4"/>
      <c r="G40" s="32"/>
      <c r="H40" s="1348"/>
      <c r="I40" s="1118"/>
      <c r="J40" s="32"/>
      <c r="K40" s="1119"/>
      <c r="L40" s="1425"/>
      <c r="M40" s="1426"/>
      <c r="N40" s="1427"/>
      <c r="O40" s="1425"/>
      <c r="P40" s="1426"/>
      <c r="Q40" s="1427"/>
    </row>
    <row r="41" spans="1:17" ht="13.5" customHeight="1">
      <c r="A41" s="655" t="s">
        <v>1720</v>
      </c>
      <c r="B41" s="68"/>
      <c r="C41" s="634" t="s">
        <v>963</v>
      </c>
      <c r="D41" s="66" t="s">
        <v>1307</v>
      </c>
      <c r="E41" s="643">
        <f>'[5]Расшиф. 4.9'!K34</f>
        <v>160</v>
      </c>
      <c r="F41" s="643">
        <f>'[5]Расшиф. 4.9'!O34</f>
        <v>160</v>
      </c>
      <c r="G41" s="1222"/>
      <c r="H41" s="1444">
        <f>'[5]Расшиф. 4.9'!S34</f>
        <v>160</v>
      </c>
      <c r="I41" s="1223">
        <f>'Расшиф. 4.9 ЗП'!AC34</f>
        <v>160</v>
      </c>
      <c r="J41" s="1222">
        <f>'Расшиф. 4.9 ЗП'!AD34</f>
        <v>160</v>
      </c>
      <c r="K41" s="1965">
        <f>'Расшиф. 4.9 ЗП'!AE34</f>
        <v>160</v>
      </c>
      <c r="L41" s="1425"/>
      <c r="M41" s="1426"/>
      <c r="N41" s="1427"/>
      <c r="O41" s="1425"/>
      <c r="P41" s="1426"/>
      <c r="Q41" s="1427"/>
    </row>
    <row r="42" spans="1:17" ht="12.75">
      <c r="A42" s="655"/>
      <c r="B42" s="68"/>
      <c r="C42" s="634" t="s">
        <v>964</v>
      </c>
      <c r="D42" s="66" t="s">
        <v>1369</v>
      </c>
      <c r="E42" s="590">
        <f aca="true" t="shared" si="2" ref="E42:K42">(E27+E30+E33+E36)*E41/100</f>
        <v>25415.52</v>
      </c>
      <c r="F42" s="590">
        <f t="shared" si="2"/>
        <v>25471.365004799998</v>
      </c>
      <c r="G42" s="599"/>
      <c r="H42" s="1190">
        <f>(H27+H30+H33+H36)*H41/100</f>
        <v>38699.17908480001</v>
      </c>
      <c r="I42" s="1214">
        <f t="shared" si="2"/>
        <v>36163.187245119996</v>
      </c>
      <c r="J42" s="599">
        <f t="shared" si="2"/>
        <v>36163.187245119996</v>
      </c>
      <c r="K42" s="1374">
        <f t="shared" si="2"/>
        <v>36163.187245119996</v>
      </c>
      <c r="L42" s="1425"/>
      <c r="M42" s="1426"/>
      <c r="N42" s="1427"/>
      <c r="O42" s="1425"/>
      <c r="P42" s="1426"/>
      <c r="Q42" s="1427"/>
    </row>
    <row r="43" spans="1:17" ht="25.5">
      <c r="A43" s="1199" t="s">
        <v>1012</v>
      </c>
      <c r="B43" s="67" t="s">
        <v>1012</v>
      </c>
      <c r="C43" s="620" t="s">
        <v>969</v>
      </c>
      <c r="D43" s="66" t="s">
        <v>1369</v>
      </c>
      <c r="E43" s="590">
        <f aca="true" t="shared" si="3" ref="E43:K43">E27+E30+E33+E36+E42</f>
        <v>41300.22</v>
      </c>
      <c r="F43" s="590">
        <f t="shared" si="3"/>
        <v>41390.9681328</v>
      </c>
      <c r="G43" s="599">
        <f>'Расшиф. 4.9 ЗП'!O36</f>
        <v>60567.6</v>
      </c>
      <c r="H43" s="1190">
        <f>H27+H30+H33+H36+H42</f>
        <v>62886.166012800015</v>
      </c>
      <c r="I43" s="1214">
        <f t="shared" si="3"/>
        <v>58765.17927332</v>
      </c>
      <c r="J43" s="599">
        <f t="shared" si="3"/>
        <v>58765.17927332</v>
      </c>
      <c r="K43" s="1374">
        <f t="shared" si="3"/>
        <v>58765.17927332</v>
      </c>
      <c r="L43" s="1425"/>
      <c r="M43" s="1426"/>
      <c r="N43" s="1427"/>
      <c r="O43" s="1425"/>
      <c r="P43" s="1426"/>
      <c r="Q43" s="1427"/>
    </row>
    <row r="44" spans="1:17" ht="38.25">
      <c r="A44" s="1224" t="s">
        <v>1018</v>
      </c>
      <c r="B44" s="318" t="s">
        <v>1018</v>
      </c>
      <c r="C44" s="319" t="s">
        <v>970</v>
      </c>
      <c r="D44" s="1225"/>
      <c r="E44" s="1016">
        <f>E18*E43*E48/1000</f>
        <v>4212.622439999999</v>
      </c>
      <c r="F44" s="1016">
        <f>'[5]Расшиф. 4.9'!K37</f>
        <v>4205</v>
      </c>
      <c r="G44" s="1016">
        <f>G18*G43*G48/1000</f>
        <v>5814.4896</v>
      </c>
      <c r="H44" s="1445">
        <f>H18*H43*H48/1000</f>
        <v>6791.705929382401</v>
      </c>
      <c r="I44" s="1226">
        <f>I18*I43*I48/1000</f>
        <v>6346.63936151856</v>
      </c>
      <c r="J44" s="1460">
        <f>J18*J43*J48/1000</f>
        <v>3173.31968075928</v>
      </c>
      <c r="K44" s="1968">
        <f>K18*K43*K48/1000</f>
        <v>3173.31968075928</v>
      </c>
      <c r="L44" s="1451">
        <f aca="true" t="shared" si="4" ref="L44:Q44">I44*1.055</f>
        <v>6695.70452640208</v>
      </c>
      <c r="M44" s="1452">
        <f t="shared" si="4"/>
        <v>3347.85226320104</v>
      </c>
      <c r="N44" s="1453">
        <f t="shared" si="4"/>
        <v>3347.85226320104</v>
      </c>
      <c r="O44" s="1451">
        <f t="shared" si="4"/>
        <v>7063.968275354194</v>
      </c>
      <c r="P44" s="1452">
        <f t="shared" si="4"/>
        <v>3531.984137677097</v>
      </c>
      <c r="Q44" s="1453">
        <f t="shared" si="4"/>
        <v>3531.984137677097</v>
      </c>
    </row>
    <row r="45" spans="1:17" ht="25.5">
      <c r="A45" s="655" t="s">
        <v>602</v>
      </c>
      <c r="B45" s="68" t="s">
        <v>602</v>
      </c>
      <c r="C45" s="621" t="s">
        <v>971</v>
      </c>
      <c r="D45" s="66" t="s">
        <v>638</v>
      </c>
      <c r="E45" s="590">
        <f>'[5]Расшиф. 4.9'!G38</f>
        <v>73</v>
      </c>
      <c r="F45" s="590"/>
      <c r="G45" s="599">
        <f>'Расшиф. 4.9 ЗП'!O38</f>
        <v>150</v>
      </c>
      <c r="H45" s="1190">
        <v>150</v>
      </c>
      <c r="I45" s="1459">
        <f>K45+J45</f>
        <v>150</v>
      </c>
      <c r="J45" s="599">
        <f>'Расшиф. 4.9 ЗП'!AD38</f>
        <v>0</v>
      </c>
      <c r="K45" s="1969">
        <v>150</v>
      </c>
      <c r="L45" s="1425">
        <f>M45+N45</f>
        <v>158.85</v>
      </c>
      <c r="M45" s="1426">
        <v>0</v>
      </c>
      <c r="N45" s="1427">
        <f>K45*1.059</f>
        <v>158.85</v>
      </c>
      <c r="O45" s="1425">
        <f>P45+Q45</f>
        <v>168.22214999999997</v>
      </c>
      <c r="P45" s="1426">
        <v>0</v>
      </c>
      <c r="Q45" s="1427">
        <f>N45*1.059</f>
        <v>168.22214999999997</v>
      </c>
    </row>
    <row r="46" spans="1:17" ht="63.75">
      <c r="A46" s="655" t="s">
        <v>604</v>
      </c>
      <c r="B46" s="68" t="s">
        <v>604</v>
      </c>
      <c r="C46" s="621" t="s">
        <v>972</v>
      </c>
      <c r="D46" s="66" t="s">
        <v>638</v>
      </c>
      <c r="E46" s="623"/>
      <c r="F46" s="623"/>
      <c r="G46" s="624"/>
      <c r="H46" s="1346"/>
      <c r="I46" s="1105"/>
      <c r="J46" s="1461"/>
      <c r="K46" s="1106"/>
      <c r="L46" s="1425"/>
      <c r="M46" s="1426"/>
      <c r="N46" s="1427"/>
      <c r="O46" s="1425"/>
      <c r="P46" s="1426"/>
      <c r="Q46" s="1427"/>
    </row>
    <row r="47" spans="1:17" ht="12.75">
      <c r="A47" s="655" t="s">
        <v>606</v>
      </c>
      <c r="B47" s="68" t="s">
        <v>606</v>
      </c>
      <c r="C47" s="621" t="s">
        <v>1721</v>
      </c>
      <c r="D47" s="66" t="s">
        <v>638</v>
      </c>
      <c r="E47" s="589">
        <f>'[5]Расшиф. 4.9'!G40</f>
        <v>1272</v>
      </c>
      <c r="F47" s="589">
        <f>'[5]Расшиф. 4.9'!K40</f>
        <v>1269</v>
      </c>
      <c r="G47" s="597">
        <f>'Расшиф. 4.9 ЗП'!O40</f>
        <v>1566</v>
      </c>
      <c r="H47" s="1446">
        <f>H44*30.2%</f>
        <v>2051.095190673485</v>
      </c>
      <c r="I47" s="1141">
        <f>'Расшиф. 4.9 ЗП'!AC40</f>
        <v>1916.685087178605</v>
      </c>
      <c r="J47" s="597">
        <f>'Расшиф. 4.9 ЗП'!AD40</f>
        <v>958.3425435893025</v>
      </c>
      <c r="K47" s="1142">
        <f>'Расшиф. 4.9 ЗП'!AE40</f>
        <v>958.3425435893025</v>
      </c>
      <c r="L47" s="1428">
        <f aca="true" t="shared" si="5" ref="L47:Q47">L44*30.2%</f>
        <v>2022.102766973428</v>
      </c>
      <c r="M47" s="1336">
        <f t="shared" si="5"/>
        <v>1011.051383486714</v>
      </c>
      <c r="N47" s="1429">
        <f t="shared" si="5"/>
        <v>1011.051383486714</v>
      </c>
      <c r="O47" s="1428">
        <f t="shared" si="5"/>
        <v>2133.3184191569667</v>
      </c>
      <c r="P47" s="1336">
        <f t="shared" si="5"/>
        <v>1066.6592095784833</v>
      </c>
      <c r="Q47" s="1429">
        <f t="shared" si="5"/>
        <v>1066.6592095784833</v>
      </c>
    </row>
    <row r="48" spans="1:17" ht="25.5">
      <c r="A48" s="655"/>
      <c r="B48" s="68"/>
      <c r="C48" s="621" t="s">
        <v>973</v>
      </c>
      <c r="D48" s="66"/>
      <c r="E48" s="4">
        <v>12</v>
      </c>
      <c r="F48" s="4">
        <v>12</v>
      </c>
      <c r="G48" s="32">
        <v>12</v>
      </c>
      <c r="H48" s="1348">
        <v>12</v>
      </c>
      <c r="I48" s="1118">
        <v>12</v>
      </c>
      <c r="J48" s="32">
        <v>6</v>
      </c>
      <c r="K48" s="1119">
        <v>6</v>
      </c>
      <c r="L48" s="1118">
        <v>12</v>
      </c>
      <c r="M48" s="32">
        <v>6</v>
      </c>
      <c r="N48" s="1119">
        <v>6</v>
      </c>
      <c r="O48" s="1118">
        <v>12</v>
      </c>
      <c r="P48" s="32">
        <v>6</v>
      </c>
      <c r="Q48" s="1119">
        <v>6</v>
      </c>
    </row>
    <row r="49" spans="1:17" ht="25.5">
      <c r="A49" s="1199" t="s">
        <v>613</v>
      </c>
      <c r="B49" s="67" t="s">
        <v>613</v>
      </c>
      <c r="C49" s="620" t="s">
        <v>974</v>
      </c>
      <c r="D49" s="637" t="s">
        <v>638</v>
      </c>
      <c r="E49" s="589">
        <f>SUM(E44:E47)</f>
        <v>5557.622439999999</v>
      </c>
      <c r="F49" s="589">
        <f>SUM(F44:F47)</f>
        <v>5474</v>
      </c>
      <c r="G49" s="1195">
        <f>G44+G45</f>
        <v>5964.4896</v>
      </c>
      <c r="H49" s="1195">
        <f aca="true" t="shared" si="6" ref="H49:Q49">H44+H45</f>
        <v>6941.705929382401</v>
      </c>
      <c r="I49" s="1970">
        <f t="shared" si="6"/>
        <v>6496.63936151856</v>
      </c>
      <c r="J49" s="1195">
        <f t="shared" si="6"/>
        <v>3173.31968075928</v>
      </c>
      <c r="K49" s="1142">
        <f t="shared" si="6"/>
        <v>3323.31968075928</v>
      </c>
      <c r="L49" s="1970">
        <f t="shared" si="6"/>
        <v>6854.55452640208</v>
      </c>
      <c r="M49" s="1195">
        <f t="shared" si="6"/>
        <v>3347.85226320104</v>
      </c>
      <c r="N49" s="1142">
        <f t="shared" si="6"/>
        <v>3506.70226320104</v>
      </c>
      <c r="O49" s="1970">
        <f t="shared" si="6"/>
        <v>7232.190425354193</v>
      </c>
      <c r="P49" s="1195">
        <f t="shared" si="6"/>
        <v>3531.984137677097</v>
      </c>
      <c r="Q49" s="1142">
        <f t="shared" si="6"/>
        <v>3700.206287677097</v>
      </c>
    </row>
    <row r="50" spans="1:17" ht="25.5">
      <c r="A50" s="655" t="s">
        <v>975</v>
      </c>
      <c r="B50" s="68" t="s">
        <v>975</v>
      </c>
      <c r="C50" s="634" t="s">
        <v>852</v>
      </c>
      <c r="D50" s="66"/>
      <c r="E50" s="4"/>
      <c r="F50" s="4"/>
      <c r="G50" s="32"/>
      <c r="H50" s="1348"/>
      <c r="I50" s="1118"/>
      <c r="J50" s="32"/>
      <c r="K50" s="1119"/>
      <c r="L50" s="1425"/>
      <c r="M50" s="1426"/>
      <c r="N50" s="1427"/>
      <c r="O50" s="1425"/>
      <c r="P50" s="1426"/>
      <c r="Q50" s="1427"/>
    </row>
    <row r="51" spans="1:17" ht="25.5">
      <c r="A51" s="655" t="s">
        <v>976</v>
      </c>
      <c r="B51" s="68" t="s">
        <v>976</v>
      </c>
      <c r="C51" s="634" t="s">
        <v>143</v>
      </c>
      <c r="D51" s="66" t="s">
        <v>638</v>
      </c>
      <c r="E51" s="590">
        <f>E49</f>
        <v>5557.622439999999</v>
      </c>
      <c r="F51" s="590">
        <f>F49</f>
        <v>5474</v>
      </c>
      <c r="G51" s="599">
        <f>G49+G47</f>
        <v>7530.4896</v>
      </c>
      <c r="H51" s="1190">
        <f aca="true" t="shared" si="7" ref="H51:Q51">H49+H47</f>
        <v>8992.801120055887</v>
      </c>
      <c r="I51" s="1214">
        <f t="shared" si="7"/>
        <v>8413.324448697165</v>
      </c>
      <c r="J51" s="599">
        <f t="shared" si="7"/>
        <v>4131.662224348583</v>
      </c>
      <c r="K51" s="1374">
        <f t="shared" si="7"/>
        <v>4281.662224348583</v>
      </c>
      <c r="L51" s="1214">
        <f t="shared" si="7"/>
        <v>8876.657293375509</v>
      </c>
      <c r="M51" s="599">
        <f t="shared" si="7"/>
        <v>4358.903646687754</v>
      </c>
      <c r="N51" s="1374">
        <f t="shared" si="7"/>
        <v>4517.753646687754</v>
      </c>
      <c r="O51" s="1214">
        <f t="shared" si="7"/>
        <v>9365.50884451116</v>
      </c>
      <c r="P51" s="599">
        <f t="shared" si="7"/>
        <v>4598.64334725558</v>
      </c>
      <c r="Q51" s="1374">
        <f t="shared" si="7"/>
        <v>4766.8654972555805</v>
      </c>
    </row>
    <row r="52" spans="1:17" ht="25.5">
      <c r="A52" s="655" t="s">
        <v>977</v>
      </c>
      <c r="B52" s="68" t="s">
        <v>977</v>
      </c>
      <c r="C52" s="634" t="s">
        <v>1757</v>
      </c>
      <c r="D52" s="66"/>
      <c r="E52" s="4"/>
      <c r="F52" s="4"/>
      <c r="G52" s="32"/>
      <c r="H52" s="1348"/>
      <c r="I52" s="1118"/>
      <c r="J52" s="32"/>
      <c r="K52" s="1119"/>
      <c r="L52" s="1418"/>
      <c r="M52" s="512"/>
      <c r="N52" s="1419"/>
      <c r="O52" s="1418"/>
      <c r="P52" s="512"/>
      <c r="Q52" s="1419"/>
    </row>
    <row r="53" spans="1:17" ht="13.5" thickBot="1">
      <c r="A53" s="655" t="s">
        <v>978</v>
      </c>
      <c r="B53" s="68" t="s">
        <v>978</v>
      </c>
      <c r="C53" s="634" t="s">
        <v>853</v>
      </c>
      <c r="D53" s="66"/>
      <c r="E53" s="4"/>
      <c r="F53" s="4"/>
      <c r="G53" s="32"/>
      <c r="H53" s="1348"/>
      <c r="I53" s="1227"/>
      <c r="J53" s="1228"/>
      <c r="K53" s="1971"/>
      <c r="L53" s="1430"/>
      <c r="M53" s="1431"/>
      <c r="N53" s="1432"/>
      <c r="O53" s="1430"/>
      <c r="P53" s="1431"/>
      <c r="Q53" s="1432"/>
    </row>
    <row r="54" spans="1:14" ht="39" hidden="1" outlineLevel="1">
      <c r="A54" s="493" t="s">
        <v>1019</v>
      </c>
      <c r="B54" s="625" t="s">
        <v>1019</v>
      </c>
      <c r="C54" s="626" t="s">
        <v>979</v>
      </c>
      <c r="D54" s="66"/>
      <c r="E54" s="4"/>
      <c r="F54" s="4"/>
      <c r="G54" s="32"/>
      <c r="H54" s="32"/>
      <c r="I54" s="1447"/>
      <c r="J54" s="1447"/>
      <c r="K54" s="1447"/>
      <c r="L54" s="1447"/>
      <c r="M54" s="1450"/>
      <c r="N54" s="1450"/>
    </row>
    <row r="55" spans="1:14" ht="12.75" hidden="1" outlineLevel="1">
      <c r="A55" s="493" t="s">
        <v>1308</v>
      </c>
      <c r="B55" s="68" t="s">
        <v>1308</v>
      </c>
      <c r="C55" s="621" t="s">
        <v>1416</v>
      </c>
      <c r="D55" s="66" t="s">
        <v>1412</v>
      </c>
      <c r="E55" s="4"/>
      <c r="F55" s="4"/>
      <c r="G55" s="32"/>
      <c r="H55" s="32"/>
      <c r="I55" s="32"/>
      <c r="J55" s="32"/>
      <c r="K55" s="32"/>
      <c r="L55" s="32"/>
      <c r="M55" s="4"/>
      <c r="N55" s="4"/>
    </row>
    <row r="56" spans="1:14" ht="12.75" hidden="1" outlineLevel="1">
      <c r="A56" s="493" t="s">
        <v>1309</v>
      </c>
      <c r="B56" s="68" t="s">
        <v>1309</v>
      </c>
      <c r="C56" s="621" t="s">
        <v>980</v>
      </c>
      <c r="D56" s="66" t="s">
        <v>1412</v>
      </c>
      <c r="E56" s="4"/>
      <c r="F56" s="4"/>
      <c r="G56" s="32"/>
      <c r="H56" s="32"/>
      <c r="I56" s="32"/>
      <c r="J56" s="32"/>
      <c r="K56" s="32"/>
      <c r="L56" s="32"/>
      <c r="M56" s="4"/>
      <c r="N56" s="4"/>
    </row>
    <row r="57" spans="1:14" ht="12.75" hidden="1" outlineLevel="1">
      <c r="A57" s="493" t="s">
        <v>1310</v>
      </c>
      <c r="B57" s="68" t="s">
        <v>1310</v>
      </c>
      <c r="C57" s="621" t="s">
        <v>981</v>
      </c>
      <c r="D57" s="66" t="s">
        <v>1369</v>
      </c>
      <c r="E57" s="4"/>
      <c r="F57" s="4"/>
      <c r="G57" s="32"/>
      <c r="H57" s="32"/>
      <c r="I57" s="32"/>
      <c r="J57" s="32"/>
      <c r="K57" s="32"/>
      <c r="L57" s="32"/>
      <c r="M57" s="4"/>
      <c r="N57" s="4"/>
    </row>
    <row r="58" spans="1:14" ht="12.75" hidden="1" outlineLevel="1">
      <c r="A58" s="493" t="s">
        <v>748</v>
      </c>
      <c r="B58" s="68" t="s">
        <v>748</v>
      </c>
      <c r="C58" s="621" t="s">
        <v>971</v>
      </c>
      <c r="D58" s="66" t="s">
        <v>638</v>
      </c>
      <c r="E58" s="4"/>
      <c r="F58" s="4"/>
      <c r="G58" s="32"/>
      <c r="H58" s="32"/>
      <c r="I58" s="32"/>
      <c r="J58" s="32"/>
      <c r="K58" s="32"/>
      <c r="L58" s="32"/>
      <c r="M58" s="4"/>
      <c r="N58" s="4"/>
    </row>
    <row r="59" spans="1:14" ht="12.75" hidden="1" outlineLevel="1">
      <c r="A59" s="493" t="s">
        <v>749</v>
      </c>
      <c r="B59" s="68" t="s">
        <v>749</v>
      </c>
      <c r="C59" s="621" t="s">
        <v>982</v>
      </c>
      <c r="D59" s="66" t="s">
        <v>638</v>
      </c>
      <c r="E59" s="4"/>
      <c r="F59" s="4"/>
      <c r="G59" s="32"/>
      <c r="H59" s="32"/>
      <c r="I59" s="32"/>
      <c r="J59" s="32"/>
      <c r="K59" s="32"/>
      <c r="L59" s="32"/>
      <c r="M59" s="4"/>
      <c r="N59" s="4"/>
    </row>
    <row r="60" spans="1:14" ht="12.75" hidden="1" outlineLevel="1">
      <c r="A60" s="493" t="s">
        <v>1615</v>
      </c>
      <c r="B60" s="68" t="s">
        <v>1615</v>
      </c>
      <c r="C60" s="621" t="s">
        <v>983</v>
      </c>
      <c r="D60" s="66" t="s">
        <v>638</v>
      </c>
      <c r="E60" s="4"/>
      <c r="F60" s="4"/>
      <c r="G60" s="32"/>
      <c r="H60" s="32"/>
      <c r="I60" s="32"/>
      <c r="J60" s="32"/>
      <c r="K60" s="32"/>
      <c r="L60" s="32"/>
      <c r="M60" s="4"/>
      <c r="N60" s="4"/>
    </row>
    <row r="61" spans="1:14" ht="26.25" hidden="1" outlineLevel="1">
      <c r="A61" s="493" t="s">
        <v>984</v>
      </c>
      <c r="B61" s="68" t="s">
        <v>984</v>
      </c>
      <c r="C61" s="69" t="s">
        <v>852</v>
      </c>
      <c r="D61" s="66" t="s">
        <v>638</v>
      </c>
      <c r="E61" s="4"/>
      <c r="F61" s="4"/>
      <c r="G61" s="32"/>
      <c r="H61" s="32"/>
      <c r="I61" s="32"/>
      <c r="J61" s="32"/>
      <c r="K61" s="32"/>
      <c r="L61" s="32"/>
      <c r="M61" s="4"/>
      <c r="N61" s="4"/>
    </row>
    <row r="62" spans="1:14" ht="12.75" hidden="1" outlineLevel="1">
      <c r="A62" s="493" t="s">
        <v>985</v>
      </c>
      <c r="B62" s="68" t="s">
        <v>985</v>
      </c>
      <c r="C62" s="69" t="s">
        <v>143</v>
      </c>
      <c r="D62" s="66" t="s">
        <v>638</v>
      </c>
      <c r="E62" s="4"/>
      <c r="F62" s="4"/>
      <c r="G62" s="32"/>
      <c r="H62" s="32"/>
      <c r="I62" s="32"/>
      <c r="J62" s="32"/>
      <c r="K62" s="32"/>
      <c r="L62" s="32"/>
      <c r="M62" s="4"/>
      <c r="N62" s="4"/>
    </row>
    <row r="63" spans="1:14" ht="12.75" hidden="1" outlineLevel="1">
      <c r="A63" s="493" t="s">
        <v>986</v>
      </c>
      <c r="B63" s="68" t="s">
        <v>986</v>
      </c>
      <c r="C63" s="69" t="s">
        <v>1757</v>
      </c>
      <c r="D63" s="66" t="s">
        <v>638</v>
      </c>
      <c r="E63" s="4"/>
      <c r="F63" s="4"/>
      <c r="G63" s="32"/>
      <c r="H63" s="32"/>
      <c r="I63" s="32"/>
      <c r="J63" s="32"/>
      <c r="K63" s="32"/>
      <c r="L63" s="32"/>
      <c r="M63" s="4"/>
      <c r="N63" s="4"/>
    </row>
    <row r="64" spans="1:14" ht="12.75" hidden="1" outlineLevel="1">
      <c r="A64" s="493" t="s">
        <v>987</v>
      </c>
      <c r="B64" s="68" t="s">
        <v>987</v>
      </c>
      <c r="C64" s="69" t="s">
        <v>853</v>
      </c>
      <c r="D64" s="66" t="s">
        <v>638</v>
      </c>
      <c r="E64" s="4"/>
      <c r="F64" s="4"/>
      <c r="G64" s="32"/>
      <c r="H64" s="32"/>
      <c r="I64" s="32"/>
      <c r="J64" s="32"/>
      <c r="K64" s="32"/>
      <c r="L64" s="32"/>
      <c r="M64" s="4"/>
      <c r="N64" s="4"/>
    </row>
    <row r="65" spans="1:14" ht="26.25" hidden="1" outlineLevel="1">
      <c r="A65" s="493" t="s">
        <v>988</v>
      </c>
      <c r="B65" s="68" t="s">
        <v>988</v>
      </c>
      <c r="C65" s="21" t="s">
        <v>586</v>
      </c>
      <c r="D65" s="637" t="s">
        <v>1307</v>
      </c>
      <c r="E65" s="4"/>
      <c r="F65" s="4"/>
      <c r="G65" s="596"/>
      <c r="H65" s="596"/>
      <c r="I65" s="596"/>
      <c r="J65" s="596"/>
      <c r="K65" s="596"/>
      <c r="L65" s="596"/>
      <c r="M65" s="531"/>
      <c r="N65" s="531"/>
    </row>
    <row r="66" spans="2:14" ht="12.75" collapsed="1">
      <c r="B66" s="655"/>
      <c r="C66" s="656"/>
      <c r="D66" s="657"/>
      <c r="E66" s="493"/>
      <c r="F66" s="493"/>
      <c r="G66" s="1229"/>
      <c r="H66" s="1229"/>
      <c r="I66" s="1229"/>
      <c r="J66" s="1229"/>
      <c r="K66" s="1229"/>
      <c r="L66" s="1229"/>
      <c r="M66" s="658"/>
      <c r="N66" s="658"/>
    </row>
    <row r="67" spans="1:7" ht="13.5" hidden="1" outlineLevel="1">
      <c r="A67" s="493" t="s">
        <v>35</v>
      </c>
      <c r="B67" s="113" t="s">
        <v>35</v>
      </c>
      <c r="D67" s="7"/>
      <c r="E67" s="7"/>
      <c r="F67" s="7"/>
      <c r="G67" s="1230"/>
    </row>
    <row r="68" spans="1:92" ht="47.25" customHeight="1" hidden="1" outlineLevel="1">
      <c r="A68" s="493" t="s">
        <v>637</v>
      </c>
      <c r="B68" s="116" t="s">
        <v>637</v>
      </c>
      <c r="C68" s="1951" t="s">
        <v>1738</v>
      </c>
      <c r="D68" s="1951"/>
      <c r="E68" s="1951"/>
      <c r="F68" s="1951"/>
      <c r="G68" s="1951"/>
      <c r="H68" s="1951"/>
      <c r="I68" s="1951"/>
      <c r="J68" s="1951"/>
      <c r="K68" s="1951"/>
      <c r="L68" s="1951"/>
      <c r="M68" s="1951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</row>
    <row r="69" spans="1:92" ht="47.25" customHeight="1" hidden="1" outlineLevel="1">
      <c r="A69" s="493" t="s">
        <v>639</v>
      </c>
      <c r="B69" s="116" t="s">
        <v>639</v>
      </c>
      <c r="C69" s="1951" t="s">
        <v>587</v>
      </c>
      <c r="D69" s="1951"/>
      <c r="E69" s="1951"/>
      <c r="F69" s="1951"/>
      <c r="G69" s="1951"/>
      <c r="H69" s="1951"/>
      <c r="I69" s="1951"/>
      <c r="J69" s="1951"/>
      <c r="K69" s="1951"/>
      <c r="L69" s="1951"/>
      <c r="M69" s="1951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</row>
    <row r="70" spans="1:14" ht="29.25" customHeight="1" hidden="1" outlineLevel="1">
      <c r="A70" s="493" t="s">
        <v>656</v>
      </c>
      <c r="B70" s="543" t="s">
        <v>656</v>
      </c>
      <c r="C70" s="2205" t="s">
        <v>1542</v>
      </c>
      <c r="D70" s="2205"/>
      <c r="E70" s="2205"/>
      <c r="F70" s="2205"/>
      <c r="G70" s="2205"/>
      <c r="H70" s="2205"/>
      <c r="I70" s="2205"/>
      <c r="J70" s="2205"/>
      <c r="K70" s="2205"/>
      <c r="L70" s="2205"/>
      <c r="M70" s="2205"/>
      <c r="N70" s="2205"/>
    </row>
    <row r="71" spans="2:14" ht="18" customHeight="1" collapsed="1">
      <c r="B71" s="543"/>
      <c r="C71" s="931"/>
      <c r="D71" s="931"/>
      <c r="E71" s="931"/>
      <c r="F71" s="931"/>
      <c r="G71" s="1231"/>
      <c r="H71" s="1231"/>
      <c r="I71" s="1231"/>
      <c r="J71" s="1231"/>
      <c r="K71" s="1231"/>
      <c r="L71" s="1231"/>
      <c r="M71" s="931"/>
      <c r="N71" s="931"/>
    </row>
    <row r="72" ht="12.75" hidden="1" outlineLevel="1">
      <c r="B72" s="659" t="s">
        <v>1722</v>
      </c>
    </row>
    <row r="73" spans="1:14" ht="12.75" hidden="1" outlineLevel="1">
      <c r="A73" s="493">
        <v>11</v>
      </c>
      <c r="B73" s="14">
        <v>1</v>
      </c>
      <c r="C73" s="1232" t="s">
        <v>1723</v>
      </c>
      <c r="D73" s="531" t="s">
        <v>638</v>
      </c>
      <c r="E73" s="597">
        <f>'[5]Расшиф. 4.9'!K48</f>
        <v>0</v>
      </c>
      <c r="F73" s="597">
        <f>'[5]Расшиф. 4.9'!L48</f>
        <v>0</v>
      </c>
      <c r="G73" s="597">
        <f>'[5]Расшиф. 4.9'!O48</f>
        <v>0</v>
      </c>
      <c r="H73" s="597">
        <f>'[5]Расшиф. 4.9'!S48</f>
        <v>0</v>
      </c>
      <c r="I73" s="597">
        <f>'[5]Расшиф. 4.9'!AC48</f>
        <v>0</v>
      </c>
      <c r="J73" s="597">
        <f>'[5]Расшиф. 4.9'!AD48</f>
        <v>0</v>
      </c>
      <c r="K73" s="597" t="str">
        <f>'[5]Расшиф. 4.9'!AE48</f>
        <v>Расчет отчислений на социальные нужды на 2016 год</v>
      </c>
      <c r="L73" s="597">
        <f aca="true" t="shared" si="8" ref="L73:N74">I73</f>
        <v>0</v>
      </c>
      <c r="M73" s="597">
        <f t="shared" si="8"/>
        <v>0</v>
      </c>
      <c r="N73" s="597" t="str">
        <f t="shared" si="8"/>
        <v>Расчет отчислений на социальные нужды на 2016 год</v>
      </c>
    </row>
    <row r="74" spans="1:14" ht="12.75" hidden="1" outlineLevel="1">
      <c r="A74" s="493">
        <v>2</v>
      </c>
      <c r="B74" s="14" t="s">
        <v>1009</v>
      </c>
      <c r="C74" s="36" t="s">
        <v>1724</v>
      </c>
      <c r="D74" s="4" t="s">
        <v>1307</v>
      </c>
      <c r="E74" s="1233">
        <f>'[5]Расшиф. 4.9'!K49</f>
        <v>0</v>
      </c>
      <c r="F74" s="1233">
        <f>'[5]Расшиф. 4.9'!L49</f>
        <v>0</v>
      </c>
      <c r="G74" s="1233">
        <f>'[5]Расшиф. 4.9'!O49</f>
        <v>0</v>
      </c>
      <c r="H74" s="1233">
        <f>'[5]Расшиф. 4.9'!S49</f>
        <v>0</v>
      </c>
      <c r="I74" s="1233">
        <f>'[5]Расшиф. 4.9'!AC49</f>
        <v>0</v>
      </c>
      <c r="J74" s="1233">
        <f>'[5]Расшиф. 4.9'!AD49</f>
        <v>0</v>
      </c>
      <c r="K74" s="1233">
        <f>'[5]Расшиф. 4.9'!AE49</f>
        <v>0</v>
      </c>
      <c r="L74" s="1233">
        <f t="shared" si="8"/>
        <v>0</v>
      </c>
      <c r="M74" s="1233">
        <f t="shared" si="8"/>
        <v>0</v>
      </c>
      <c r="N74" s="1233">
        <f t="shared" si="8"/>
        <v>0</v>
      </c>
    </row>
    <row r="75" spans="2:14" ht="26.25" hidden="1" outlineLevel="1">
      <c r="B75" s="14" t="s">
        <v>1017</v>
      </c>
      <c r="C75" s="1232" t="s">
        <v>1725</v>
      </c>
      <c r="D75" s="4"/>
      <c r="E75" s="1234"/>
      <c r="F75" s="1234"/>
      <c r="G75" s="1234"/>
      <c r="H75" s="1234"/>
      <c r="I75" s="1234"/>
      <c r="J75" s="1234"/>
      <c r="K75" s="1234"/>
      <c r="L75" s="1234"/>
      <c r="M75" s="1234"/>
      <c r="N75" s="1234"/>
    </row>
    <row r="76" spans="1:14" ht="12.75" hidden="1" outlineLevel="1">
      <c r="A76" s="493">
        <v>3</v>
      </c>
      <c r="B76" s="14" t="s">
        <v>1009</v>
      </c>
      <c r="C76" s="36" t="s">
        <v>1726</v>
      </c>
      <c r="D76" s="531" t="s">
        <v>1369</v>
      </c>
      <c r="E76" s="635">
        <v>0</v>
      </c>
      <c r="F76" s="635">
        <v>0</v>
      </c>
      <c r="G76" s="635">
        <v>0</v>
      </c>
      <c r="H76" s="635">
        <f>H77/H48/H18*1000</f>
        <v>0</v>
      </c>
      <c r="I76" s="635">
        <v>0</v>
      </c>
      <c r="J76" s="635">
        <f>$I$76</f>
        <v>0</v>
      </c>
      <c r="K76" s="635">
        <f>$I$76</f>
        <v>0</v>
      </c>
      <c r="L76" s="635">
        <v>0</v>
      </c>
      <c r="M76" s="635">
        <f>L76</f>
        <v>0</v>
      </c>
      <c r="N76" s="635">
        <f>L76</f>
        <v>0</v>
      </c>
    </row>
    <row r="77" spans="1:14" ht="12.75" hidden="1" outlineLevel="1">
      <c r="A77" s="493">
        <v>4</v>
      </c>
      <c r="B77" s="14" t="s">
        <v>145</v>
      </c>
      <c r="C77" s="685" t="s">
        <v>1727</v>
      </c>
      <c r="D77" s="531" t="s">
        <v>638</v>
      </c>
      <c r="E77" s="597">
        <f>E18*E76*E48/1000</f>
        <v>0</v>
      </c>
      <c r="F77" s="597">
        <f>F18*F76*F48/1000</f>
        <v>0</v>
      </c>
      <c r="G77" s="597">
        <f>G18*G76*G48/1000</f>
        <v>0</v>
      </c>
      <c r="H77" s="597">
        <f>G77</f>
        <v>0</v>
      </c>
      <c r="I77" s="597">
        <f aca="true" t="shared" si="9" ref="I77:N77">I18*I76*I48/1000</f>
        <v>0</v>
      </c>
      <c r="J77" s="597">
        <f t="shared" si="9"/>
        <v>0</v>
      </c>
      <c r="K77" s="597">
        <f t="shared" si="9"/>
        <v>0</v>
      </c>
      <c r="L77" s="597">
        <f t="shared" si="9"/>
        <v>0</v>
      </c>
      <c r="M77" s="597">
        <f t="shared" si="9"/>
        <v>0</v>
      </c>
      <c r="N77" s="597">
        <f t="shared" si="9"/>
        <v>0</v>
      </c>
    </row>
    <row r="78" ht="12.75" collapsed="1"/>
    <row r="79" spans="3:14" ht="15.75">
      <c r="C79" s="10" t="s">
        <v>268</v>
      </c>
      <c r="D79" s="10"/>
      <c r="E79" s="10" t="s">
        <v>1197</v>
      </c>
      <c r="F79" s="10"/>
      <c r="G79" s="97"/>
      <c r="L79" s="1235"/>
      <c r="M79" s="1236"/>
      <c r="N79" s="1236"/>
    </row>
    <row r="80" spans="12:14" ht="12.75">
      <c r="L80" s="1235"/>
      <c r="M80" s="1236"/>
      <c r="N80" s="1236"/>
    </row>
    <row r="81" spans="2:14" ht="12.75">
      <c r="B81" s="52"/>
      <c r="C81" s="52"/>
      <c r="D81" s="52"/>
      <c r="E81" s="52"/>
      <c r="F81" s="52"/>
      <c r="G81" s="509"/>
      <c r="H81" s="509"/>
      <c r="I81" s="509"/>
      <c r="J81" s="509"/>
      <c r="K81" s="509"/>
      <c r="L81" s="1237"/>
      <c r="M81" s="1238"/>
      <c r="N81" s="1238"/>
    </row>
    <row r="82" spans="1:14" ht="12.75">
      <c r="A82" s="1239"/>
      <c r="L82" s="1235"/>
      <c r="M82" s="1236"/>
      <c r="N82" s="1236"/>
    </row>
    <row r="86" ht="12.75">
      <c r="L86" s="1240"/>
    </row>
    <row r="87" ht="12.75">
      <c r="L87" s="1240"/>
    </row>
    <row r="88" ht="12.75">
      <c r="L88" s="1240"/>
    </row>
  </sheetData>
  <sheetProtection/>
  <mergeCells count="15">
    <mergeCell ref="B6:B8"/>
    <mergeCell ref="C6:C8"/>
    <mergeCell ref="E6:H6"/>
    <mergeCell ref="E7:E8"/>
    <mergeCell ref="G7:G8"/>
    <mergeCell ref="H7:H8"/>
    <mergeCell ref="O7:Q7"/>
    <mergeCell ref="I6:Q6"/>
    <mergeCell ref="C69:M69"/>
    <mergeCell ref="C70:N70"/>
    <mergeCell ref="D6:D8"/>
    <mergeCell ref="I7:K7"/>
    <mergeCell ref="L7:N7"/>
    <mergeCell ref="C68:M68"/>
    <mergeCell ref="F7:F8"/>
  </mergeCells>
  <printOptions horizontalCentered="1"/>
  <pageMargins left="0.7480314960629921" right="0.1968503937007874" top="0.5905511811023623" bottom="0.3937007874015748" header="0.31496062992125984" footer="0.31496062992125984"/>
  <pageSetup fitToHeight="1" fitToWidth="1" horizontalDpi="600" verticalDpi="600" orientation="landscape" paperSize="9" scale="61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S56"/>
  <sheetViews>
    <sheetView view="pageBreakPreview" zoomScale="75" zoomScaleNormal="75" zoomScaleSheetLayoutView="75" workbookViewId="0" topLeftCell="A1">
      <pane xSplit="3" ySplit="11" topLeftCell="O12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A2" sqref="A2"/>
    </sheetView>
  </sheetViews>
  <sheetFormatPr defaultColWidth="9.140625" defaultRowHeight="15" outlineLevelCol="1"/>
  <cols>
    <col min="1" max="1" width="6.8515625" style="1" customWidth="1"/>
    <col min="2" max="2" width="31.7109375" style="1" customWidth="1"/>
    <col min="3" max="3" width="10.7109375" style="1" customWidth="1"/>
    <col min="4" max="6" width="10.7109375" style="1" hidden="1" customWidth="1"/>
    <col min="7" max="7" width="11.57421875" style="1" hidden="1" customWidth="1"/>
    <col min="8" max="8" width="12.00390625" style="1" hidden="1" customWidth="1" outlineLevel="1"/>
    <col min="9" max="9" width="11.140625" style="1" hidden="1" customWidth="1" outlineLevel="1"/>
    <col min="10" max="10" width="11.8515625" style="1" hidden="1" customWidth="1" outlineLevel="1"/>
    <col min="11" max="11" width="11.8515625" style="1" hidden="1" customWidth="1" collapsed="1"/>
    <col min="12" max="12" width="12.00390625" style="1" hidden="1" customWidth="1" outlineLevel="1"/>
    <col min="13" max="13" width="11.140625" style="1" hidden="1" customWidth="1" outlineLevel="1"/>
    <col min="14" max="14" width="11.8515625" style="1" hidden="1" customWidth="1" outlineLevel="1"/>
    <col min="15" max="15" width="11.8515625" style="1" customWidth="1" collapsed="1"/>
    <col min="16" max="16" width="12.00390625" style="1" hidden="1" customWidth="1" outlineLevel="1"/>
    <col min="17" max="17" width="11.140625" style="1" hidden="1" customWidth="1" outlineLevel="1"/>
    <col min="18" max="18" width="11.8515625" style="1" hidden="1" customWidth="1" outlineLevel="1"/>
    <col min="19" max="19" width="11.8515625" style="1" customWidth="1" collapsed="1"/>
    <col min="20" max="20" width="12.00390625" style="1" customWidth="1" outlineLevel="1"/>
    <col min="21" max="21" width="11.140625" style="1" customWidth="1" outlineLevel="1"/>
    <col min="22" max="22" width="11.8515625" style="1" customWidth="1" outlineLevel="1"/>
    <col min="23" max="23" width="11.00390625" style="1" customWidth="1" outlineLevel="1"/>
    <col min="24" max="25" width="10.8515625" style="1" customWidth="1" outlineLevel="1"/>
    <col min="26" max="26" width="11.28125" style="1" customWidth="1" outlineLevel="1"/>
    <col min="27" max="28" width="10.8515625" style="1" customWidth="1" outlineLevel="1"/>
    <col min="29" max="29" width="11.28125" style="1" customWidth="1"/>
    <col min="30" max="31" width="10.8515625" style="1" customWidth="1"/>
    <col min="32" max="16384" width="9.140625" style="1" customWidth="1"/>
  </cols>
  <sheetData>
    <row r="1" spans="1:31" ht="15" customHeight="1">
      <c r="A1" s="52" t="s">
        <v>5</v>
      </c>
      <c r="B1" s="52"/>
      <c r="C1" s="52"/>
      <c r="D1" s="52"/>
      <c r="E1" s="52"/>
      <c r="F1" s="52"/>
      <c r="G1" s="52"/>
      <c r="H1" s="52"/>
      <c r="L1" s="52"/>
      <c r="P1" s="52"/>
      <c r="T1" s="52"/>
      <c r="Y1" s="2" t="s">
        <v>1409</v>
      </c>
      <c r="AB1" s="2"/>
      <c r="AE1" s="2"/>
    </row>
    <row r="2" spans="1:20" ht="12.75">
      <c r="A2" s="52" t="s">
        <v>126</v>
      </c>
      <c r="B2" s="52"/>
      <c r="C2" s="52"/>
      <c r="D2" s="52"/>
      <c r="E2" s="52"/>
      <c r="F2" s="52"/>
      <c r="G2" s="52"/>
      <c r="H2" s="52"/>
      <c r="L2" s="52"/>
      <c r="P2" s="52"/>
      <c r="T2" s="52"/>
    </row>
    <row r="4" spans="1:31" ht="16.5">
      <c r="A4" s="33" t="s">
        <v>1612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7" ht="15">
      <c r="A5" s="666" t="str">
        <f>'[5]4.1'!B6</f>
        <v>Усть-Камчатское муниципальное образование</v>
      </c>
      <c r="B5" s="619"/>
      <c r="C5" s="619"/>
      <c r="D5" s="619"/>
      <c r="E5" s="619"/>
      <c r="F5" s="619"/>
      <c r="G5" s="619"/>
    </row>
    <row r="6" spans="1:43" ht="34.5" customHeight="1" thickBot="1">
      <c r="A6" s="2006" t="s">
        <v>1008</v>
      </c>
      <c r="B6" s="2029" t="s">
        <v>1016</v>
      </c>
      <c r="C6" s="2005" t="s">
        <v>161</v>
      </c>
      <c r="D6" s="1990" t="s">
        <v>1660</v>
      </c>
      <c r="E6" s="1991"/>
      <c r="F6" s="1991"/>
      <c r="G6" s="2221"/>
      <c r="H6" s="2225" t="s">
        <v>1661</v>
      </c>
      <c r="I6" s="2226"/>
      <c r="J6" s="2226"/>
      <c r="K6" s="2227"/>
      <c r="L6" s="2231" t="s">
        <v>1005</v>
      </c>
      <c r="M6" s="2232"/>
      <c r="N6" s="2232"/>
      <c r="O6" s="2232"/>
      <c r="P6" s="2232"/>
      <c r="Q6" s="2232"/>
      <c r="R6" s="2232"/>
      <c r="S6" s="2233"/>
      <c r="T6" s="2228" t="s">
        <v>1007</v>
      </c>
      <c r="U6" s="2229"/>
      <c r="V6" s="2229"/>
      <c r="W6" s="2229"/>
      <c r="X6" s="2229"/>
      <c r="Y6" s="2229"/>
      <c r="Z6" s="2229"/>
      <c r="AA6" s="2229"/>
      <c r="AB6" s="2229"/>
      <c r="AC6" s="2229"/>
      <c r="AD6" s="2229"/>
      <c r="AE6" s="2229"/>
      <c r="AF6" s="2229"/>
      <c r="AG6" s="2229"/>
      <c r="AH6" s="2229"/>
      <c r="AI6" s="2229"/>
      <c r="AJ6" s="2229"/>
      <c r="AK6" s="2229"/>
      <c r="AL6" s="2229"/>
      <c r="AM6" s="2229"/>
      <c r="AN6" s="2229"/>
      <c r="AO6" s="2229"/>
      <c r="AP6" s="2229"/>
      <c r="AQ6" s="2230"/>
    </row>
    <row r="7" spans="1:43" ht="30.75" customHeight="1">
      <c r="A7" s="2007"/>
      <c r="B7" s="2010"/>
      <c r="C7" s="2005"/>
      <c r="D7" s="1021" t="s">
        <v>1543</v>
      </c>
      <c r="E7" s="1021" t="s">
        <v>1544</v>
      </c>
      <c r="F7" s="1022" t="s">
        <v>1545</v>
      </c>
      <c r="G7" s="1023" t="s">
        <v>1546</v>
      </c>
      <c r="H7" s="1024" t="s">
        <v>1543</v>
      </c>
      <c r="I7" s="1021" t="s">
        <v>1544</v>
      </c>
      <c r="J7" s="1022" t="s">
        <v>1545</v>
      </c>
      <c r="K7" s="1023" t="s">
        <v>1546</v>
      </c>
      <c r="L7" s="1021" t="s">
        <v>1543</v>
      </c>
      <c r="M7" s="1021" t="s">
        <v>1544</v>
      </c>
      <c r="N7" s="1177" t="s">
        <v>1545</v>
      </c>
      <c r="O7" s="1990" t="s">
        <v>1715</v>
      </c>
      <c r="P7" s="1991"/>
      <c r="Q7" s="1991"/>
      <c r="R7" s="2221"/>
      <c r="S7" s="1925" t="s">
        <v>943</v>
      </c>
      <c r="T7" s="2222" t="s">
        <v>1543</v>
      </c>
      <c r="U7" s="2223"/>
      <c r="V7" s="2224"/>
      <c r="W7" s="2214" t="s">
        <v>1544</v>
      </c>
      <c r="X7" s="2215"/>
      <c r="Y7" s="2216"/>
      <c r="Z7" s="2214" t="s">
        <v>1545</v>
      </c>
      <c r="AA7" s="2215"/>
      <c r="AB7" s="2217"/>
      <c r="AC7" s="2218" t="s">
        <v>944</v>
      </c>
      <c r="AD7" s="2219"/>
      <c r="AE7" s="2220"/>
      <c r="AF7" s="2234" t="s">
        <v>1543</v>
      </c>
      <c r="AG7" s="2235"/>
      <c r="AH7" s="2236"/>
      <c r="AI7" s="2237" t="s">
        <v>1544</v>
      </c>
      <c r="AJ7" s="2235"/>
      <c r="AK7" s="2236"/>
      <c r="AL7" s="2237" t="s">
        <v>1545</v>
      </c>
      <c r="AM7" s="2235"/>
      <c r="AN7" s="2235"/>
      <c r="AO7" s="2238" t="s">
        <v>1662</v>
      </c>
      <c r="AP7" s="2239"/>
      <c r="AQ7" s="2240"/>
    </row>
    <row r="8" spans="1:43" ht="27" customHeight="1">
      <c r="A8" s="2003"/>
      <c r="B8" s="2021"/>
      <c r="C8" s="2005"/>
      <c r="D8" s="1021" t="s">
        <v>1547</v>
      </c>
      <c r="E8" s="1021" t="s">
        <v>1547</v>
      </c>
      <c r="F8" s="1022" t="s">
        <v>1547</v>
      </c>
      <c r="G8" s="1026" t="s">
        <v>1547</v>
      </c>
      <c r="H8" s="1024" t="s">
        <v>1547</v>
      </c>
      <c r="I8" s="1021" t="s">
        <v>1547</v>
      </c>
      <c r="J8" s="1022" t="s">
        <v>1547</v>
      </c>
      <c r="K8" s="1026" t="s">
        <v>1547</v>
      </c>
      <c r="L8" s="1021" t="s">
        <v>1547</v>
      </c>
      <c r="M8" s="1021" t="s">
        <v>1547</v>
      </c>
      <c r="N8" s="1177" t="s">
        <v>1547</v>
      </c>
      <c r="O8" s="1026" t="s">
        <v>1547</v>
      </c>
      <c r="P8" s="1885" t="s">
        <v>1547</v>
      </c>
      <c r="Q8" s="1027" t="s">
        <v>1547</v>
      </c>
      <c r="R8" s="1875" t="s">
        <v>1547</v>
      </c>
      <c r="S8" s="1886" t="s">
        <v>1547</v>
      </c>
      <c r="T8" s="1025" t="s">
        <v>1547</v>
      </c>
      <c r="U8" s="1027" t="s">
        <v>707</v>
      </c>
      <c r="V8" s="1027" t="s">
        <v>708</v>
      </c>
      <c r="W8" s="1027" t="s">
        <v>1547</v>
      </c>
      <c r="X8" s="1027" t="s">
        <v>707</v>
      </c>
      <c r="Y8" s="1027" t="s">
        <v>708</v>
      </c>
      <c r="Z8" s="1027" t="s">
        <v>1547</v>
      </c>
      <c r="AA8" s="1027" t="s">
        <v>707</v>
      </c>
      <c r="AB8" s="1342" t="s">
        <v>708</v>
      </c>
      <c r="AC8" s="1028" t="s">
        <v>1547</v>
      </c>
      <c r="AD8" s="1027" t="s">
        <v>707</v>
      </c>
      <c r="AE8" s="1029" t="s">
        <v>708</v>
      </c>
      <c r="AF8" s="1355" t="s">
        <v>1547</v>
      </c>
      <c r="AG8" s="1242" t="s">
        <v>707</v>
      </c>
      <c r="AH8" s="1242" t="s">
        <v>708</v>
      </c>
      <c r="AI8" s="1242" t="s">
        <v>1547</v>
      </c>
      <c r="AJ8" s="1242" t="s">
        <v>707</v>
      </c>
      <c r="AK8" s="1242" t="s">
        <v>708</v>
      </c>
      <c r="AL8" s="1242" t="s">
        <v>1547</v>
      </c>
      <c r="AM8" s="1242" t="s">
        <v>707</v>
      </c>
      <c r="AN8" s="1241" t="s">
        <v>708</v>
      </c>
      <c r="AO8" s="1243" t="s">
        <v>1547</v>
      </c>
      <c r="AP8" s="1242" t="s">
        <v>707</v>
      </c>
      <c r="AQ8" s="1244" t="s">
        <v>708</v>
      </c>
    </row>
    <row r="9" spans="1:43" ht="12.75">
      <c r="A9" s="43">
        <v>1</v>
      </c>
      <c r="B9" s="49">
        <v>2</v>
      </c>
      <c r="C9" s="43">
        <v>3</v>
      </c>
      <c r="D9" s="49"/>
      <c r="E9" s="49"/>
      <c r="F9" s="49"/>
      <c r="G9" s="1030"/>
      <c r="H9" s="49">
        <v>4</v>
      </c>
      <c r="I9" s="43">
        <v>5</v>
      </c>
      <c r="J9" s="50">
        <v>6</v>
      </c>
      <c r="K9" s="1031">
        <v>7</v>
      </c>
      <c r="L9" s="49">
        <v>8</v>
      </c>
      <c r="M9" s="43">
        <v>9</v>
      </c>
      <c r="N9" s="806">
        <v>10</v>
      </c>
      <c r="O9" s="1031">
        <v>11</v>
      </c>
      <c r="P9" s="1887">
        <v>12</v>
      </c>
      <c r="Q9" s="528">
        <v>13</v>
      </c>
      <c r="R9" s="523">
        <v>14</v>
      </c>
      <c r="S9" s="1888">
        <v>15</v>
      </c>
      <c r="T9" s="1007">
        <v>16</v>
      </c>
      <c r="U9" s="528">
        <v>17</v>
      </c>
      <c r="V9" s="66">
        <v>18</v>
      </c>
      <c r="W9" s="66">
        <v>19</v>
      </c>
      <c r="X9" s="66">
        <v>20</v>
      </c>
      <c r="Y9" s="1007">
        <v>21</v>
      </c>
      <c r="Z9" s="528">
        <v>22</v>
      </c>
      <c r="AA9" s="66">
        <v>23</v>
      </c>
      <c r="AB9" s="1343">
        <v>24</v>
      </c>
      <c r="AC9" s="1032">
        <v>25</v>
      </c>
      <c r="AD9" s="66">
        <v>26</v>
      </c>
      <c r="AE9" s="1033">
        <v>27</v>
      </c>
      <c r="AF9" s="1356">
        <v>16</v>
      </c>
      <c r="AG9" s="1246">
        <v>17</v>
      </c>
      <c r="AH9" s="1247">
        <v>18</v>
      </c>
      <c r="AI9" s="1247">
        <v>19</v>
      </c>
      <c r="AJ9" s="1247">
        <v>20</v>
      </c>
      <c r="AK9" s="1245">
        <v>21</v>
      </c>
      <c r="AL9" s="1246">
        <v>22</v>
      </c>
      <c r="AM9" s="1247">
        <v>23</v>
      </c>
      <c r="AN9" s="1248">
        <v>24</v>
      </c>
      <c r="AO9" s="1249">
        <v>25</v>
      </c>
      <c r="AP9" s="1247">
        <v>26</v>
      </c>
      <c r="AQ9" s="1250">
        <v>27</v>
      </c>
    </row>
    <row r="10" spans="1:43" ht="12.75" hidden="1">
      <c r="A10" s="68" t="s">
        <v>1009</v>
      </c>
      <c r="B10" s="621" t="s">
        <v>1411</v>
      </c>
      <c r="C10" s="1034" t="s">
        <v>1412</v>
      </c>
      <c r="D10" s="1034"/>
      <c r="E10" s="1034"/>
      <c r="F10" s="1035"/>
      <c r="G10" s="1036"/>
      <c r="H10" s="1037"/>
      <c r="I10" s="635"/>
      <c r="J10" s="1038"/>
      <c r="K10" s="1039"/>
      <c r="L10" s="1040"/>
      <c r="M10" s="1040"/>
      <c r="N10" s="1178"/>
      <c r="O10" s="1039"/>
      <c r="P10" s="1889">
        <v>0</v>
      </c>
      <c r="Q10" s="1041">
        <v>0</v>
      </c>
      <c r="R10" s="1890">
        <v>0</v>
      </c>
      <c r="S10" s="1039">
        <f>SUM(P10:R10)</f>
        <v>0</v>
      </c>
      <c r="T10" s="1042">
        <f>$P$10</f>
        <v>0</v>
      </c>
      <c r="U10" s="1042">
        <f>$P$10</f>
        <v>0</v>
      </c>
      <c r="V10" s="1042">
        <f>$P$10</f>
        <v>0</v>
      </c>
      <c r="W10" s="1040">
        <f>$Q$10</f>
        <v>0</v>
      </c>
      <c r="X10" s="1040">
        <f>$Q$10</f>
        <v>0</v>
      </c>
      <c r="Y10" s="1040">
        <f>$Q$10</f>
        <v>0</v>
      </c>
      <c r="Z10" s="1040">
        <f>$R$10</f>
        <v>0</v>
      </c>
      <c r="AA10" s="1040">
        <f>Z10</f>
        <v>0</v>
      </c>
      <c r="AB10" s="1178">
        <f>Z10</f>
        <v>0</v>
      </c>
      <c r="AC10" s="1043">
        <f aca="true" t="shared" si="0" ref="AC10:AE11">SUM(T10,W10,Z10)</f>
        <v>0</v>
      </c>
      <c r="AD10" s="1040">
        <f t="shared" si="0"/>
        <v>0</v>
      </c>
      <c r="AE10" s="1044">
        <f t="shared" si="0"/>
        <v>0</v>
      </c>
      <c r="AF10" s="1357">
        <f>$P$10</f>
        <v>0</v>
      </c>
      <c r="AG10" s="1251">
        <f>$P$10</f>
        <v>0</v>
      </c>
      <c r="AH10" s="1251">
        <f>$P$10</f>
        <v>0</v>
      </c>
      <c r="AI10" s="1252">
        <f>$Q$10</f>
        <v>0</v>
      </c>
      <c r="AJ10" s="1252">
        <f>$Q$10</f>
        <v>0</v>
      </c>
      <c r="AK10" s="1252">
        <f>$Q$10</f>
        <v>0</v>
      </c>
      <c r="AL10" s="1252">
        <f>$R$10</f>
        <v>0</v>
      </c>
      <c r="AM10" s="1252">
        <f>AL10</f>
        <v>0</v>
      </c>
      <c r="AN10" s="1253">
        <f>AL10</f>
        <v>0</v>
      </c>
      <c r="AO10" s="1254">
        <f>SUM(AF10,AI10,AL10)</f>
        <v>0</v>
      </c>
      <c r="AP10" s="1252">
        <f>SUM(AG10,AJ10,AM10)</f>
        <v>0</v>
      </c>
      <c r="AQ10" s="1255">
        <f>SUM(AH10,AK10,AN10)</f>
        <v>0</v>
      </c>
    </row>
    <row r="11" spans="1:44" s="1055" customFormat="1" ht="26.25">
      <c r="A11" s="1045" t="s">
        <v>632</v>
      </c>
      <c r="B11" s="1046" t="s">
        <v>1419</v>
      </c>
      <c r="C11" s="1047" t="s">
        <v>1412</v>
      </c>
      <c r="D11" s="1047"/>
      <c r="E11" s="1047"/>
      <c r="F11" s="1048"/>
      <c r="G11" s="1049">
        <v>8.5</v>
      </c>
      <c r="H11" s="1050">
        <v>4</v>
      </c>
      <c r="I11" s="1051">
        <v>2.5</v>
      </c>
      <c r="J11" s="1052">
        <v>2</v>
      </c>
      <c r="K11" s="1053">
        <f>SUM(H11:J11)</f>
        <v>8.5</v>
      </c>
      <c r="L11" s="1054">
        <v>4</v>
      </c>
      <c r="M11" s="1051">
        <v>2.5</v>
      </c>
      <c r="N11" s="1179">
        <v>2</v>
      </c>
      <c r="O11" s="1375">
        <v>8</v>
      </c>
      <c r="P11" s="1891">
        <f>L11</f>
        <v>4</v>
      </c>
      <c r="Q11" s="653">
        <v>2.5</v>
      </c>
      <c r="R11" s="1892">
        <v>2</v>
      </c>
      <c r="S11" s="1375">
        <v>9</v>
      </c>
      <c r="T11" s="1376">
        <f>(U11+V11)/2</f>
        <v>4</v>
      </c>
      <c r="U11" s="1376">
        <v>4</v>
      </c>
      <c r="V11" s="1376">
        <v>4</v>
      </c>
      <c r="W11" s="1377">
        <f>(X11+Y11)/2</f>
        <v>2.5</v>
      </c>
      <c r="X11" s="596">
        <v>2.5</v>
      </c>
      <c r="Y11" s="596">
        <v>2.5</v>
      </c>
      <c r="Z11" s="1377">
        <v>2.5</v>
      </c>
      <c r="AA11" s="596">
        <v>2.5</v>
      </c>
      <c r="AB11" s="1009">
        <v>2.5</v>
      </c>
      <c r="AC11" s="1209">
        <f t="shared" si="0"/>
        <v>9</v>
      </c>
      <c r="AD11" s="1208">
        <f t="shared" si="0"/>
        <v>9</v>
      </c>
      <c r="AE11" s="1378">
        <f t="shared" si="0"/>
        <v>9</v>
      </c>
      <c r="AF11" s="1358">
        <f>(AG11+AH11)/2</f>
        <v>4</v>
      </c>
      <c r="AG11" s="1256">
        <v>4</v>
      </c>
      <c r="AH11" s="1256">
        <v>4</v>
      </c>
      <c r="AI11" s="1257">
        <f>(AJ11+AK11)/2</f>
        <v>2.5</v>
      </c>
      <c r="AJ11" s="1258">
        <v>2.5</v>
      </c>
      <c r="AK11" s="1258">
        <v>2.5</v>
      </c>
      <c r="AL11" s="1377">
        <v>2.5</v>
      </c>
      <c r="AM11" s="596">
        <v>2.5</v>
      </c>
      <c r="AN11" s="1009">
        <v>2.5</v>
      </c>
      <c r="AO11" s="1259">
        <f>AF11+AI11+AL11</f>
        <v>9</v>
      </c>
      <c r="AP11" s="1260">
        <f>AG11+AJ11+AM11</f>
        <v>9</v>
      </c>
      <c r="AQ11" s="1261">
        <f>AH11+AK11+AN11</f>
        <v>9</v>
      </c>
      <c r="AR11" s="1055" t="s">
        <v>1663</v>
      </c>
    </row>
    <row r="12" spans="1:43" s="1065" customFormat="1" ht="12.75" customHeight="1" hidden="1">
      <c r="A12" s="1056" t="s">
        <v>1664</v>
      </c>
      <c r="B12" s="1057" t="s">
        <v>1665</v>
      </c>
      <c r="C12" s="1058" t="s">
        <v>1412</v>
      </c>
      <c r="D12" s="1058"/>
      <c r="E12" s="1058"/>
      <c r="F12" s="1059"/>
      <c r="G12" s="1060"/>
      <c r="H12" s="1061"/>
      <c r="I12" s="1062"/>
      <c r="J12" s="1063"/>
      <c r="K12" s="1064"/>
      <c r="L12" s="1062"/>
      <c r="M12" s="1062"/>
      <c r="N12" s="1180"/>
      <c r="O12" s="1379"/>
      <c r="P12" s="1893">
        <v>0</v>
      </c>
      <c r="Q12" s="1213"/>
      <c r="R12" s="1894"/>
      <c r="S12" s="1379">
        <f>SUM(P12:R12)</f>
        <v>0</v>
      </c>
      <c r="T12" s="1380">
        <v>0</v>
      </c>
      <c r="U12" s="1380">
        <v>0</v>
      </c>
      <c r="V12" s="1380">
        <v>0</v>
      </c>
      <c r="W12" s="1381"/>
      <c r="X12" s="1381"/>
      <c r="Y12" s="1381"/>
      <c r="Z12" s="1381"/>
      <c r="AA12" s="1381"/>
      <c r="AB12" s="1382"/>
      <c r="AC12" s="1212">
        <f>SUM(T12,W12)</f>
        <v>0</v>
      </c>
      <c r="AD12" s="1213">
        <f>SUM(U12,X12)</f>
        <v>0</v>
      </c>
      <c r="AE12" s="1383">
        <f>SUM(V12,Y12)</f>
        <v>0</v>
      </c>
      <c r="AF12" s="1359">
        <v>0</v>
      </c>
      <c r="AG12" s="1262">
        <v>0</v>
      </c>
      <c r="AH12" s="1262">
        <v>0</v>
      </c>
      <c r="AI12" s="1263"/>
      <c r="AJ12" s="1263"/>
      <c r="AK12" s="1263"/>
      <c r="AL12" s="1263"/>
      <c r="AM12" s="1263"/>
      <c r="AN12" s="1264"/>
      <c r="AO12" s="1265">
        <f>SUM(AF12,AI12)</f>
        <v>0</v>
      </c>
      <c r="AP12" s="1266">
        <f>SUM(AG12,AJ12)</f>
        <v>0</v>
      </c>
      <c r="AQ12" s="1267">
        <f>SUM(AH12,AK12)</f>
        <v>0</v>
      </c>
    </row>
    <row r="13" spans="1:43" ht="12.75">
      <c r="A13" s="625" t="s">
        <v>1010</v>
      </c>
      <c r="B13" s="626" t="s">
        <v>1420</v>
      </c>
      <c r="C13" s="644"/>
      <c r="D13" s="644"/>
      <c r="E13" s="644"/>
      <c r="F13" s="627"/>
      <c r="G13" s="1066"/>
      <c r="H13" s="630"/>
      <c r="I13" s="629"/>
      <c r="J13" s="628"/>
      <c r="K13" s="1067"/>
      <c r="L13" s="629"/>
      <c r="M13" s="629"/>
      <c r="N13" s="1181"/>
      <c r="O13" s="1122"/>
      <c r="P13" s="1895"/>
      <c r="Q13" s="624"/>
      <c r="R13" s="1896"/>
      <c r="S13" s="1104"/>
      <c r="T13" s="1103"/>
      <c r="U13" s="624"/>
      <c r="V13" s="624"/>
      <c r="W13" s="624"/>
      <c r="X13" s="624"/>
      <c r="Y13" s="624"/>
      <c r="Z13" s="624"/>
      <c r="AA13" s="624"/>
      <c r="AB13" s="1346"/>
      <c r="AC13" s="1105"/>
      <c r="AD13" s="624"/>
      <c r="AE13" s="1106"/>
      <c r="AF13" s="1360"/>
      <c r="AG13" s="1268"/>
      <c r="AH13" s="1268"/>
      <c r="AI13" s="1268"/>
      <c r="AJ13" s="1268"/>
      <c r="AK13" s="1268"/>
      <c r="AL13" s="1268"/>
      <c r="AM13" s="1268"/>
      <c r="AN13" s="1269"/>
      <c r="AO13" s="1270"/>
      <c r="AP13" s="1268"/>
      <c r="AQ13" s="1271"/>
    </row>
    <row r="14" spans="1:43" ht="26.25">
      <c r="A14" s="68" t="s">
        <v>1011</v>
      </c>
      <c r="B14" s="621" t="s">
        <v>1368</v>
      </c>
      <c r="C14" s="66" t="s">
        <v>1369</v>
      </c>
      <c r="D14" s="66"/>
      <c r="E14" s="66"/>
      <c r="F14" s="523"/>
      <c r="G14" s="1068">
        <v>4590</v>
      </c>
      <c r="H14" s="1069"/>
      <c r="I14" s="1070"/>
      <c r="J14" s="1070"/>
      <c r="K14" s="1070"/>
      <c r="L14" s="1070">
        <v>4590</v>
      </c>
      <c r="M14" s="1070">
        <v>4590</v>
      </c>
      <c r="N14" s="1182">
        <v>4590</v>
      </c>
      <c r="O14" s="1388">
        <v>7860</v>
      </c>
      <c r="P14" s="1897">
        <v>4590</v>
      </c>
      <c r="Q14" s="648">
        <v>4590</v>
      </c>
      <c r="R14" s="648">
        <v>4590</v>
      </c>
      <c r="S14" s="1898">
        <v>7860</v>
      </c>
      <c r="T14" s="664">
        <f>(U14+V14)/2</f>
        <v>7860</v>
      </c>
      <c r="U14" s="648">
        <v>7860</v>
      </c>
      <c r="V14" s="648">
        <v>7860</v>
      </c>
      <c r="W14" s="648">
        <f>(X14+Y14)/2</f>
        <v>7860</v>
      </c>
      <c r="X14" s="648">
        <v>7860</v>
      </c>
      <c r="Y14" s="648">
        <v>7860</v>
      </c>
      <c r="Z14" s="648">
        <f>(AA14+AB14)/2</f>
        <v>7860</v>
      </c>
      <c r="AA14" s="648">
        <v>7860</v>
      </c>
      <c r="AB14" s="1389">
        <v>7860</v>
      </c>
      <c r="AC14" s="1390">
        <f>(AD14+AE14)/2</f>
        <v>7860</v>
      </c>
      <c r="AD14" s="648">
        <v>7860</v>
      </c>
      <c r="AE14" s="1391">
        <v>7860</v>
      </c>
      <c r="AF14" s="1361">
        <v>7860</v>
      </c>
      <c r="AG14" s="1272">
        <v>7860</v>
      </c>
      <c r="AH14" s="1272">
        <v>7860</v>
      </c>
      <c r="AI14" s="1272">
        <v>7860</v>
      </c>
      <c r="AJ14" s="1272">
        <v>7860</v>
      </c>
      <c r="AK14" s="1272">
        <v>7860</v>
      </c>
      <c r="AL14" s="1272">
        <v>7860</v>
      </c>
      <c r="AM14" s="1272">
        <v>7860</v>
      </c>
      <c r="AN14" s="1273">
        <v>7860</v>
      </c>
      <c r="AO14" s="1274">
        <v>7860</v>
      </c>
      <c r="AP14" s="1272">
        <v>7860</v>
      </c>
      <c r="AQ14" s="1275">
        <v>7860</v>
      </c>
    </row>
    <row r="15" spans="1:43" s="1055" customFormat="1" ht="12.75">
      <c r="A15" s="1076" t="s">
        <v>1011</v>
      </c>
      <c r="B15" s="1077" t="s">
        <v>1370</v>
      </c>
      <c r="C15" s="1078"/>
      <c r="D15" s="1078"/>
      <c r="E15" s="1078"/>
      <c r="F15" s="1079"/>
      <c r="G15" s="1080">
        <v>1.056</v>
      </c>
      <c r="H15" s="1081"/>
      <c r="I15" s="313"/>
      <c r="J15" s="313"/>
      <c r="K15" s="313"/>
      <c r="L15" s="313">
        <v>1.056</v>
      </c>
      <c r="M15" s="313">
        <v>1.056</v>
      </c>
      <c r="N15" s="1183">
        <v>1.056</v>
      </c>
      <c r="O15" s="1384">
        <v>1.074</v>
      </c>
      <c r="P15" s="1899">
        <v>1.056</v>
      </c>
      <c r="Q15" s="91">
        <v>1.056</v>
      </c>
      <c r="R15" s="91">
        <v>1.056</v>
      </c>
      <c r="S15" s="1900">
        <v>1.074</v>
      </c>
      <c r="T15" s="1385">
        <f>(U15+V15)/2</f>
        <v>1.058</v>
      </c>
      <c r="U15" s="91">
        <v>1.058</v>
      </c>
      <c r="V15" s="91">
        <v>1.058</v>
      </c>
      <c r="W15" s="1385">
        <f>(X15+Y15)/2</f>
        <v>1.058</v>
      </c>
      <c r="X15" s="91">
        <v>1.058</v>
      </c>
      <c r="Y15" s="91">
        <v>1.058</v>
      </c>
      <c r="Z15" s="1385">
        <f>(AA15+AB15)/2</f>
        <v>1.058</v>
      </c>
      <c r="AA15" s="91">
        <v>1.058</v>
      </c>
      <c r="AB15" s="1386">
        <v>1.058</v>
      </c>
      <c r="AC15" s="1215">
        <f>(AD15+AE15)/2</f>
        <v>1.058</v>
      </c>
      <c r="AD15" s="91">
        <v>1.058</v>
      </c>
      <c r="AE15" s="1387">
        <v>1.058</v>
      </c>
      <c r="AF15" s="1362">
        <v>1.074</v>
      </c>
      <c r="AG15" s="1276">
        <v>1.074</v>
      </c>
      <c r="AH15" s="1276">
        <v>1.074</v>
      </c>
      <c r="AI15" s="1276">
        <v>1.074</v>
      </c>
      <c r="AJ15" s="1276">
        <v>1.074</v>
      </c>
      <c r="AK15" s="1276">
        <v>1.074</v>
      </c>
      <c r="AL15" s="1276">
        <v>1.074</v>
      </c>
      <c r="AM15" s="1276">
        <v>1.074</v>
      </c>
      <c r="AN15" s="1277">
        <v>1.074</v>
      </c>
      <c r="AO15" s="1278">
        <v>1.074</v>
      </c>
      <c r="AP15" s="1276">
        <v>1.074</v>
      </c>
      <c r="AQ15" s="1279">
        <v>1.074</v>
      </c>
    </row>
    <row r="16" spans="1:43" ht="26.25">
      <c r="A16" s="68" t="s">
        <v>686</v>
      </c>
      <c r="B16" s="621" t="s">
        <v>1371</v>
      </c>
      <c r="C16" s="66" t="s">
        <v>1369</v>
      </c>
      <c r="D16" s="66"/>
      <c r="E16" s="66"/>
      <c r="F16" s="523"/>
      <c r="G16" s="1082">
        <f>G14*G15</f>
        <v>4847.04</v>
      </c>
      <c r="H16" s="633"/>
      <c r="I16" s="646"/>
      <c r="J16" s="645"/>
      <c r="K16" s="1082">
        <v>4847</v>
      </c>
      <c r="L16" s="632">
        <f aca="true" t="shared" si="1" ref="L16:AQ16">L14*L15</f>
        <v>4847.04</v>
      </c>
      <c r="M16" s="646">
        <f t="shared" si="1"/>
        <v>4847.04</v>
      </c>
      <c r="N16" s="1184">
        <f t="shared" si="1"/>
        <v>4847.04</v>
      </c>
      <c r="O16" s="1082">
        <f t="shared" si="1"/>
        <v>8441.640000000001</v>
      </c>
      <c r="P16" s="1901">
        <f t="shared" si="1"/>
        <v>4847.04</v>
      </c>
      <c r="Q16" s="632">
        <f t="shared" si="1"/>
        <v>4847.04</v>
      </c>
      <c r="R16" s="1902">
        <f t="shared" si="1"/>
        <v>4847.04</v>
      </c>
      <c r="S16" s="1082">
        <f t="shared" si="1"/>
        <v>8441.640000000001</v>
      </c>
      <c r="T16" s="633">
        <f t="shared" si="1"/>
        <v>8315.880000000001</v>
      </c>
      <c r="U16" s="632">
        <f t="shared" si="1"/>
        <v>8315.880000000001</v>
      </c>
      <c r="V16" s="632">
        <f t="shared" si="1"/>
        <v>8315.880000000001</v>
      </c>
      <c r="W16" s="632">
        <f t="shared" si="1"/>
        <v>8315.880000000001</v>
      </c>
      <c r="X16" s="632">
        <f t="shared" si="1"/>
        <v>8315.880000000001</v>
      </c>
      <c r="Y16" s="632">
        <f t="shared" si="1"/>
        <v>8315.880000000001</v>
      </c>
      <c r="Z16" s="632">
        <f t="shared" si="1"/>
        <v>8315.880000000001</v>
      </c>
      <c r="AA16" s="632">
        <f t="shared" si="1"/>
        <v>8315.880000000001</v>
      </c>
      <c r="AB16" s="1187">
        <f t="shared" si="1"/>
        <v>8315.880000000001</v>
      </c>
      <c r="AC16" s="1083">
        <v>8316</v>
      </c>
      <c r="AD16" s="632">
        <v>8316</v>
      </c>
      <c r="AE16" s="1084">
        <v>8316</v>
      </c>
      <c r="AF16" s="1363">
        <f t="shared" si="1"/>
        <v>8441.640000000001</v>
      </c>
      <c r="AG16" s="1280">
        <f t="shared" si="1"/>
        <v>8441.640000000001</v>
      </c>
      <c r="AH16" s="1280">
        <f t="shared" si="1"/>
        <v>8441.640000000001</v>
      </c>
      <c r="AI16" s="1280">
        <f t="shared" si="1"/>
        <v>8441.640000000001</v>
      </c>
      <c r="AJ16" s="1280">
        <f t="shared" si="1"/>
        <v>8441.640000000001</v>
      </c>
      <c r="AK16" s="1280">
        <f t="shared" si="1"/>
        <v>8441.640000000001</v>
      </c>
      <c r="AL16" s="1280">
        <f t="shared" si="1"/>
        <v>8441.640000000001</v>
      </c>
      <c r="AM16" s="1280">
        <f t="shared" si="1"/>
        <v>8441.640000000001</v>
      </c>
      <c r="AN16" s="1281">
        <f t="shared" si="1"/>
        <v>8441.640000000001</v>
      </c>
      <c r="AO16" s="1282">
        <f t="shared" si="1"/>
        <v>8441.640000000001</v>
      </c>
      <c r="AP16" s="1283">
        <f t="shared" si="1"/>
        <v>8441.640000000001</v>
      </c>
      <c r="AQ16" s="1284">
        <f t="shared" si="1"/>
        <v>8441.640000000001</v>
      </c>
    </row>
    <row r="17" spans="1:43" ht="12.75">
      <c r="A17" s="68" t="s">
        <v>1003</v>
      </c>
      <c r="B17" s="621" t="s">
        <v>1372</v>
      </c>
      <c r="C17" s="66"/>
      <c r="D17" s="66"/>
      <c r="E17" s="66"/>
      <c r="F17" s="523"/>
      <c r="G17" s="1085">
        <v>6.18</v>
      </c>
      <c r="H17" s="1086"/>
      <c r="I17" s="1087"/>
      <c r="J17" s="1088"/>
      <c r="K17" s="1089"/>
      <c r="L17" s="1087">
        <v>4</v>
      </c>
      <c r="M17" s="1087">
        <v>5</v>
      </c>
      <c r="N17" s="1185">
        <v>12</v>
      </c>
      <c r="O17" s="1090"/>
      <c r="P17" s="1903">
        <v>4</v>
      </c>
      <c r="Q17" s="1093">
        <v>5</v>
      </c>
      <c r="R17" s="1904">
        <v>12</v>
      </c>
      <c r="S17" s="1905">
        <v>6.5</v>
      </c>
      <c r="T17" s="1091">
        <f>(U17+V17)/2</f>
        <v>4</v>
      </c>
      <c r="U17" s="1092">
        <v>4</v>
      </c>
      <c r="V17" s="1092">
        <v>4</v>
      </c>
      <c r="W17" s="1091">
        <f>(X17+Y17)/2</f>
        <v>5</v>
      </c>
      <c r="X17" s="1092">
        <v>5</v>
      </c>
      <c r="Y17" s="1092">
        <v>5</v>
      </c>
      <c r="Z17" s="1091">
        <f>(AA17+AB17)/2</f>
        <v>12</v>
      </c>
      <c r="AA17" s="1093">
        <v>12</v>
      </c>
      <c r="AB17" s="1344">
        <v>12</v>
      </c>
      <c r="AC17" s="1094">
        <f aca="true" t="shared" si="2" ref="AC17:AE19">(T17*T$11+W17*W$11+Z17*Z$11)/AC$11</f>
        <v>6.5</v>
      </c>
      <c r="AD17" s="1354">
        <f t="shared" si="2"/>
        <v>6.5</v>
      </c>
      <c r="AE17" s="1095">
        <f t="shared" si="2"/>
        <v>6.5</v>
      </c>
      <c r="AF17" s="1364"/>
      <c r="AG17" s="1286"/>
      <c r="AH17" s="1286"/>
      <c r="AI17" s="1285"/>
      <c r="AJ17" s="1286"/>
      <c r="AK17" s="1286"/>
      <c r="AL17" s="1285"/>
      <c r="AM17" s="1287"/>
      <c r="AN17" s="1288"/>
      <c r="AO17" s="1289"/>
      <c r="AP17" s="1287"/>
      <c r="AQ17" s="1290"/>
    </row>
    <row r="18" spans="1:43" ht="39">
      <c r="A18" s="68" t="s">
        <v>861</v>
      </c>
      <c r="B18" s="621" t="s">
        <v>1373</v>
      </c>
      <c r="C18" s="66"/>
      <c r="D18" s="66"/>
      <c r="E18" s="66"/>
      <c r="F18" s="523"/>
      <c r="G18" s="1085">
        <v>1.74</v>
      </c>
      <c r="H18" s="1086"/>
      <c r="I18" s="1087"/>
      <c r="J18" s="1088"/>
      <c r="K18" s="1089">
        <v>1.74</v>
      </c>
      <c r="L18" s="1087">
        <v>1.36</v>
      </c>
      <c r="M18" s="1087">
        <v>1.51</v>
      </c>
      <c r="N18" s="1185">
        <v>2.8</v>
      </c>
      <c r="O18" s="1090"/>
      <c r="P18" s="1903">
        <v>1.36</v>
      </c>
      <c r="Q18" s="1093">
        <v>1.51</v>
      </c>
      <c r="R18" s="1904">
        <v>2.8</v>
      </c>
      <c r="S18" s="1905">
        <v>1.9</v>
      </c>
      <c r="T18" s="1091">
        <f>(U18+V18)/2</f>
        <v>1.36</v>
      </c>
      <c r="U18" s="1092">
        <v>1.36</v>
      </c>
      <c r="V18" s="1092">
        <v>1.36</v>
      </c>
      <c r="W18" s="1091">
        <f>(X18+Y18)/2</f>
        <v>1.65</v>
      </c>
      <c r="X18" s="1093">
        <v>1.65</v>
      </c>
      <c r="Y18" s="1093">
        <v>1.65</v>
      </c>
      <c r="Z18" s="1091">
        <f>(AA18+AB18)/2</f>
        <v>3.03</v>
      </c>
      <c r="AA18" s="1093">
        <v>3.03</v>
      </c>
      <c r="AB18" s="1344">
        <v>3.03</v>
      </c>
      <c r="AC18" s="1392">
        <f t="shared" si="2"/>
        <v>1.9044444444444446</v>
      </c>
      <c r="AD18" s="1093">
        <f t="shared" si="2"/>
        <v>1.9044444444444446</v>
      </c>
      <c r="AE18" s="1394">
        <f>(V18*V$11+Y18*Y$11+AB18*AB$11)/AE$11</f>
        <v>1.9044444444444446</v>
      </c>
      <c r="AF18" s="1364"/>
      <c r="AG18" s="1286"/>
      <c r="AH18" s="1286"/>
      <c r="AI18" s="1285"/>
      <c r="AJ18" s="1287"/>
      <c r="AK18" s="1287"/>
      <c r="AL18" s="1285"/>
      <c r="AM18" s="1291"/>
      <c r="AN18" s="1292"/>
      <c r="AO18" s="1289"/>
      <c r="AP18" s="1287"/>
      <c r="AQ18" s="1290"/>
    </row>
    <row r="19" spans="1:43" ht="12.75">
      <c r="A19" s="68"/>
      <c r="B19" s="621" t="s">
        <v>960</v>
      </c>
      <c r="C19" s="66"/>
      <c r="D19" s="66"/>
      <c r="E19" s="66"/>
      <c r="F19" s="523"/>
      <c r="G19" s="1085">
        <v>1.2</v>
      </c>
      <c r="H19" s="1096"/>
      <c r="I19" s="1097"/>
      <c r="J19" s="1098"/>
      <c r="K19" s="1099">
        <v>1.2</v>
      </c>
      <c r="L19" s="1097">
        <v>1.2</v>
      </c>
      <c r="M19" s="1097">
        <v>1.2</v>
      </c>
      <c r="N19" s="1186">
        <v>1.2</v>
      </c>
      <c r="O19" s="1100"/>
      <c r="P19" s="1889">
        <v>1.2</v>
      </c>
      <c r="Q19" s="1041">
        <v>1.2</v>
      </c>
      <c r="R19" s="1041">
        <v>1.2</v>
      </c>
      <c r="S19" s="1906">
        <v>1</v>
      </c>
      <c r="T19" s="1101">
        <f>(U19+V19)/2</f>
        <v>1</v>
      </c>
      <c r="U19" s="1102">
        <v>1</v>
      </c>
      <c r="V19" s="1102">
        <v>1</v>
      </c>
      <c r="W19" s="1101">
        <f>(X19+Y19)/2</f>
        <v>1</v>
      </c>
      <c r="X19" s="1102">
        <v>1</v>
      </c>
      <c r="Y19" s="1102">
        <v>1</v>
      </c>
      <c r="Z19" s="1101">
        <v>1</v>
      </c>
      <c r="AA19" s="1102">
        <v>1</v>
      </c>
      <c r="AB19" s="1345">
        <v>1</v>
      </c>
      <c r="AC19" s="1350">
        <f t="shared" si="2"/>
        <v>1</v>
      </c>
      <c r="AD19" s="1041">
        <f t="shared" si="2"/>
        <v>1</v>
      </c>
      <c r="AE19" s="1352">
        <f t="shared" si="2"/>
        <v>1</v>
      </c>
      <c r="AF19" s="1365"/>
      <c r="AG19" s="1293"/>
      <c r="AH19" s="1293"/>
      <c r="AI19" s="1293"/>
      <c r="AJ19" s="1293"/>
      <c r="AK19" s="1293"/>
      <c r="AL19" s="1293"/>
      <c r="AM19" s="1293"/>
      <c r="AN19" s="1294"/>
      <c r="AO19" s="1295"/>
      <c r="AP19" s="1296"/>
      <c r="AQ19" s="1297"/>
    </row>
    <row r="20" spans="1:43" ht="26.25">
      <c r="A20" s="68" t="s">
        <v>863</v>
      </c>
      <c r="B20" s="621" t="s">
        <v>961</v>
      </c>
      <c r="C20" s="66" t="s">
        <v>1369</v>
      </c>
      <c r="D20" s="66"/>
      <c r="E20" s="66"/>
      <c r="F20" s="523"/>
      <c r="G20" s="1082">
        <v>10138</v>
      </c>
      <c r="H20" s="633"/>
      <c r="I20" s="632"/>
      <c r="J20" s="632"/>
      <c r="K20" s="632">
        <f>K16*K18*K19</f>
        <v>10120.536</v>
      </c>
      <c r="L20" s="632">
        <f>L16*L18*L19</f>
        <v>7910.36928</v>
      </c>
      <c r="M20" s="632">
        <f>M16*M18*M19</f>
        <v>8782.83648</v>
      </c>
      <c r="N20" s="1187">
        <f>N16*N18*N19</f>
        <v>16286.054399999999</v>
      </c>
      <c r="O20" s="1196"/>
      <c r="P20" s="1901">
        <f aca="true" t="shared" si="3" ref="P20:AB20">P16*P18*P19</f>
        <v>7910.36928</v>
      </c>
      <c r="Q20" s="632">
        <f t="shared" si="3"/>
        <v>8782.83648</v>
      </c>
      <c r="R20" s="632">
        <f t="shared" si="3"/>
        <v>16286.054399999999</v>
      </c>
      <c r="S20" s="632">
        <f t="shared" si="3"/>
        <v>16039.116000000002</v>
      </c>
      <c r="T20" s="632">
        <f>T16*T18*T19</f>
        <v>11309.596800000003</v>
      </c>
      <c r="U20" s="632">
        <f t="shared" si="3"/>
        <v>11309.596800000003</v>
      </c>
      <c r="V20" s="632">
        <f t="shared" si="3"/>
        <v>11309.596800000003</v>
      </c>
      <c r="W20" s="632">
        <f t="shared" si="3"/>
        <v>13721.202000000001</v>
      </c>
      <c r="X20" s="632">
        <f t="shared" si="3"/>
        <v>13721.202000000001</v>
      </c>
      <c r="Y20" s="632">
        <f t="shared" si="3"/>
        <v>13721.202000000001</v>
      </c>
      <c r="Z20" s="632">
        <f t="shared" si="3"/>
        <v>25197.116400000003</v>
      </c>
      <c r="AA20" s="632">
        <f t="shared" si="3"/>
        <v>25197.116400000003</v>
      </c>
      <c r="AB20" s="1187">
        <f t="shared" si="3"/>
        <v>25197.116400000003</v>
      </c>
      <c r="AC20" s="1351">
        <v>14469.63</v>
      </c>
      <c r="AD20" s="632">
        <v>14469.63</v>
      </c>
      <c r="AE20" s="1353">
        <v>14469.63</v>
      </c>
      <c r="AF20" s="1363"/>
      <c r="AG20" s="1283"/>
      <c r="AH20" s="1283"/>
      <c r="AI20" s="1283"/>
      <c r="AJ20" s="1283"/>
      <c r="AK20" s="1283"/>
      <c r="AL20" s="1283"/>
      <c r="AM20" s="1283"/>
      <c r="AN20" s="1298"/>
      <c r="AO20" s="1282"/>
      <c r="AP20" s="1283"/>
      <c r="AQ20" s="1284"/>
    </row>
    <row r="21" spans="1:43" ht="39">
      <c r="A21" s="68" t="s">
        <v>865</v>
      </c>
      <c r="B21" s="621" t="s">
        <v>962</v>
      </c>
      <c r="C21" s="66"/>
      <c r="D21" s="66"/>
      <c r="E21" s="66"/>
      <c r="F21" s="523"/>
      <c r="G21" s="1068"/>
      <c r="H21" s="1103"/>
      <c r="I21" s="623"/>
      <c r="J21" s="639"/>
      <c r="K21" s="1104"/>
      <c r="L21" s="624"/>
      <c r="M21" s="623"/>
      <c r="N21" s="1188"/>
      <c r="O21" s="1104"/>
      <c r="P21" s="1895"/>
      <c r="Q21" s="624"/>
      <c r="R21" s="1896"/>
      <c r="S21" s="1104"/>
      <c r="T21" s="1103"/>
      <c r="U21" s="624"/>
      <c r="V21" s="624"/>
      <c r="W21" s="624"/>
      <c r="X21" s="624"/>
      <c r="Y21" s="624"/>
      <c r="Z21" s="624"/>
      <c r="AA21" s="624"/>
      <c r="AB21" s="1346"/>
      <c r="AC21" s="1393"/>
      <c r="AD21" s="624"/>
      <c r="AE21" s="1395"/>
      <c r="AF21" s="1366"/>
      <c r="AG21" s="1299"/>
      <c r="AH21" s="1299"/>
      <c r="AI21" s="1299"/>
      <c r="AJ21" s="1299"/>
      <c r="AK21" s="1299"/>
      <c r="AL21" s="1299"/>
      <c r="AM21" s="1299"/>
      <c r="AN21" s="1300"/>
      <c r="AO21" s="1301"/>
      <c r="AP21" s="1299"/>
      <c r="AQ21" s="1302"/>
    </row>
    <row r="22" spans="1:43" ht="12.75">
      <c r="A22" s="68"/>
      <c r="B22" s="634" t="s">
        <v>963</v>
      </c>
      <c r="C22" s="66" t="s">
        <v>1307</v>
      </c>
      <c r="D22" s="66"/>
      <c r="E22" s="66"/>
      <c r="F22" s="523"/>
      <c r="G22" s="1068">
        <v>21</v>
      </c>
      <c r="H22" s="1069"/>
      <c r="I22" s="1070"/>
      <c r="J22" s="1070"/>
      <c r="K22" s="1107">
        <v>21</v>
      </c>
      <c r="L22" s="1070">
        <v>33</v>
      </c>
      <c r="M22" s="1070">
        <v>33</v>
      </c>
      <c r="N22" s="1182">
        <v>0</v>
      </c>
      <c r="O22" s="1108"/>
      <c r="P22" s="1907">
        <v>33</v>
      </c>
      <c r="Q22" s="1110">
        <v>33</v>
      </c>
      <c r="R22" s="1908">
        <v>0</v>
      </c>
      <c r="S22" s="1909">
        <v>16</v>
      </c>
      <c r="T22" s="1072">
        <f>(U22+V22)/2</f>
        <v>33</v>
      </c>
      <c r="U22" s="1109">
        <v>33</v>
      </c>
      <c r="V22" s="1109">
        <v>33</v>
      </c>
      <c r="W22" s="1072">
        <f>(X22+Y22)/2</f>
        <v>33</v>
      </c>
      <c r="X22" s="1110">
        <v>33</v>
      </c>
      <c r="Y22" s="1110">
        <v>33</v>
      </c>
      <c r="Z22" s="1110">
        <v>0</v>
      </c>
      <c r="AA22" s="1110">
        <v>0</v>
      </c>
      <c r="AB22" s="1347">
        <v>0</v>
      </c>
      <c r="AC22" s="1111">
        <f>AC23/AC$20*100</f>
        <v>20.1561319397939</v>
      </c>
      <c r="AD22" s="1396">
        <f>AD23/AD$20*100</f>
        <v>20.1561319397939</v>
      </c>
      <c r="AE22" s="1112">
        <f>AE23/AE$20*100</f>
        <v>20.1561319397939</v>
      </c>
      <c r="AF22" s="1361"/>
      <c r="AG22" s="1272"/>
      <c r="AH22" s="1272"/>
      <c r="AI22" s="1272"/>
      <c r="AJ22" s="1272"/>
      <c r="AK22" s="1272"/>
      <c r="AL22" s="1303"/>
      <c r="AM22" s="1303"/>
      <c r="AN22" s="1304"/>
      <c r="AO22" s="1305"/>
      <c r="AP22" s="1303"/>
      <c r="AQ22" s="1306"/>
    </row>
    <row r="23" spans="1:43" ht="12.75">
      <c r="A23" s="68"/>
      <c r="B23" s="634" t="s">
        <v>964</v>
      </c>
      <c r="C23" s="66" t="s">
        <v>1369</v>
      </c>
      <c r="D23" s="66"/>
      <c r="E23" s="66"/>
      <c r="F23" s="523"/>
      <c r="G23" s="1068">
        <v>2081</v>
      </c>
      <c r="H23" s="1069"/>
      <c r="I23" s="1070"/>
      <c r="J23" s="1070"/>
      <c r="K23" s="1113">
        <f>K20*K22/100</f>
        <v>2125.31256</v>
      </c>
      <c r="L23" s="599">
        <f>L20*L22/100</f>
        <v>2610.4218624</v>
      </c>
      <c r="M23" s="590">
        <f>M20*M22/100</f>
        <v>2898.3360384</v>
      </c>
      <c r="N23" s="1189">
        <f>N20*N22/100</f>
        <v>0</v>
      </c>
      <c r="O23" s="1114"/>
      <c r="P23" s="1910">
        <f aca="true" t="shared" si="4" ref="P23:AB23">P20*P22/100</f>
        <v>2610.4218624</v>
      </c>
      <c r="Q23" s="599">
        <f t="shared" si="4"/>
        <v>2898.3360384</v>
      </c>
      <c r="R23" s="1911">
        <f t="shared" si="4"/>
        <v>0</v>
      </c>
      <c r="S23" s="1912">
        <f t="shared" si="4"/>
        <v>2566.25856</v>
      </c>
      <c r="T23" s="1114">
        <f>T20*T22/100</f>
        <v>3732.166944000001</v>
      </c>
      <c r="U23" s="599">
        <f>U20*U22/100</f>
        <v>3732.166944000001</v>
      </c>
      <c r="V23" s="599">
        <f t="shared" si="4"/>
        <v>3732.166944000001</v>
      </c>
      <c r="W23" s="599">
        <f t="shared" si="4"/>
        <v>4527.996660000001</v>
      </c>
      <c r="X23" s="599">
        <f t="shared" si="4"/>
        <v>4527.996660000001</v>
      </c>
      <c r="Y23" s="599">
        <f t="shared" si="4"/>
        <v>4527.996660000001</v>
      </c>
      <c r="Z23" s="599">
        <f t="shared" si="4"/>
        <v>0</v>
      </c>
      <c r="AA23" s="599">
        <f t="shared" si="4"/>
        <v>0</v>
      </c>
      <c r="AB23" s="1190">
        <f t="shared" si="4"/>
        <v>0</v>
      </c>
      <c r="AC23" s="1115">
        <f>(T23*T$11+W23*W$11+Z23*Z$11)/AC$11</f>
        <v>2916.5177140000005</v>
      </c>
      <c r="AD23" s="636">
        <f>(U23*U$11+X23*X$11+AA23*AA$11)/AD$11</f>
        <v>2916.5177140000005</v>
      </c>
      <c r="AE23" s="1116">
        <f>(V23*V$11+Y23*Y$11+AB23*AB$11)/AE$11</f>
        <v>2916.5177140000005</v>
      </c>
      <c r="AF23" s="1367"/>
      <c r="AG23" s="1307"/>
      <c r="AH23" s="1307"/>
      <c r="AI23" s="1307"/>
      <c r="AJ23" s="1307"/>
      <c r="AK23" s="1307"/>
      <c r="AL23" s="1307"/>
      <c r="AM23" s="1307"/>
      <c r="AN23" s="1308"/>
      <c r="AO23" s="1309"/>
      <c r="AP23" s="1310"/>
      <c r="AQ23" s="1311"/>
    </row>
    <row r="24" spans="1:43" ht="12.75">
      <c r="A24" s="68" t="s">
        <v>867</v>
      </c>
      <c r="B24" s="621" t="s">
        <v>965</v>
      </c>
      <c r="C24" s="66"/>
      <c r="D24" s="66"/>
      <c r="E24" s="66"/>
      <c r="F24" s="523"/>
      <c r="G24" s="1068"/>
      <c r="H24" s="1069"/>
      <c r="I24" s="1070"/>
      <c r="J24" s="1070"/>
      <c r="K24" s="1117"/>
      <c r="L24" s="32"/>
      <c r="M24" s="4"/>
      <c r="N24" s="915"/>
      <c r="O24" s="1117"/>
      <c r="P24" s="1913"/>
      <c r="Q24" s="32"/>
      <c r="R24" s="364"/>
      <c r="S24" s="1117"/>
      <c r="T24" s="1114"/>
      <c r="U24" s="32"/>
      <c r="V24" s="32"/>
      <c r="W24" s="32"/>
      <c r="X24" s="32"/>
      <c r="Y24" s="32"/>
      <c r="Z24" s="32"/>
      <c r="AA24" s="32"/>
      <c r="AB24" s="1348"/>
      <c r="AC24" s="1118"/>
      <c r="AD24" s="32"/>
      <c r="AE24" s="1119"/>
      <c r="AF24" s="1367"/>
      <c r="AG24" s="512"/>
      <c r="AH24" s="512"/>
      <c r="AI24" s="512"/>
      <c r="AJ24" s="512"/>
      <c r="AK24" s="512"/>
      <c r="AL24" s="512"/>
      <c r="AM24" s="512"/>
      <c r="AN24" s="521"/>
      <c r="AO24" s="1312"/>
      <c r="AP24" s="512"/>
      <c r="AQ24" s="1313"/>
    </row>
    <row r="25" spans="1:43" ht="12.75">
      <c r="A25" s="68"/>
      <c r="B25" s="634" t="s">
        <v>963</v>
      </c>
      <c r="C25" s="66" t="s">
        <v>1307</v>
      </c>
      <c r="D25" s="66"/>
      <c r="E25" s="66"/>
      <c r="F25" s="523"/>
      <c r="G25" s="1068">
        <v>30</v>
      </c>
      <c r="H25" s="1069"/>
      <c r="I25" s="1070"/>
      <c r="J25" s="1070"/>
      <c r="K25" s="1113">
        <v>30</v>
      </c>
      <c r="L25" s="1070">
        <v>30</v>
      </c>
      <c r="M25" s="1070">
        <v>30</v>
      </c>
      <c r="N25" s="1182">
        <v>30</v>
      </c>
      <c r="O25" s="1071"/>
      <c r="P25" s="1907">
        <v>30</v>
      </c>
      <c r="Q25" s="1110">
        <v>30</v>
      </c>
      <c r="R25" s="1110">
        <v>30</v>
      </c>
      <c r="S25" s="1914">
        <v>30</v>
      </c>
      <c r="T25" s="1072">
        <f>(U25+V25)/2</f>
        <v>30</v>
      </c>
      <c r="U25" s="1120">
        <v>30</v>
      </c>
      <c r="V25" s="1120">
        <v>30</v>
      </c>
      <c r="W25" s="1072">
        <f>(X25+Y25)/2</f>
        <v>30</v>
      </c>
      <c r="X25" s="1120">
        <v>30</v>
      </c>
      <c r="Y25" s="1120">
        <v>30</v>
      </c>
      <c r="Z25" s="1072">
        <f>(AA25+AB25)/2</f>
        <v>30</v>
      </c>
      <c r="AA25" s="1110">
        <v>30</v>
      </c>
      <c r="AB25" s="1347">
        <v>30</v>
      </c>
      <c r="AC25" s="1074">
        <v>30</v>
      </c>
      <c r="AD25" s="1073">
        <v>30</v>
      </c>
      <c r="AE25" s="1075">
        <v>30</v>
      </c>
      <c r="AF25" s="1361"/>
      <c r="AG25" s="1272"/>
      <c r="AH25" s="1272"/>
      <c r="AI25" s="1272"/>
      <c r="AJ25" s="1272"/>
      <c r="AK25" s="1272"/>
      <c r="AL25" s="1272"/>
      <c r="AM25" s="1272"/>
      <c r="AN25" s="1273"/>
      <c r="AO25" s="1314"/>
      <c r="AP25" s="1315"/>
      <c r="AQ25" s="1275"/>
    </row>
    <row r="26" spans="1:43" ht="12.75">
      <c r="A26" s="68"/>
      <c r="B26" s="634" t="s">
        <v>964</v>
      </c>
      <c r="C26" s="66" t="s">
        <v>1369</v>
      </c>
      <c r="D26" s="66"/>
      <c r="E26" s="66"/>
      <c r="F26" s="523"/>
      <c r="G26" s="1068">
        <v>3666</v>
      </c>
      <c r="H26" s="1069"/>
      <c r="I26" s="1070"/>
      <c r="J26" s="1070"/>
      <c r="K26" s="1113">
        <f>(K20+K23)*K25/100</f>
        <v>3673.754568</v>
      </c>
      <c r="L26" s="599">
        <f>(L20+L23)*L25/100</f>
        <v>3156.2373427199996</v>
      </c>
      <c r="M26" s="590">
        <f>(M20+M23)*M25/100</f>
        <v>3504.3517555199996</v>
      </c>
      <c r="N26" s="1189">
        <f>(N20+N23)*N25/100</f>
        <v>4885.81632</v>
      </c>
      <c r="O26" s="1114"/>
      <c r="P26" s="1910">
        <f aca="true" t="shared" si="5" ref="P26:AD26">(P20+P23)*P25/100</f>
        <v>3156.2373427199996</v>
      </c>
      <c r="Q26" s="599">
        <f t="shared" si="5"/>
        <v>3504.3517555199996</v>
      </c>
      <c r="R26" s="1911">
        <f t="shared" si="5"/>
        <v>4885.81632</v>
      </c>
      <c r="S26" s="1912">
        <f t="shared" si="5"/>
        <v>5581.612368000001</v>
      </c>
      <c r="T26" s="1114">
        <f>(T20+T23)*T25/100</f>
        <v>4512.529123200001</v>
      </c>
      <c r="U26" s="599">
        <f t="shared" si="5"/>
        <v>4512.529123200001</v>
      </c>
      <c r="V26" s="599">
        <f t="shared" si="5"/>
        <v>4512.529123200001</v>
      </c>
      <c r="W26" s="599">
        <f t="shared" si="5"/>
        <v>5474.759598000001</v>
      </c>
      <c r="X26" s="599">
        <f t="shared" si="5"/>
        <v>5474.759598000001</v>
      </c>
      <c r="Y26" s="599">
        <f>(Y20+Y23)*Y25/100</f>
        <v>5474.759598000001</v>
      </c>
      <c r="Z26" s="599">
        <f t="shared" si="5"/>
        <v>7559.13492</v>
      </c>
      <c r="AA26" s="599">
        <f t="shared" si="5"/>
        <v>7559.13492</v>
      </c>
      <c r="AB26" s="1190">
        <f>(AB20+AB23)*AB25/100</f>
        <v>7559.13492</v>
      </c>
      <c r="AC26" s="1214">
        <f>(AC20+AC23)*AC25/100</f>
        <v>5215.8443142</v>
      </c>
      <c r="AD26" s="599">
        <f t="shared" si="5"/>
        <v>5215.8443142</v>
      </c>
      <c r="AE26" s="1374">
        <f>(AE20+AE23)*AE25/100</f>
        <v>5215.8443142</v>
      </c>
      <c r="AF26" s="1367"/>
      <c r="AG26" s="1307"/>
      <c r="AH26" s="1307"/>
      <c r="AI26" s="1307"/>
      <c r="AJ26" s="1307"/>
      <c r="AK26" s="1307"/>
      <c r="AL26" s="1307"/>
      <c r="AM26" s="1307"/>
      <c r="AN26" s="1308"/>
      <c r="AO26" s="1309"/>
      <c r="AP26" s="1310"/>
      <c r="AQ26" s="1311"/>
    </row>
    <row r="27" spans="1:43" ht="12.75">
      <c r="A27" s="68" t="s">
        <v>136</v>
      </c>
      <c r="B27" s="621" t="s">
        <v>966</v>
      </c>
      <c r="C27" s="66"/>
      <c r="D27" s="66"/>
      <c r="E27" s="66"/>
      <c r="F27" s="523"/>
      <c r="G27" s="1068"/>
      <c r="H27" s="1069"/>
      <c r="I27" s="1070"/>
      <c r="J27" s="1070"/>
      <c r="K27" s="1117"/>
      <c r="L27" s="32"/>
      <c r="M27" s="4"/>
      <c r="N27" s="915"/>
      <c r="O27" s="1117"/>
      <c r="P27" s="1913"/>
      <c r="Q27" s="32"/>
      <c r="R27" s="364"/>
      <c r="S27" s="1117"/>
      <c r="T27" s="922"/>
      <c r="U27" s="32"/>
      <c r="V27" s="32"/>
      <c r="W27" s="32"/>
      <c r="X27" s="32"/>
      <c r="Y27" s="32"/>
      <c r="Z27" s="32"/>
      <c r="AA27" s="32"/>
      <c r="AB27" s="1348"/>
      <c r="AC27" s="1118"/>
      <c r="AD27" s="32"/>
      <c r="AE27" s="1119"/>
      <c r="AF27" s="1368"/>
      <c r="AG27" s="512"/>
      <c r="AH27" s="512"/>
      <c r="AI27" s="512"/>
      <c r="AJ27" s="512"/>
      <c r="AK27" s="512"/>
      <c r="AL27" s="512"/>
      <c r="AM27" s="512"/>
      <c r="AN27" s="521"/>
      <c r="AO27" s="1312"/>
      <c r="AP27" s="512"/>
      <c r="AQ27" s="1313"/>
    </row>
    <row r="28" spans="1:43" ht="12.75">
      <c r="A28" s="68"/>
      <c r="B28" s="634" t="s">
        <v>963</v>
      </c>
      <c r="C28" s="66" t="s">
        <v>1307</v>
      </c>
      <c r="D28" s="66"/>
      <c r="E28" s="66"/>
      <c r="F28" s="523"/>
      <c r="G28" s="1068">
        <v>0</v>
      </c>
      <c r="H28" s="1069"/>
      <c r="I28" s="1070"/>
      <c r="J28" s="1070"/>
      <c r="K28" s="1113">
        <v>0</v>
      </c>
      <c r="L28" s="1070">
        <v>0</v>
      </c>
      <c r="M28" s="1070">
        <v>0</v>
      </c>
      <c r="N28" s="1182">
        <v>0</v>
      </c>
      <c r="O28" s="1071"/>
      <c r="P28" s="1915">
        <v>0</v>
      </c>
      <c r="Q28" s="1908">
        <v>0</v>
      </c>
      <c r="R28" s="1908">
        <v>0</v>
      </c>
      <c r="S28" s="1914">
        <f>S29/(S20+S23)*100</f>
        <v>0</v>
      </c>
      <c r="T28" s="1120">
        <v>0</v>
      </c>
      <c r="U28" s="1120">
        <v>0</v>
      </c>
      <c r="V28" s="1120">
        <v>0</v>
      </c>
      <c r="W28" s="1110">
        <v>0</v>
      </c>
      <c r="X28" s="1110">
        <v>0</v>
      </c>
      <c r="Y28" s="1110">
        <v>0</v>
      </c>
      <c r="Z28" s="1110">
        <v>0</v>
      </c>
      <c r="AA28" s="1110">
        <v>0</v>
      </c>
      <c r="AB28" s="1347">
        <v>0</v>
      </c>
      <c r="AC28" s="1074">
        <f>AC29/(AC20+AC23)*100</f>
        <v>0</v>
      </c>
      <c r="AD28" s="1073">
        <f>AD29/(AD20+AD23)*100</f>
        <v>0</v>
      </c>
      <c r="AE28" s="1075">
        <f>AE29/(AE20+AE23)*100</f>
        <v>0</v>
      </c>
      <c r="AF28" s="1369"/>
      <c r="AG28" s="1317"/>
      <c r="AH28" s="1317"/>
      <c r="AI28" s="1317"/>
      <c r="AJ28" s="1317"/>
      <c r="AK28" s="1317"/>
      <c r="AL28" s="1317"/>
      <c r="AM28" s="1317"/>
      <c r="AN28" s="1318"/>
      <c r="AO28" s="1319"/>
      <c r="AP28" s="1320"/>
      <c r="AQ28" s="1321"/>
    </row>
    <row r="29" spans="1:43" ht="12.75">
      <c r="A29" s="68"/>
      <c r="B29" s="634" t="s">
        <v>964</v>
      </c>
      <c r="C29" s="66" t="s">
        <v>1369</v>
      </c>
      <c r="D29" s="66"/>
      <c r="E29" s="66"/>
      <c r="F29" s="523"/>
      <c r="G29" s="1068">
        <v>0</v>
      </c>
      <c r="H29" s="1069"/>
      <c r="I29" s="1070"/>
      <c r="J29" s="1070"/>
      <c r="K29" s="1113">
        <v>0</v>
      </c>
      <c r="L29" s="599">
        <f>ROUND((L20+L23)*L28/100,0)</f>
        <v>0</v>
      </c>
      <c r="M29" s="590">
        <f>(M20+M23)*M28/100</f>
        <v>0</v>
      </c>
      <c r="N29" s="1190">
        <f>(N20+N23)*N28/100</f>
        <v>0</v>
      </c>
      <c r="O29" s="1113"/>
      <c r="P29" s="1910">
        <f>(P20+P23)*P28/100</f>
        <v>0</v>
      </c>
      <c r="Q29" s="599">
        <f>(Q20+Q23)*Q28/100</f>
        <v>0</v>
      </c>
      <c r="R29" s="1911">
        <f>(R20+R23)*R28/100</f>
        <v>0</v>
      </c>
      <c r="S29" s="1912">
        <f>(P29*P$11+Q29*Q$11+R29*R$11)/S$11</f>
        <v>0</v>
      </c>
      <c r="T29" s="1114">
        <f aca="true" t="shared" si="6" ref="T29:AB29">(T20+T23)*T28/100</f>
        <v>0</v>
      </c>
      <c r="U29" s="599">
        <f t="shared" si="6"/>
        <v>0</v>
      </c>
      <c r="V29" s="599">
        <f t="shared" si="6"/>
        <v>0</v>
      </c>
      <c r="W29" s="599">
        <f t="shared" si="6"/>
        <v>0</v>
      </c>
      <c r="X29" s="599">
        <f t="shared" si="6"/>
        <v>0</v>
      </c>
      <c r="Y29" s="599">
        <f t="shared" si="6"/>
        <v>0</v>
      </c>
      <c r="Z29" s="599">
        <f t="shared" si="6"/>
        <v>0</v>
      </c>
      <c r="AA29" s="599">
        <f t="shared" si="6"/>
        <v>0</v>
      </c>
      <c r="AB29" s="1190">
        <f t="shared" si="6"/>
        <v>0</v>
      </c>
      <c r="AC29" s="1115">
        <f>(T29*T$11+W29*W$11+Z29*Z$11)/AC$11</f>
        <v>0</v>
      </c>
      <c r="AD29" s="636">
        <f>(U29*U$11+X29*X$11+AA29*AA$11)/AD$11</f>
        <v>0</v>
      </c>
      <c r="AE29" s="1116">
        <f>(V29*V$11+Y29*Y$11+AB29*AB$11)/AE$11</f>
        <v>0</v>
      </c>
      <c r="AF29" s="1369"/>
      <c r="AG29" s="1317"/>
      <c r="AH29" s="1317"/>
      <c r="AI29" s="1317"/>
      <c r="AJ29" s="1317"/>
      <c r="AK29" s="1317"/>
      <c r="AL29" s="1317"/>
      <c r="AM29" s="1317"/>
      <c r="AN29" s="1318"/>
      <c r="AO29" s="1319"/>
      <c r="AP29" s="1320"/>
      <c r="AQ29" s="1321"/>
    </row>
    <row r="30" spans="1:43" ht="12.75">
      <c r="A30" s="68" t="s">
        <v>138</v>
      </c>
      <c r="B30" s="621" t="s">
        <v>967</v>
      </c>
      <c r="C30" s="637"/>
      <c r="D30" s="637"/>
      <c r="E30" s="637"/>
      <c r="F30" s="1020"/>
      <c r="G30" s="1121"/>
      <c r="H30" s="640"/>
      <c r="I30" s="641"/>
      <c r="J30" s="638"/>
      <c r="K30" s="1122"/>
      <c r="L30" s="641"/>
      <c r="M30" s="641"/>
      <c r="N30" s="1191"/>
      <c r="O30" s="1122"/>
      <c r="P30" s="1916"/>
      <c r="Q30" s="642"/>
      <c r="R30" s="1917"/>
      <c r="S30" s="1104"/>
      <c r="T30" s="1123"/>
      <c r="U30" s="642"/>
      <c r="V30" s="642"/>
      <c r="W30" s="642"/>
      <c r="X30" s="642"/>
      <c r="Y30" s="642"/>
      <c r="Z30" s="642"/>
      <c r="AA30" s="642"/>
      <c r="AB30" s="1349"/>
      <c r="AC30" s="1105"/>
      <c r="AD30" s="642"/>
      <c r="AE30" s="1124"/>
      <c r="AF30" s="1370"/>
      <c r="AG30" s="1322"/>
      <c r="AH30" s="1322"/>
      <c r="AI30" s="1322"/>
      <c r="AJ30" s="1322"/>
      <c r="AK30" s="1322"/>
      <c r="AL30" s="1322"/>
      <c r="AM30" s="1322"/>
      <c r="AN30" s="1323"/>
      <c r="AO30" s="1301"/>
      <c r="AP30" s="1322"/>
      <c r="AQ30" s="1324"/>
    </row>
    <row r="31" spans="1:43" ht="12.75">
      <c r="A31" s="68"/>
      <c r="B31" s="634" t="s">
        <v>963</v>
      </c>
      <c r="C31" s="66" t="s">
        <v>1307</v>
      </c>
      <c r="D31" s="66"/>
      <c r="E31" s="66"/>
      <c r="F31" s="523"/>
      <c r="G31" s="1068"/>
      <c r="H31" s="524"/>
      <c r="I31" s="4"/>
      <c r="J31" s="5"/>
      <c r="K31" s="1125"/>
      <c r="L31" s="4"/>
      <c r="M31" s="4"/>
      <c r="N31" s="915"/>
      <c r="O31" s="1125"/>
      <c r="P31" s="1913"/>
      <c r="Q31" s="32"/>
      <c r="R31" s="364"/>
      <c r="S31" s="1117"/>
      <c r="T31" s="922"/>
      <c r="U31" s="32"/>
      <c r="V31" s="32"/>
      <c r="W31" s="32"/>
      <c r="X31" s="32"/>
      <c r="Y31" s="32"/>
      <c r="Z31" s="32"/>
      <c r="AA31" s="32"/>
      <c r="AB31" s="1348"/>
      <c r="AC31" s="1118"/>
      <c r="AD31" s="32"/>
      <c r="AE31" s="1119"/>
      <c r="AF31" s="1368"/>
      <c r="AG31" s="1316"/>
      <c r="AH31" s="1316"/>
      <c r="AI31" s="1316"/>
      <c r="AJ31" s="1316"/>
      <c r="AK31" s="1316"/>
      <c r="AL31" s="1316"/>
      <c r="AM31" s="1316"/>
      <c r="AN31" s="1325"/>
      <c r="AO31" s="1312"/>
      <c r="AP31" s="512"/>
      <c r="AQ31" s="1313"/>
    </row>
    <row r="32" spans="1:43" ht="12.75">
      <c r="A32" s="68"/>
      <c r="B32" s="634" t="s">
        <v>964</v>
      </c>
      <c r="C32" s="66" t="s">
        <v>1369</v>
      </c>
      <c r="D32" s="66"/>
      <c r="E32" s="66"/>
      <c r="F32" s="523"/>
      <c r="G32" s="1068"/>
      <c r="H32" s="524"/>
      <c r="I32" s="4"/>
      <c r="J32" s="5"/>
      <c r="K32" s="1125"/>
      <c r="L32" s="4"/>
      <c r="M32" s="4"/>
      <c r="N32" s="915"/>
      <c r="O32" s="1125"/>
      <c r="P32" s="1913"/>
      <c r="Q32" s="32"/>
      <c r="R32" s="364"/>
      <c r="S32" s="1117"/>
      <c r="T32" s="922"/>
      <c r="U32" s="32"/>
      <c r="V32" s="32"/>
      <c r="W32" s="32"/>
      <c r="X32" s="32"/>
      <c r="Y32" s="32"/>
      <c r="Z32" s="32"/>
      <c r="AA32" s="32"/>
      <c r="AB32" s="1348"/>
      <c r="AC32" s="1118"/>
      <c r="AD32" s="32"/>
      <c r="AE32" s="1119"/>
      <c r="AF32" s="1368"/>
      <c r="AG32" s="1316"/>
      <c r="AH32" s="1316"/>
      <c r="AI32" s="1316"/>
      <c r="AJ32" s="1316"/>
      <c r="AK32" s="1316"/>
      <c r="AL32" s="1316"/>
      <c r="AM32" s="1316"/>
      <c r="AN32" s="1325"/>
      <c r="AO32" s="1312"/>
      <c r="AP32" s="512"/>
      <c r="AQ32" s="1313"/>
    </row>
    <row r="33" spans="1:43" ht="26.25">
      <c r="A33" s="68" t="s">
        <v>612</v>
      </c>
      <c r="B33" s="621" t="s">
        <v>968</v>
      </c>
      <c r="C33" s="66"/>
      <c r="D33" s="66"/>
      <c r="E33" s="66"/>
      <c r="F33" s="523"/>
      <c r="G33" s="1068"/>
      <c r="H33" s="1103"/>
      <c r="I33" s="623"/>
      <c r="J33" s="639"/>
      <c r="K33" s="1104"/>
      <c r="L33" s="624"/>
      <c r="M33" s="623"/>
      <c r="N33" s="1188"/>
      <c r="O33" s="1104"/>
      <c r="P33" s="1895"/>
      <c r="Q33" s="624"/>
      <c r="R33" s="1896"/>
      <c r="S33" s="1104"/>
      <c r="T33" s="1103"/>
      <c r="U33" s="624"/>
      <c r="V33" s="624"/>
      <c r="W33" s="624"/>
      <c r="X33" s="624"/>
      <c r="Y33" s="624"/>
      <c r="Z33" s="624"/>
      <c r="AA33" s="624"/>
      <c r="AB33" s="1346"/>
      <c r="AC33" s="1105"/>
      <c r="AD33" s="624"/>
      <c r="AE33" s="1106"/>
      <c r="AF33" s="1366"/>
      <c r="AG33" s="1299"/>
      <c r="AH33" s="1299"/>
      <c r="AI33" s="1299"/>
      <c r="AJ33" s="1299"/>
      <c r="AK33" s="1299"/>
      <c r="AL33" s="1299"/>
      <c r="AM33" s="1299"/>
      <c r="AN33" s="1300"/>
      <c r="AO33" s="1301"/>
      <c r="AP33" s="1299"/>
      <c r="AQ33" s="1302"/>
    </row>
    <row r="34" spans="1:43" ht="13.5" customHeight="1">
      <c r="A34" s="68"/>
      <c r="B34" s="634" t="s">
        <v>963</v>
      </c>
      <c r="C34" s="66" t="s">
        <v>1307</v>
      </c>
      <c r="D34" s="66"/>
      <c r="E34" s="66"/>
      <c r="F34" s="523"/>
      <c r="G34" s="1068">
        <v>160</v>
      </c>
      <c r="H34" s="922"/>
      <c r="I34" s="1126"/>
      <c r="J34" s="1127"/>
      <c r="K34" s="1113">
        <v>160</v>
      </c>
      <c r="L34" s="32">
        <v>160</v>
      </c>
      <c r="M34" s="1126">
        <v>160</v>
      </c>
      <c r="N34" s="1192">
        <v>160</v>
      </c>
      <c r="O34" s="1071"/>
      <c r="P34" s="1918">
        <v>160</v>
      </c>
      <c r="Q34" s="1128">
        <v>160</v>
      </c>
      <c r="R34" s="1919">
        <v>160</v>
      </c>
      <c r="S34" s="1914">
        <v>160</v>
      </c>
      <c r="T34" s="1072">
        <f>(U34+V34)/2</f>
        <v>160</v>
      </c>
      <c r="U34" s="1120">
        <v>160</v>
      </c>
      <c r="V34" s="1120">
        <v>160</v>
      </c>
      <c r="W34" s="1072">
        <f>(X34+Y34)/2</f>
        <v>160</v>
      </c>
      <c r="X34" s="1120">
        <v>160</v>
      </c>
      <c r="Y34" s="1120">
        <v>160</v>
      </c>
      <c r="Z34" s="1072">
        <f>(AA34+AB34)/2</f>
        <v>160</v>
      </c>
      <c r="AA34" s="1110">
        <v>160</v>
      </c>
      <c r="AB34" s="1347">
        <v>160</v>
      </c>
      <c r="AC34" s="1129">
        <f>(AD34+AE34)/2</f>
        <v>160</v>
      </c>
      <c r="AD34" s="1073">
        <v>160</v>
      </c>
      <c r="AE34" s="1130">
        <v>160</v>
      </c>
      <c r="AF34" s="1361"/>
      <c r="AG34" s="1272"/>
      <c r="AH34" s="1272"/>
      <c r="AI34" s="1272"/>
      <c r="AJ34" s="1272"/>
      <c r="AK34" s="1272"/>
      <c r="AL34" s="1272"/>
      <c r="AM34" s="1272"/>
      <c r="AN34" s="1273"/>
      <c r="AO34" s="1314"/>
      <c r="AP34" s="1315"/>
      <c r="AQ34" s="1275"/>
    </row>
    <row r="35" spans="1:43" ht="12.75">
      <c r="A35" s="68"/>
      <c r="B35" s="634" t="s">
        <v>964</v>
      </c>
      <c r="C35" s="66" t="s">
        <v>1369</v>
      </c>
      <c r="D35" s="66"/>
      <c r="E35" s="66"/>
      <c r="F35" s="523"/>
      <c r="G35" s="1068">
        <v>25415</v>
      </c>
      <c r="H35" s="1114"/>
      <c r="I35" s="590"/>
      <c r="J35" s="631"/>
      <c r="K35" s="1113">
        <f>(K20+K23+K26)*K34/100</f>
        <v>25471.365004799998</v>
      </c>
      <c r="L35" s="599">
        <f>(L20+L23+L26+L29)*L34/100</f>
        <v>21883.245576192</v>
      </c>
      <c r="M35" s="590">
        <f>(M20+M23+M26+M29)*M34/100</f>
        <v>24296.838838271997</v>
      </c>
      <c r="N35" s="1189">
        <f>(N20+N23+N26+N29)*N34/100</f>
        <v>33874.993152</v>
      </c>
      <c r="O35" s="1114"/>
      <c r="P35" s="1910">
        <f>(P20+P23+P26+P29)*P34/100</f>
        <v>21883.245576192</v>
      </c>
      <c r="Q35" s="599">
        <f>(Q20+Q23+Q26+Q29)*Q34/100</f>
        <v>24296.838838271997</v>
      </c>
      <c r="R35" s="1911">
        <f>(R20+R23+R26+R29)*R34/100</f>
        <v>33874.993152</v>
      </c>
      <c r="S35" s="1912">
        <f>(S20+S23+S26)*S34/100</f>
        <v>38699.17908480001</v>
      </c>
      <c r="T35" s="1114">
        <f aca="true" t="shared" si="7" ref="T35:AD35">(T20+T23+T26+T29)*T34/100</f>
        <v>31286.86858752001</v>
      </c>
      <c r="U35" s="599">
        <f t="shared" si="7"/>
        <v>31286.86858752001</v>
      </c>
      <c r="V35" s="599">
        <f t="shared" si="7"/>
        <v>31286.86858752001</v>
      </c>
      <c r="W35" s="599">
        <f t="shared" si="7"/>
        <v>37958.333212800004</v>
      </c>
      <c r="X35" s="599">
        <f t="shared" si="7"/>
        <v>37958.333212800004</v>
      </c>
      <c r="Y35" s="599">
        <f t="shared" si="7"/>
        <v>37958.333212800004</v>
      </c>
      <c r="Z35" s="599">
        <f t="shared" si="7"/>
        <v>52410.00211200001</v>
      </c>
      <c r="AA35" s="599">
        <f t="shared" si="7"/>
        <v>52410.00211200001</v>
      </c>
      <c r="AB35" s="1190">
        <f>(AB20+AB23+AB26+AB29)*AB34/100</f>
        <v>52410.00211200001</v>
      </c>
      <c r="AC35" s="1214">
        <f>(AC20+AC23+AC26+AC29)*AC34/100</f>
        <v>36163.187245119996</v>
      </c>
      <c r="AD35" s="599">
        <f t="shared" si="7"/>
        <v>36163.187245119996</v>
      </c>
      <c r="AE35" s="1374">
        <f>(AE20+AE23+AE26+AE29)*AE34/100</f>
        <v>36163.187245119996</v>
      </c>
      <c r="AF35" s="1367"/>
      <c r="AG35" s="1307"/>
      <c r="AH35" s="1307"/>
      <c r="AI35" s="1307"/>
      <c r="AJ35" s="1307"/>
      <c r="AK35" s="1307"/>
      <c r="AL35" s="1307"/>
      <c r="AM35" s="1307"/>
      <c r="AN35" s="1308"/>
      <c r="AO35" s="1309"/>
      <c r="AP35" s="1310"/>
      <c r="AQ35" s="1311"/>
    </row>
    <row r="36" spans="1:43" ht="26.25">
      <c r="A36" s="625" t="s">
        <v>1012</v>
      </c>
      <c r="B36" s="626" t="s">
        <v>969</v>
      </c>
      <c r="C36" s="644" t="s">
        <v>1369</v>
      </c>
      <c r="D36" s="644"/>
      <c r="E36" s="644"/>
      <c r="F36" s="627"/>
      <c r="G36" s="1082">
        <v>41299</v>
      </c>
      <c r="H36" s="633"/>
      <c r="I36" s="646"/>
      <c r="J36" s="645"/>
      <c r="K36" s="1082">
        <f aca="true" t="shared" si="8" ref="K36:AD36">K20+K23+K26+K29+K35+K32</f>
        <v>41390.9681328</v>
      </c>
      <c r="L36" s="632">
        <f t="shared" si="8"/>
        <v>35560.274061312</v>
      </c>
      <c r="M36" s="646">
        <f t="shared" si="8"/>
        <v>39482.363112192</v>
      </c>
      <c r="N36" s="1184">
        <f t="shared" si="8"/>
        <v>55046.863872</v>
      </c>
      <c r="O36" s="1082">
        <v>60567.6</v>
      </c>
      <c r="P36" s="1901">
        <f t="shared" si="8"/>
        <v>35560.274061312</v>
      </c>
      <c r="Q36" s="632">
        <f t="shared" si="8"/>
        <v>39482.363112192</v>
      </c>
      <c r="R36" s="1902">
        <f t="shared" si="8"/>
        <v>55046.863872</v>
      </c>
      <c r="S36" s="1082">
        <f t="shared" si="8"/>
        <v>62886.166012800015</v>
      </c>
      <c r="T36" s="633">
        <f t="shared" si="8"/>
        <v>50841.161454720015</v>
      </c>
      <c r="U36" s="632">
        <f t="shared" si="8"/>
        <v>50841.161454720015</v>
      </c>
      <c r="V36" s="632">
        <f t="shared" si="8"/>
        <v>50841.161454720015</v>
      </c>
      <c r="W36" s="632">
        <f t="shared" si="8"/>
        <v>61682.2914708</v>
      </c>
      <c r="X36" s="632">
        <f t="shared" si="8"/>
        <v>61682.2914708</v>
      </c>
      <c r="Y36" s="632">
        <f t="shared" si="8"/>
        <v>61682.2914708</v>
      </c>
      <c r="Z36" s="632">
        <f t="shared" si="8"/>
        <v>85166.25343200001</v>
      </c>
      <c r="AA36" s="632">
        <f t="shared" si="8"/>
        <v>85166.25343200001</v>
      </c>
      <c r="AB36" s="1187">
        <f t="shared" si="8"/>
        <v>85166.25343200001</v>
      </c>
      <c r="AC36" s="1083">
        <f>AC20+AC23+AC26+AC29+AC35+AC32</f>
        <v>58765.17927332</v>
      </c>
      <c r="AD36" s="632">
        <f t="shared" si="8"/>
        <v>58765.17927332</v>
      </c>
      <c r="AE36" s="1084">
        <f>AE20+AE23+AE26+AE29+AE35+AE32</f>
        <v>58765.17927332</v>
      </c>
      <c r="AF36" s="1363"/>
      <c r="AG36" s="1280"/>
      <c r="AH36" s="1280"/>
      <c r="AI36" s="1280"/>
      <c r="AJ36" s="1280"/>
      <c r="AK36" s="1280"/>
      <c r="AL36" s="1280"/>
      <c r="AM36" s="1280"/>
      <c r="AN36" s="1281"/>
      <c r="AO36" s="1282">
        <f>(AF36*AF11+AI36*AI11+AL36*AL11)/AO11</f>
        <v>0</v>
      </c>
      <c r="AP36" s="1283">
        <f>(AG36*AG11+AJ36*AJ11+AM36*AM11)/AP11</f>
        <v>0</v>
      </c>
      <c r="AQ36" s="1284">
        <f>(AH36*AH11+AK36*AK11+AN36*AN11)/AQ11</f>
        <v>0</v>
      </c>
    </row>
    <row r="37" spans="1:43" s="510" customFormat="1" ht="26.25">
      <c r="A37" s="1131" t="s">
        <v>1018</v>
      </c>
      <c r="B37" s="1132" t="s">
        <v>970</v>
      </c>
      <c r="C37" s="1133"/>
      <c r="D37" s="1133"/>
      <c r="E37" s="1133"/>
      <c r="F37" s="1134"/>
      <c r="G37" s="1135">
        <v>4212</v>
      </c>
      <c r="H37" s="649">
        <f>H11*H36*H41/1000</f>
        <v>0</v>
      </c>
      <c r="I37" s="650">
        <f>I11*I36*I41/1000</f>
        <v>0</v>
      </c>
      <c r="J37" s="647">
        <f>J11*J36*J41/1000</f>
        <v>0</v>
      </c>
      <c r="K37" s="1135">
        <v>4205</v>
      </c>
      <c r="L37" s="650">
        <f aca="true" t="shared" si="9" ref="L37:AD37">L11*L36*L41/1000</f>
        <v>1706.8931549429758</v>
      </c>
      <c r="M37" s="650">
        <f t="shared" si="9"/>
        <v>1184.4708933657598</v>
      </c>
      <c r="N37" s="1193">
        <f t="shared" si="9"/>
        <v>1321.124732928</v>
      </c>
      <c r="O37" s="1135">
        <f t="shared" si="9"/>
        <v>5814.4896</v>
      </c>
      <c r="P37" s="1897">
        <f t="shared" si="9"/>
        <v>1706.8931549429758</v>
      </c>
      <c r="Q37" s="648">
        <f t="shared" si="9"/>
        <v>1184.4708933657598</v>
      </c>
      <c r="R37" s="1920">
        <f t="shared" si="9"/>
        <v>1321.124732928</v>
      </c>
      <c r="S37" s="1898">
        <f>S11*S36*S41/1000</f>
        <v>6791.705929382401</v>
      </c>
      <c r="T37" s="649">
        <f t="shared" si="9"/>
        <v>2440.375749826561</v>
      </c>
      <c r="U37" s="650">
        <f t="shared" si="9"/>
        <v>1220.1878749132804</v>
      </c>
      <c r="V37" s="650">
        <f t="shared" si="9"/>
        <v>1220.1878749132804</v>
      </c>
      <c r="W37" s="650">
        <f t="shared" si="9"/>
        <v>1850.468744124</v>
      </c>
      <c r="X37" s="650">
        <f t="shared" si="9"/>
        <v>925.234372062</v>
      </c>
      <c r="Y37" s="650">
        <f t="shared" si="9"/>
        <v>925.234372062</v>
      </c>
      <c r="Z37" s="650">
        <f t="shared" si="9"/>
        <v>2554.9876029600005</v>
      </c>
      <c r="AA37" s="650">
        <f t="shared" si="9"/>
        <v>1277.4938014800002</v>
      </c>
      <c r="AB37" s="1193">
        <f t="shared" si="9"/>
        <v>1277.4938014800002</v>
      </c>
      <c r="AC37" s="1136">
        <f t="shared" si="9"/>
        <v>6346.63936151856</v>
      </c>
      <c r="AD37" s="650">
        <f t="shared" si="9"/>
        <v>3173.31968075928</v>
      </c>
      <c r="AE37" s="1137">
        <f>AE11*AE36*AE41/1000</f>
        <v>3173.31968075928</v>
      </c>
      <c r="AF37" s="1371">
        <f aca="true" t="shared" si="10" ref="AF37:AQ37">AF36*AF11*AF41/1000</f>
        <v>0</v>
      </c>
      <c r="AG37" s="1326">
        <f t="shared" si="10"/>
        <v>0</v>
      </c>
      <c r="AH37" s="1326">
        <f t="shared" si="10"/>
        <v>0</v>
      </c>
      <c r="AI37" s="1326">
        <f t="shared" si="10"/>
        <v>0</v>
      </c>
      <c r="AJ37" s="1326">
        <f t="shared" si="10"/>
        <v>0</v>
      </c>
      <c r="AK37" s="1326">
        <f t="shared" si="10"/>
        <v>0</v>
      </c>
      <c r="AL37" s="1326">
        <f t="shared" si="10"/>
        <v>0</v>
      </c>
      <c r="AM37" s="1326">
        <f t="shared" si="10"/>
        <v>0</v>
      </c>
      <c r="AN37" s="1327">
        <f t="shared" si="10"/>
        <v>0</v>
      </c>
      <c r="AO37" s="1328">
        <f t="shared" si="10"/>
        <v>0</v>
      </c>
      <c r="AP37" s="1329">
        <f t="shared" si="10"/>
        <v>0</v>
      </c>
      <c r="AQ37" s="1330">
        <f t="shared" si="10"/>
        <v>0</v>
      </c>
    </row>
    <row r="38" spans="1:43" ht="12.75">
      <c r="A38" s="68" t="s">
        <v>602</v>
      </c>
      <c r="B38" s="621" t="s">
        <v>971</v>
      </c>
      <c r="C38" s="66" t="s">
        <v>638</v>
      </c>
      <c r="D38" s="66"/>
      <c r="E38" s="66"/>
      <c r="F38" s="523"/>
      <c r="G38" s="1068">
        <v>73</v>
      </c>
      <c r="H38" s="1069"/>
      <c r="I38" s="1070"/>
      <c r="J38" s="1138"/>
      <c r="K38" s="1071">
        <f>SUM(H38:J38)</f>
        <v>0</v>
      </c>
      <c r="L38" s="1070">
        <v>30</v>
      </c>
      <c r="M38" s="1070">
        <v>43</v>
      </c>
      <c r="N38" s="1182"/>
      <c r="O38" s="1071">
        <v>150</v>
      </c>
      <c r="P38" s="1921">
        <f>L38</f>
        <v>30</v>
      </c>
      <c r="Q38" s="1073">
        <v>43</v>
      </c>
      <c r="R38" s="1922"/>
      <c r="S38" s="1914">
        <v>150</v>
      </c>
      <c r="T38" s="1072">
        <f>SUM(U38:V38)</f>
        <v>0</v>
      </c>
      <c r="U38" s="1073">
        <v>0</v>
      </c>
      <c r="V38" s="1073">
        <v>0</v>
      </c>
      <c r="W38" s="1073">
        <f>SUM(X38:Y38)</f>
        <v>0</v>
      </c>
      <c r="X38" s="1073">
        <v>0</v>
      </c>
      <c r="Y38" s="1073"/>
      <c r="Z38" s="1128">
        <v>150</v>
      </c>
      <c r="AA38" s="1128"/>
      <c r="AB38" s="1347">
        <v>150</v>
      </c>
      <c r="AC38" s="1074">
        <f>SUM(T38,W38,Z38)</f>
        <v>150</v>
      </c>
      <c r="AD38" s="1073">
        <f>SUM(U38,X38,AA38)</f>
        <v>0</v>
      </c>
      <c r="AE38" s="1075">
        <f>SUM(V38,Y38,AB38)</f>
        <v>150</v>
      </c>
      <c r="AF38" s="1361"/>
      <c r="AG38" s="1315">
        <v>0</v>
      </c>
      <c r="AH38" s="1315"/>
      <c r="AI38" s="1315">
        <v>0</v>
      </c>
      <c r="AJ38" s="1315"/>
      <c r="AK38" s="1315">
        <v>0</v>
      </c>
      <c r="AL38" s="1320"/>
      <c r="AM38" s="1320"/>
      <c r="AN38" s="1304"/>
      <c r="AO38" s="1314">
        <f>AF38+AI38+AL38</f>
        <v>0</v>
      </c>
      <c r="AP38" s="1315">
        <f>AG38+AJ38+AM38</f>
        <v>0</v>
      </c>
      <c r="AQ38" s="1275">
        <f>AH38+AK38+AN38</f>
        <v>0</v>
      </c>
    </row>
    <row r="39" spans="1:43" ht="52.5">
      <c r="A39" s="68" t="s">
        <v>604</v>
      </c>
      <c r="B39" s="621" t="s">
        <v>1548</v>
      </c>
      <c r="C39" s="66" t="s">
        <v>638</v>
      </c>
      <c r="D39" s="66"/>
      <c r="E39" s="66"/>
      <c r="F39" s="523"/>
      <c r="G39" s="1068"/>
      <c r="H39" s="651"/>
      <c r="I39" s="623"/>
      <c r="J39" s="639"/>
      <c r="K39" s="1122"/>
      <c r="L39" s="623"/>
      <c r="M39" s="623"/>
      <c r="N39" s="1188"/>
      <c r="O39" s="1122"/>
      <c r="P39" s="1895"/>
      <c r="Q39" s="624"/>
      <c r="R39" s="1896"/>
      <c r="S39" s="1104"/>
      <c r="T39" s="1103"/>
      <c r="U39" s="624"/>
      <c r="V39" s="624"/>
      <c r="W39" s="624"/>
      <c r="X39" s="624"/>
      <c r="Y39" s="624"/>
      <c r="Z39" s="624"/>
      <c r="AA39" s="624"/>
      <c r="AB39" s="1346"/>
      <c r="AC39" s="1105"/>
      <c r="AD39" s="624"/>
      <c r="AE39" s="1106"/>
      <c r="AF39" s="1366"/>
      <c r="AG39" s="1299"/>
      <c r="AH39" s="1299"/>
      <c r="AI39" s="1299"/>
      <c r="AJ39" s="1299"/>
      <c r="AK39" s="1299"/>
      <c r="AL39" s="1299"/>
      <c r="AM39" s="1299"/>
      <c r="AN39" s="1300"/>
      <c r="AO39" s="1301"/>
      <c r="AP39" s="1299"/>
      <c r="AQ39" s="1302"/>
    </row>
    <row r="40" spans="1:43" ht="12.75">
      <c r="A40" s="68" t="s">
        <v>606</v>
      </c>
      <c r="B40" s="621" t="s">
        <v>1666</v>
      </c>
      <c r="C40" s="66" t="s">
        <v>638</v>
      </c>
      <c r="D40" s="66"/>
      <c r="E40" s="66"/>
      <c r="F40" s="523"/>
      <c r="G40" s="1068">
        <v>1272</v>
      </c>
      <c r="H40" s="902"/>
      <c r="I40" s="531"/>
      <c r="J40" s="530"/>
      <c r="K40" s="1139">
        <v>1269</v>
      </c>
      <c r="L40" s="589"/>
      <c r="M40" s="589"/>
      <c r="N40" s="1194"/>
      <c r="O40" s="1139">
        <v>1566</v>
      </c>
      <c r="P40" s="1923"/>
      <c r="Q40" s="597"/>
      <c r="R40" s="654"/>
      <c r="S40" s="1924">
        <f>S37*30.2/100</f>
        <v>2051.095190673485</v>
      </c>
      <c r="T40" s="1140">
        <f>U40+V40</f>
        <v>736.9934764476213</v>
      </c>
      <c r="U40" s="597">
        <f>U37*30.2%</f>
        <v>368.49673822381067</v>
      </c>
      <c r="V40" s="597">
        <f>V37*30.2%</f>
        <v>368.49673822381067</v>
      </c>
      <c r="W40" s="597">
        <f>SUM(X40:Y40)</f>
        <v>558.841560725448</v>
      </c>
      <c r="X40" s="597">
        <f>X37*30.2%</f>
        <v>279.420780362724</v>
      </c>
      <c r="Y40" s="597">
        <f>Y37*30.2%</f>
        <v>279.420780362724</v>
      </c>
      <c r="Z40" s="597">
        <f>AA40+AB40</f>
        <v>771.6062560939201</v>
      </c>
      <c r="AA40" s="654">
        <f>AA37*30.2%</f>
        <v>385.80312804696007</v>
      </c>
      <c r="AB40" s="1195">
        <f>AB37*30.2%</f>
        <v>385.80312804696007</v>
      </c>
      <c r="AC40" s="1141">
        <f>AD40+AE40</f>
        <v>1916.685087178605</v>
      </c>
      <c r="AD40" s="597">
        <f>AD37*30.2%</f>
        <v>958.3425435893025</v>
      </c>
      <c r="AE40" s="1142">
        <f>AE37*30.2%</f>
        <v>958.3425435893025</v>
      </c>
      <c r="AF40" s="1372">
        <f aca="true" t="shared" si="11" ref="AF40:AK40">ROUND(AF37*0.302,0)</f>
        <v>0</v>
      </c>
      <c r="AG40" s="1331">
        <f t="shared" si="11"/>
        <v>0</v>
      </c>
      <c r="AH40" s="1331">
        <f t="shared" si="11"/>
        <v>0</v>
      </c>
      <c r="AI40" s="1331">
        <f t="shared" si="11"/>
        <v>0</v>
      </c>
      <c r="AJ40" s="1331">
        <f t="shared" si="11"/>
        <v>0</v>
      </c>
      <c r="AK40" s="1331">
        <f t="shared" si="11"/>
        <v>0</v>
      </c>
      <c r="AL40" s="1332">
        <f>AR53</f>
        <v>0</v>
      </c>
      <c r="AM40" s="1333">
        <f>AL40/2</f>
        <v>0</v>
      </c>
      <c r="AN40" s="1334">
        <f>AL40-AM40</f>
        <v>0</v>
      </c>
      <c r="AO40" s="1335">
        <f>AF40+AI40+AL40</f>
        <v>0</v>
      </c>
      <c r="AP40" s="1336">
        <f>AG40+AJ40+AM40</f>
        <v>0</v>
      </c>
      <c r="AQ40" s="1337">
        <f>AH40+AK40+AN40</f>
        <v>0</v>
      </c>
    </row>
    <row r="41" spans="1:43" ht="26.25">
      <c r="A41" s="68"/>
      <c r="B41" s="621" t="s">
        <v>973</v>
      </c>
      <c r="C41" s="66"/>
      <c r="D41" s="66"/>
      <c r="E41" s="66"/>
      <c r="F41" s="523"/>
      <c r="G41" s="1068">
        <v>12</v>
      </c>
      <c r="H41" s="524">
        <v>12</v>
      </c>
      <c r="I41" s="4">
        <v>12</v>
      </c>
      <c r="J41" s="5">
        <v>12</v>
      </c>
      <c r="K41" s="1125">
        <v>12</v>
      </c>
      <c r="L41" s="4">
        <v>12</v>
      </c>
      <c r="M41" s="4">
        <v>12</v>
      </c>
      <c r="N41" s="915">
        <v>12</v>
      </c>
      <c r="O41" s="1125">
        <v>12</v>
      </c>
      <c r="P41" s="1913">
        <v>12</v>
      </c>
      <c r="Q41" s="32">
        <v>12</v>
      </c>
      <c r="R41" s="364">
        <v>12</v>
      </c>
      <c r="S41" s="1117">
        <v>12</v>
      </c>
      <c r="T41" s="922">
        <v>12</v>
      </c>
      <c r="U41" s="32">
        <v>6</v>
      </c>
      <c r="V41" s="32">
        <v>6</v>
      </c>
      <c r="W41" s="32">
        <v>12</v>
      </c>
      <c r="X41" s="32">
        <v>6</v>
      </c>
      <c r="Y41" s="32">
        <v>6</v>
      </c>
      <c r="Z41" s="32">
        <v>12</v>
      </c>
      <c r="AA41" s="32">
        <v>6</v>
      </c>
      <c r="AB41" s="1348">
        <v>6</v>
      </c>
      <c r="AC41" s="1118">
        <v>12</v>
      </c>
      <c r="AD41" s="32">
        <v>6</v>
      </c>
      <c r="AE41" s="1119">
        <v>6</v>
      </c>
      <c r="AF41" s="1368">
        <v>12</v>
      </c>
      <c r="AG41" s="512">
        <v>6</v>
      </c>
      <c r="AH41" s="512">
        <v>6</v>
      </c>
      <c r="AI41" s="512">
        <v>12</v>
      </c>
      <c r="AJ41" s="512">
        <v>6</v>
      </c>
      <c r="AK41" s="512">
        <v>6</v>
      </c>
      <c r="AL41" s="512">
        <v>12</v>
      </c>
      <c r="AM41" s="512">
        <v>6</v>
      </c>
      <c r="AN41" s="521">
        <v>6</v>
      </c>
      <c r="AO41" s="1312">
        <v>12</v>
      </c>
      <c r="AP41" s="512">
        <v>6</v>
      </c>
      <c r="AQ41" s="1313">
        <v>6</v>
      </c>
    </row>
    <row r="42" spans="1:43" ht="27" thickBot="1">
      <c r="A42" s="67" t="s">
        <v>613</v>
      </c>
      <c r="B42" s="620" t="s">
        <v>1549</v>
      </c>
      <c r="C42" s="637" t="s">
        <v>638</v>
      </c>
      <c r="D42" s="637"/>
      <c r="E42" s="637"/>
      <c r="F42" s="1020"/>
      <c r="G42" s="1143">
        <v>5557</v>
      </c>
      <c r="H42" s="1140">
        <f aca="true" t="shared" si="12" ref="H42:N42">SUM(H37:H40)</f>
        <v>0</v>
      </c>
      <c r="I42" s="597">
        <f t="shared" si="12"/>
        <v>0</v>
      </c>
      <c r="J42" s="654">
        <f t="shared" si="12"/>
        <v>0</v>
      </c>
      <c r="K42" s="1144">
        <f t="shared" si="12"/>
        <v>5474</v>
      </c>
      <c r="L42" s="597">
        <f t="shared" si="12"/>
        <v>1736.8931549429758</v>
      </c>
      <c r="M42" s="597">
        <f t="shared" si="12"/>
        <v>1227.4708933657598</v>
      </c>
      <c r="N42" s="1195">
        <f t="shared" si="12"/>
        <v>1321.124732928</v>
      </c>
      <c r="O42" s="1144">
        <f>O37+O38+O40</f>
        <v>7530.4896</v>
      </c>
      <c r="P42" s="1923">
        <f>SUM(P37:P40)</f>
        <v>1736.8931549429758</v>
      </c>
      <c r="Q42" s="597">
        <f>SUM(Q37:Q40)</f>
        <v>1227.4708933657598</v>
      </c>
      <c r="R42" s="654">
        <f>SUM(R37:R40)</f>
        <v>1321.124732928</v>
      </c>
      <c r="S42" s="1144">
        <f aca="true" t="shared" si="13" ref="S42:AE42">S37+S38+S40</f>
        <v>8992.801120055887</v>
      </c>
      <c r="T42" s="1144">
        <f t="shared" si="13"/>
        <v>3177.3692262741824</v>
      </c>
      <c r="U42" s="1144">
        <f t="shared" si="13"/>
        <v>1588.6846131370912</v>
      </c>
      <c r="V42" s="1144">
        <f t="shared" si="13"/>
        <v>1588.6846131370912</v>
      </c>
      <c r="W42" s="1144">
        <f t="shared" si="13"/>
        <v>2409.310304849448</v>
      </c>
      <c r="X42" s="1144">
        <f t="shared" si="13"/>
        <v>1204.655152424724</v>
      </c>
      <c r="Y42" s="1144">
        <f t="shared" si="13"/>
        <v>1204.655152424724</v>
      </c>
      <c r="Z42" s="1144">
        <f t="shared" si="13"/>
        <v>3476.593859053921</v>
      </c>
      <c r="AA42" s="1144">
        <f t="shared" si="13"/>
        <v>1663.2969295269604</v>
      </c>
      <c r="AB42" s="1144">
        <f t="shared" si="13"/>
        <v>1813.2969295269604</v>
      </c>
      <c r="AC42" s="1144">
        <f t="shared" si="13"/>
        <v>8413.324448697165</v>
      </c>
      <c r="AD42" s="1144">
        <f t="shared" si="13"/>
        <v>4131.662224348583</v>
      </c>
      <c r="AE42" s="1144">
        <f t="shared" si="13"/>
        <v>4281.662224348583</v>
      </c>
      <c r="AF42" s="1373">
        <f aca="true" t="shared" si="14" ref="AF42:AQ42">AF37+AF38</f>
        <v>0</v>
      </c>
      <c r="AG42" s="1332">
        <f t="shared" si="14"/>
        <v>0</v>
      </c>
      <c r="AH42" s="1332">
        <f t="shared" si="14"/>
        <v>0</v>
      </c>
      <c r="AI42" s="1332">
        <f t="shared" si="14"/>
        <v>0</v>
      </c>
      <c r="AJ42" s="1332">
        <f t="shared" si="14"/>
        <v>0</v>
      </c>
      <c r="AK42" s="1332">
        <f t="shared" si="14"/>
        <v>0</v>
      </c>
      <c r="AL42" s="1332">
        <f t="shared" si="14"/>
        <v>0</v>
      </c>
      <c r="AM42" s="1332">
        <f t="shared" si="14"/>
        <v>0</v>
      </c>
      <c r="AN42" s="1338">
        <f t="shared" si="14"/>
        <v>0</v>
      </c>
      <c r="AO42" s="1339">
        <f t="shared" si="14"/>
        <v>0</v>
      </c>
      <c r="AP42" s="1340">
        <f t="shared" si="14"/>
        <v>0</v>
      </c>
      <c r="AQ42" s="1341">
        <f t="shared" si="14"/>
        <v>0</v>
      </c>
    </row>
    <row r="44" spans="29:31" ht="12.75">
      <c r="AC44" s="184"/>
      <c r="AD44" s="184"/>
      <c r="AE44" s="184"/>
    </row>
    <row r="45" spans="2:31" ht="12.75">
      <c r="B45" s="1" t="s">
        <v>1496</v>
      </c>
      <c r="G45" s="1" t="s">
        <v>1667</v>
      </c>
      <c r="AC45" s="184"/>
      <c r="AD45" s="184"/>
      <c r="AE45" s="184"/>
    </row>
    <row r="46" spans="1:28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ht="12.75">
      <c r="A47" s="659"/>
    </row>
    <row r="48" spans="2:45" ht="15">
      <c r="B48" s="660"/>
      <c r="C48" s="537"/>
      <c r="D48" s="537"/>
      <c r="E48" s="537"/>
      <c r="F48" s="537"/>
      <c r="G48" s="537"/>
      <c r="H48" s="661"/>
      <c r="I48" s="1145"/>
      <c r="J48" s="1145"/>
      <c r="K48" s="661"/>
      <c r="L48" s="1145"/>
      <c r="M48" s="1145"/>
      <c r="N48" s="1145"/>
      <c r="O48" s="661"/>
      <c r="P48" s="1145"/>
      <c r="Q48" s="1145"/>
      <c r="R48" s="1145"/>
      <c r="S48" s="1146"/>
      <c r="T48" s="1145"/>
      <c r="U48" s="663"/>
      <c r="V48" s="663"/>
      <c r="W48" s="1145"/>
      <c r="X48" s="663"/>
      <c r="Y48" s="663"/>
      <c r="Z48" s="1145"/>
      <c r="AA48" s="663"/>
      <c r="AB48" s="663"/>
      <c r="AC48" s="661"/>
      <c r="AD48" s="661"/>
      <c r="AE48" s="2211" t="s">
        <v>1668</v>
      </c>
      <c r="AF48" s="2211"/>
      <c r="AG48" s="2211"/>
      <c r="AH48" s="2211"/>
      <c r="AI48" s="2211"/>
      <c r="AJ48" s="2211"/>
      <c r="AK48" s="2211"/>
      <c r="AL48" s="2211"/>
      <c r="AM48" s="2211"/>
      <c r="AN48" s="2211"/>
      <c r="AO48" s="2211"/>
      <c r="AP48" s="2211"/>
      <c r="AQ48" s="2211"/>
      <c r="AR48" s="2211"/>
      <c r="AS48" s="2211"/>
    </row>
    <row r="49" spans="2:45" ht="13.5">
      <c r="B49" s="2"/>
      <c r="C49" s="64"/>
      <c r="D49" s="64"/>
      <c r="E49" s="64"/>
      <c r="F49" s="64"/>
      <c r="G49" s="64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2"/>
      <c r="S49" s="1147"/>
      <c r="T49" s="662"/>
      <c r="U49" s="662"/>
      <c r="V49" s="662"/>
      <c r="W49" s="662"/>
      <c r="X49" s="662"/>
      <c r="Y49" s="662"/>
      <c r="Z49" s="662"/>
      <c r="AA49" s="662"/>
      <c r="AB49" s="662"/>
      <c r="AC49" s="662"/>
      <c r="AD49" s="662"/>
      <c r="AE49" s="1148"/>
      <c r="AF49" s="1148"/>
      <c r="AG49" s="1148"/>
      <c r="AH49" s="1148"/>
      <c r="AI49" s="1148"/>
      <c r="AJ49" s="1148"/>
      <c r="AK49" s="1148"/>
      <c r="AL49" s="1148"/>
      <c r="AM49" s="1148"/>
      <c r="AN49" s="1148"/>
      <c r="AO49" s="1148"/>
      <c r="AP49" s="1148"/>
      <c r="AQ49" s="1148"/>
      <c r="AR49" s="1148"/>
      <c r="AS49" s="1148"/>
    </row>
    <row r="50" spans="2:45" ht="158.25">
      <c r="B50" s="660"/>
      <c r="C50" s="537"/>
      <c r="D50" s="537"/>
      <c r="E50" s="537"/>
      <c r="F50" s="537"/>
      <c r="G50" s="537"/>
      <c r="H50" s="1149"/>
      <c r="I50" s="1150"/>
      <c r="J50" s="1150"/>
      <c r="K50" s="1151"/>
      <c r="L50" s="1151"/>
      <c r="M50" s="1151"/>
      <c r="N50" s="1151"/>
      <c r="O50" s="1152"/>
      <c r="P50" s="1151"/>
      <c r="Q50" s="1151"/>
      <c r="R50" s="1151"/>
      <c r="S50" s="1153"/>
      <c r="T50" s="1151"/>
      <c r="U50" s="1154"/>
      <c r="V50" s="1154"/>
      <c r="W50" s="1151"/>
      <c r="X50" s="1154"/>
      <c r="Y50" s="1154"/>
      <c r="Z50" s="1151"/>
      <c r="AA50" s="1154"/>
      <c r="AB50" s="1154"/>
      <c r="AC50" s="1152"/>
      <c r="AD50" s="1152"/>
      <c r="AE50" s="1155" t="s">
        <v>652</v>
      </c>
      <c r="AF50" s="1155" t="s">
        <v>681</v>
      </c>
      <c r="AG50" s="1155" t="s">
        <v>1669</v>
      </c>
      <c r="AH50" s="1155" t="s">
        <v>148</v>
      </c>
      <c r="AI50" s="1155" t="s">
        <v>1702</v>
      </c>
      <c r="AJ50" s="1155" t="s">
        <v>1703</v>
      </c>
      <c r="AK50" s="1155" t="s">
        <v>1704</v>
      </c>
      <c r="AL50" s="1155" t="s">
        <v>1705</v>
      </c>
      <c r="AM50" s="1155" t="s">
        <v>1706</v>
      </c>
      <c r="AN50" s="1155" t="s">
        <v>1707</v>
      </c>
      <c r="AO50" s="1155" t="s">
        <v>1708</v>
      </c>
      <c r="AP50" s="1155" t="s">
        <v>1709</v>
      </c>
      <c r="AQ50" s="1155" t="s">
        <v>1710</v>
      </c>
      <c r="AR50" s="1155" t="s">
        <v>1711</v>
      </c>
      <c r="AS50" s="1155" t="s">
        <v>1712</v>
      </c>
    </row>
    <row r="51" spans="2:45" ht="13.5">
      <c r="B51" s="660"/>
      <c r="C51" s="537"/>
      <c r="D51" s="537"/>
      <c r="E51" s="537"/>
      <c r="F51" s="537"/>
      <c r="G51" s="537"/>
      <c r="K51" s="663"/>
      <c r="L51" s="663"/>
      <c r="M51" s="663"/>
      <c r="N51" s="663"/>
      <c r="O51" s="1156"/>
      <c r="P51" s="663"/>
      <c r="Q51" s="663"/>
      <c r="R51" s="663"/>
      <c r="S51" s="1157"/>
      <c r="T51" s="663"/>
      <c r="U51" s="663"/>
      <c r="V51" s="663"/>
      <c r="W51" s="663"/>
      <c r="X51" s="663"/>
      <c r="Y51" s="663"/>
      <c r="Z51" s="663"/>
      <c r="AA51" s="663"/>
      <c r="AB51" s="663"/>
      <c r="AC51" s="1156"/>
      <c r="AD51" s="1156"/>
      <c r="AE51" s="1158">
        <v>1</v>
      </c>
      <c r="AF51" s="1159" t="s">
        <v>1543</v>
      </c>
      <c r="AG51" s="1160">
        <f>AF11</f>
        <v>4</v>
      </c>
      <c r="AH51" s="1161">
        <f>AI51*12*AG51/1000</f>
        <v>0</v>
      </c>
      <c r="AI51" s="1162">
        <f>AF36</f>
        <v>0</v>
      </c>
      <c r="AJ51" s="1163">
        <f>AI51*12</f>
        <v>0</v>
      </c>
      <c r="AK51" s="1164">
        <v>723000</v>
      </c>
      <c r="AL51" s="1164">
        <v>800000</v>
      </c>
      <c r="AM51" s="1163">
        <f>IF(AJ51&lt;AL51,AJ51*22/100)+IF(AJ51&gt;AL51,176000)</f>
        <v>0</v>
      </c>
      <c r="AN51" s="1164">
        <f>IF(AJ51&lt;AL51,0)+IF(AJ51&gt;AL51,(AJ51-AL51)*10/100)</f>
        <v>0</v>
      </c>
      <c r="AO51" s="1163">
        <f>IF(AJ51&lt;AK51,AJ51*2.9/100)+IF(AJ51&gt;AK51,20967)</f>
        <v>0</v>
      </c>
      <c r="AP51" s="1164">
        <f>AJ51*5.1%</f>
        <v>0</v>
      </c>
      <c r="AQ51" s="1165">
        <f>AJ51*0.2%</f>
        <v>0</v>
      </c>
      <c r="AR51" s="1165">
        <f>((AM51+AN51+AO51+AP51+AQ51)*AG51)/1000</f>
        <v>0</v>
      </c>
      <c r="AS51" s="1166" t="e">
        <f>AR51/AH51</f>
        <v>#DIV/0!</v>
      </c>
    </row>
    <row r="52" spans="2:45" ht="13.5">
      <c r="B52" s="660"/>
      <c r="C52" s="537"/>
      <c r="D52" s="537"/>
      <c r="E52" s="537"/>
      <c r="F52" s="537"/>
      <c r="G52" s="537"/>
      <c r="H52" s="1146"/>
      <c r="I52" s="1167"/>
      <c r="J52" s="1167"/>
      <c r="K52" s="1146"/>
      <c r="L52" s="1145"/>
      <c r="M52" s="1145"/>
      <c r="N52" s="1145"/>
      <c r="O52" s="661"/>
      <c r="P52" s="1145"/>
      <c r="Q52" s="1145"/>
      <c r="R52" s="1145"/>
      <c r="S52" s="1146"/>
      <c r="T52" s="1145"/>
      <c r="U52" s="663"/>
      <c r="V52" s="663"/>
      <c r="W52" s="1145"/>
      <c r="X52" s="663"/>
      <c r="Y52" s="663"/>
      <c r="Z52" s="1145"/>
      <c r="AA52" s="663"/>
      <c r="AB52" s="663"/>
      <c r="AC52" s="661"/>
      <c r="AD52" s="661"/>
      <c r="AE52" s="1158">
        <v>2</v>
      </c>
      <c r="AF52" s="1159" t="s">
        <v>1544</v>
      </c>
      <c r="AG52" s="1160">
        <f>AI11</f>
        <v>2.5</v>
      </c>
      <c r="AH52" s="1161">
        <f>AI52*12*AG52/1000</f>
        <v>0</v>
      </c>
      <c r="AI52" s="1168">
        <f>AI36</f>
        <v>0</v>
      </c>
      <c r="AJ52" s="1163">
        <f>AI52*12</f>
        <v>0</v>
      </c>
      <c r="AK52" s="1164">
        <v>723000</v>
      </c>
      <c r="AL52" s="1164">
        <v>800000</v>
      </c>
      <c r="AM52" s="1163">
        <f>IF(AJ52&lt;AL52,AJ52*22/100)+IF(AJ52&gt;AL52,176000)</f>
        <v>0</v>
      </c>
      <c r="AN52" s="1164">
        <f>IF(AJ52&lt;AL52,0)+IF(AJ52&gt;AL52,(AJ52-AL52)*10/100)</f>
        <v>0</v>
      </c>
      <c r="AO52" s="1163">
        <f>IF(AJ52&lt;AK52,AJ52*2.9/100)+IF(AJ52&gt;AK52,20967)</f>
        <v>0</v>
      </c>
      <c r="AP52" s="1164">
        <f>AJ52*5.1%</f>
        <v>0</v>
      </c>
      <c r="AQ52" s="1165">
        <f>AJ52*0.2%</f>
        <v>0</v>
      </c>
      <c r="AR52" s="1165">
        <f>((AM52+AN52+AO52+AP52+AQ52)*AG52)/1000</f>
        <v>0</v>
      </c>
      <c r="AS52" s="1166" t="e">
        <f>AR52/AH52</f>
        <v>#DIV/0!</v>
      </c>
    </row>
    <row r="53" spans="31:45" ht="12.75">
      <c r="AE53" s="1158">
        <v>3</v>
      </c>
      <c r="AF53" s="1159" t="s">
        <v>1713</v>
      </c>
      <c r="AG53" s="1160">
        <f>AL11</f>
        <v>2.5</v>
      </c>
      <c r="AH53" s="1161">
        <f>AI53*12*AG53/1000</f>
        <v>0</v>
      </c>
      <c r="AI53" s="1168">
        <f>AL36</f>
        <v>0</v>
      </c>
      <c r="AJ53" s="1163">
        <f>AI53*12</f>
        <v>0</v>
      </c>
      <c r="AK53" s="1164">
        <v>723000</v>
      </c>
      <c r="AL53" s="1164">
        <v>800000</v>
      </c>
      <c r="AM53" s="1163">
        <f>IF(AJ53&lt;AL53,AJ53*22/100)+IF(AJ53&gt;AL53,176000)</f>
        <v>0</v>
      </c>
      <c r="AN53" s="1164">
        <f>IF(AJ53&lt;AL53,0)+IF(AJ53&gt;AL53,(AJ53-AL53)*10/100)</f>
        <v>0</v>
      </c>
      <c r="AO53" s="1163">
        <f>IF(AJ53&lt;AK53,AJ53*2.9/100)+IF(AJ53&gt;AK53,20967)</f>
        <v>0</v>
      </c>
      <c r="AP53" s="1164">
        <f>AJ53*5.1%</f>
        <v>0</v>
      </c>
      <c r="AQ53" s="1165">
        <f>AJ53*0.2%</f>
        <v>0</v>
      </c>
      <c r="AR53" s="1165">
        <f>((AM53+AN53+AO53+AP53+AQ53)*AG53)/1000</f>
        <v>0</v>
      </c>
      <c r="AS53" s="1166" t="e">
        <f>AR53/AH53</f>
        <v>#DIV/0!</v>
      </c>
    </row>
    <row r="54" spans="22:45" ht="12.75">
      <c r="V54" s="184"/>
      <c r="AE54" s="1169"/>
      <c r="AF54" s="1169" t="s">
        <v>893</v>
      </c>
      <c r="AG54" s="1170">
        <f>SUM(AG51:AG53)</f>
        <v>9</v>
      </c>
      <c r="AH54" s="1171">
        <f>SUM(AH51:AH53)</f>
        <v>0</v>
      </c>
      <c r="AI54" s="1169"/>
      <c r="AJ54" s="1169"/>
      <c r="AK54" s="1172"/>
      <c r="AL54" s="1172"/>
      <c r="AM54" s="1173">
        <f aca="true" t="shared" si="15" ref="AM54:AR54">SUM(AM51:AM53)</f>
        <v>0</v>
      </c>
      <c r="AN54" s="1174">
        <f t="shared" si="15"/>
        <v>0</v>
      </c>
      <c r="AO54" s="1173">
        <f t="shared" si="15"/>
        <v>0</v>
      </c>
      <c r="AP54" s="1174">
        <f t="shared" si="15"/>
        <v>0</v>
      </c>
      <c r="AQ54" s="1175">
        <f t="shared" si="15"/>
        <v>0</v>
      </c>
      <c r="AR54" s="1175">
        <f t="shared" si="15"/>
        <v>0</v>
      </c>
      <c r="AS54" s="1176" t="e">
        <f>AR54/AH54</f>
        <v>#DIV/0!</v>
      </c>
    </row>
    <row r="55" spans="31:45" ht="13.5">
      <c r="AE55" s="1148"/>
      <c r="AF55" s="1148"/>
      <c r="AG55" s="1148"/>
      <c r="AH55" s="1148"/>
      <c r="AI55" s="1148"/>
      <c r="AJ55" s="1148"/>
      <c r="AK55" s="1148"/>
      <c r="AL55" s="1148"/>
      <c r="AM55" s="1148"/>
      <c r="AN55" s="1148"/>
      <c r="AO55" s="1148"/>
      <c r="AP55" s="1148"/>
      <c r="AQ55" s="1148"/>
      <c r="AR55" s="1148"/>
      <c r="AS55" s="1148"/>
    </row>
    <row r="56" spans="31:45" ht="13.5">
      <c r="AE56" s="1148"/>
      <c r="AF56" s="2212" t="s">
        <v>1714</v>
      </c>
      <c r="AG56" s="2213"/>
      <c r="AH56" s="2213"/>
      <c r="AI56" s="2213"/>
      <c r="AJ56" s="2213"/>
      <c r="AK56" s="2213"/>
      <c r="AL56" s="2213"/>
      <c r="AM56" s="2213"/>
      <c r="AN56" s="2213"/>
      <c r="AO56" s="2213"/>
      <c r="AP56" s="2213"/>
      <c r="AQ56" s="2213"/>
      <c r="AR56" s="2213"/>
      <c r="AS56" s="2213"/>
    </row>
  </sheetData>
  <sheetProtection/>
  <mergeCells count="18">
    <mergeCell ref="H6:K6"/>
    <mergeCell ref="T6:AQ6"/>
    <mergeCell ref="O7:R7"/>
    <mergeCell ref="L6:S6"/>
    <mergeCell ref="AF7:AH7"/>
    <mergeCell ref="AI7:AK7"/>
    <mergeCell ref="AL7:AN7"/>
    <mergeCell ref="AO7:AQ7"/>
    <mergeCell ref="AE48:AS48"/>
    <mergeCell ref="AF56:AS56"/>
    <mergeCell ref="A6:A8"/>
    <mergeCell ref="B6:B8"/>
    <mergeCell ref="C6:C8"/>
    <mergeCell ref="W7:Y7"/>
    <mergeCell ref="Z7:AB7"/>
    <mergeCell ref="AC7:AE7"/>
    <mergeCell ref="D6:G6"/>
    <mergeCell ref="T7:V7"/>
  </mergeCells>
  <printOptions/>
  <pageMargins left="0.68" right="0.1968503937007874" top="0.7480314960629921" bottom="0.7480314960629921" header="0.31496062992125984" footer="0.31496062992125984"/>
  <pageSetup fitToHeight="1" fitToWidth="1" horizontalDpi="600" verticalDpi="600" orientation="landscape" paperSize="9" scale="43" r:id="rId1"/>
  <colBreaks count="1" manualBreakCount="1">
    <brk id="22" max="4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X119"/>
  <sheetViews>
    <sheetView zoomScaleSheetLayoutView="100" workbookViewId="0" topLeftCell="A1">
      <pane xSplit="4" ySplit="9" topLeftCell="G82" activePane="bottomRight" state="frozen"/>
      <selection pane="topLeft" activeCell="G99" sqref="G99"/>
      <selection pane="topRight" activeCell="G99" sqref="G99"/>
      <selection pane="bottomLeft" activeCell="G99" sqref="G99"/>
      <selection pane="bottomRight" activeCell="K1" sqref="K1"/>
    </sheetView>
  </sheetViews>
  <sheetFormatPr defaultColWidth="9.140625" defaultRowHeight="15" outlineLevelRow="1" outlineLevelCol="1"/>
  <cols>
    <col min="1" max="1" width="3.57421875" style="1926" hidden="1" customWidth="1"/>
    <col min="2" max="2" width="5.28125" style="10" customWidth="1"/>
    <col min="3" max="3" width="28.7109375" style="10" customWidth="1"/>
    <col min="4" max="4" width="9.7109375" style="10" customWidth="1"/>
    <col min="5" max="6" width="12.57421875" style="10" hidden="1" customWidth="1"/>
    <col min="7" max="7" width="11.421875" style="97" customWidth="1"/>
    <col min="8" max="8" width="10.8515625" style="10" customWidth="1"/>
    <col min="9" max="9" width="8.8515625" style="10" customWidth="1"/>
    <col min="10" max="10" width="9.140625" style="10" customWidth="1"/>
    <col min="11" max="11" width="9.28125" style="10" customWidth="1"/>
    <col min="12" max="12" width="8.57421875" style="10" customWidth="1" outlineLevel="1"/>
    <col min="13" max="13" width="9.8515625" style="10" customWidth="1" outlineLevel="1"/>
    <col min="14" max="14" width="10.140625" style="10" customWidth="1" outlineLevel="1"/>
    <col min="15" max="16384" width="9.140625" style="10" customWidth="1"/>
  </cols>
  <sheetData>
    <row r="1" spans="2:17" ht="15">
      <c r="B1" s="52" t="s">
        <v>518</v>
      </c>
      <c r="C1" s="52"/>
      <c r="D1" s="52"/>
      <c r="E1" s="52"/>
      <c r="F1" s="52"/>
      <c r="K1" s="2"/>
      <c r="L1" s="52"/>
      <c r="Q1" s="2" t="s">
        <v>468</v>
      </c>
    </row>
    <row r="2" spans="2:6" ht="15">
      <c r="B2" s="52" t="s">
        <v>1150</v>
      </c>
      <c r="C2" s="52"/>
      <c r="D2" s="52"/>
      <c r="E2" s="52"/>
      <c r="F2" s="52"/>
    </row>
    <row r="3" ht="15">
      <c r="B3" s="1"/>
    </row>
    <row r="4" spans="2:14" ht="16.5">
      <c r="B4" s="33" t="s">
        <v>1552</v>
      </c>
      <c r="C4" s="33"/>
      <c r="D4" s="33"/>
      <c r="E4" s="33"/>
      <c r="F4" s="33"/>
      <c r="G4" s="1198"/>
      <c r="H4" s="33"/>
      <c r="I4" s="33"/>
      <c r="J4" s="33"/>
      <c r="K4" s="33"/>
      <c r="L4" s="33"/>
      <c r="M4" s="33"/>
      <c r="N4" s="33"/>
    </row>
    <row r="5" spans="2:12" ht="15">
      <c r="B5" s="666" t="str">
        <f>'[7]4.1'!B6</f>
        <v>Усть - Камчатское муниципальное образование</v>
      </c>
      <c r="C5" s="619"/>
      <c r="L5" s="1927"/>
    </row>
    <row r="6" spans="2:17" ht="15.75" customHeight="1">
      <c r="B6" s="2006" t="s">
        <v>1008</v>
      </c>
      <c r="C6" s="2029" t="s">
        <v>1016</v>
      </c>
      <c r="D6" s="2005" t="s">
        <v>161</v>
      </c>
      <c r="E6" s="2141" t="s">
        <v>1005</v>
      </c>
      <c r="F6" s="2142"/>
      <c r="G6" s="2142"/>
      <c r="H6" s="2143"/>
      <c r="I6" s="2241" t="s">
        <v>1007</v>
      </c>
      <c r="J6" s="2242"/>
      <c r="K6" s="2242"/>
      <c r="L6" s="2242"/>
      <c r="M6" s="2242"/>
      <c r="N6" s="2242"/>
      <c r="O6" s="2242"/>
      <c r="P6" s="2242"/>
      <c r="Q6" s="2243"/>
    </row>
    <row r="7" spans="2:17" ht="15.75" customHeight="1">
      <c r="B7" s="2007"/>
      <c r="C7" s="2010"/>
      <c r="D7" s="2005"/>
      <c r="E7" s="2006" t="s">
        <v>197</v>
      </c>
      <c r="F7" s="2006" t="s">
        <v>1788</v>
      </c>
      <c r="G7" s="2206" t="s">
        <v>812</v>
      </c>
      <c r="H7" s="2006" t="s">
        <v>813</v>
      </c>
      <c r="I7" s="2024" t="s">
        <v>465</v>
      </c>
      <c r="J7" s="2025"/>
      <c r="K7" s="2026"/>
      <c r="L7" s="2024" t="s">
        <v>1489</v>
      </c>
      <c r="M7" s="2025"/>
      <c r="N7" s="2026"/>
      <c r="O7" s="2024" t="s">
        <v>814</v>
      </c>
      <c r="P7" s="2025"/>
      <c r="Q7" s="2026"/>
    </row>
    <row r="8" spans="2:17" ht="39">
      <c r="B8" s="2003"/>
      <c r="C8" s="2021"/>
      <c r="D8" s="2005"/>
      <c r="E8" s="2003"/>
      <c r="F8" s="2003"/>
      <c r="G8" s="2207"/>
      <c r="H8" s="2003"/>
      <c r="I8" s="50" t="s">
        <v>142</v>
      </c>
      <c r="J8" s="50" t="s">
        <v>707</v>
      </c>
      <c r="K8" s="22" t="s">
        <v>708</v>
      </c>
      <c r="L8" s="1248" t="s">
        <v>142</v>
      </c>
      <c r="M8" s="1248" t="s">
        <v>707</v>
      </c>
      <c r="N8" s="1247" t="s">
        <v>708</v>
      </c>
      <c r="O8" s="1248" t="s">
        <v>142</v>
      </c>
      <c r="P8" s="1248" t="s">
        <v>707</v>
      </c>
      <c r="Q8" s="1247" t="s">
        <v>708</v>
      </c>
    </row>
    <row r="9" spans="2:17" ht="15">
      <c r="B9" s="43">
        <v>1</v>
      </c>
      <c r="C9" s="49">
        <v>2</v>
      </c>
      <c r="D9" s="43">
        <v>3</v>
      </c>
      <c r="E9" s="49">
        <v>4</v>
      </c>
      <c r="F9" s="43">
        <v>5</v>
      </c>
      <c r="G9" s="1007">
        <v>6</v>
      </c>
      <c r="H9" s="43">
        <v>7</v>
      </c>
      <c r="I9" s="49">
        <v>8</v>
      </c>
      <c r="J9" s="43">
        <v>9</v>
      </c>
      <c r="K9" s="49">
        <v>10</v>
      </c>
      <c r="L9" s="1246">
        <v>11</v>
      </c>
      <c r="M9" s="1245">
        <v>12</v>
      </c>
      <c r="N9" s="1246">
        <v>13</v>
      </c>
      <c r="O9" s="1246">
        <v>11</v>
      </c>
      <c r="P9" s="1245">
        <v>12</v>
      </c>
      <c r="Q9" s="1246">
        <v>13</v>
      </c>
    </row>
    <row r="10" spans="1:17" ht="27">
      <c r="A10" s="1928">
        <v>1</v>
      </c>
      <c r="B10" s="47" t="s">
        <v>1017</v>
      </c>
      <c r="C10" s="23" t="s">
        <v>469</v>
      </c>
      <c r="D10" s="531" t="s">
        <v>1021</v>
      </c>
      <c r="E10" s="1929">
        <f>E14</f>
        <v>2651</v>
      </c>
      <c r="F10" s="1929">
        <f>F14</f>
        <v>2633</v>
      </c>
      <c r="G10" s="1930">
        <f>G14+G23</f>
        <v>2633</v>
      </c>
      <c r="H10" s="1930">
        <f aca="true" t="shared" si="0" ref="H10:Q10">H14+H23</f>
        <v>2633</v>
      </c>
      <c r="I10" s="1930">
        <f t="shared" si="0"/>
        <v>2633</v>
      </c>
      <c r="J10" s="1930">
        <f t="shared" si="0"/>
        <v>1316.5</v>
      </c>
      <c r="K10" s="1930">
        <f t="shared" si="0"/>
        <v>1316</v>
      </c>
      <c r="L10" s="1930">
        <f t="shared" si="0"/>
        <v>2633</v>
      </c>
      <c r="M10" s="1930">
        <f t="shared" si="0"/>
        <v>1316.5</v>
      </c>
      <c r="N10" s="1930">
        <f t="shared" si="0"/>
        <v>1316.5</v>
      </c>
      <c r="O10" s="1930">
        <f t="shared" si="0"/>
        <v>2633</v>
      </c>
      <c r="P10" s="1930">
        <f t="shared" si="0"/>
        <v>1316.5</v>
      </c>
      <c r="Q10" s="1930">
        <f t="shared" si="0"/>
        <v>1316.5</v>
      </c>
    </row>
    <row r="11" spans="1:17" ht="15">
      <c r="A11" s="1931" t="s">
        <v>1009</v>
      </c>
      <c r="B11" s="30"/>
      <c r="C11" s="665" t="s">
        <v>470</v>
      </c>
      <c r="D11" s="4" t="s">
        <v>1021</v>
      </c>
      <c r="E11" s="590"/>
      <c r="F11" s="590"/>
      <c r="G11" s="599"/>
      <c r="H11" s="590"/>
      <c r="I11" s="590"/>
      <c r="J11" s="590"/>
      <c r="K11" s="590"/>
      <c r="L11" s="1426"/>
      <c r="M11" s="1336"/>
      <c r="N11" s="1426"/>
      <c r="O11" s="1426"/>
      <c r="P11" s="1336"/>
      <c r="Q11" s="1426"/>
    </row>
    <row r="12" spans="1:17" ht="15">
      <c r="A12" s="1931" t="s">
        <v>145</v>
      </c>
      <c r="B12" s="30"/>
      <c r="C12" s="665" t="s">
        <v>471</v>
      </c>
      <c r="D12" s="4" t="s">
        <v>1021</v>
      </c>
      <c r="E12" s="590"/>
      <c r="F12" s="590"/>
      <c r="G12" s="599"/>
      <c r="H12" s="590"/>
      <c r="I12" s="590"/>
      <c r="J12" s="590"/>
      <c r="K12" s="590"/>
      <c r="L12" s="1426"/>
      <c r="M12" s="1336"/>
      <c r="N12" s="1426"/>
      <c r="O12" s="1426"/>
      <c r="P12" s="1336"/>
      <c r="Q12" s="1426"/>
    </row>
    <row r="13" spans="1:17" ht="15">
      <c r="A13" s="1931" t="s">
        <v>146</v>
      </c>
      <c r="B13" s="30"/>
      <c r="C13" s="665" t="s">
        <v>472</v>
      </c>
      <c r="D13" s="4" t="s">
        <v>1021</v>
      </c>
      <c r="E13" s="590"/>
      <c r="F13" s="590"/>
      <c r="G13" s="599"/>
      <c r="H13" s="590"/>
      <c r="I13" s="590"/>
      <c r="J13" s="590"/>
      <c r="K13" s="590"/>
      <c r="L13" s="1426"/>
      <c r="M13" s="1336"/>
      <c r="N13" s="1426"/>
      <c r="O13" s="1426"/>
      <c r="P13" s="1336"/>
      <c r="Q13" s="1426"/>
    </row>
    <row r="14" spans="1:17" ht="15">
      <c r="A14" s="1931" t="s">
        <v>631</v>
      </c>
      <c r="B14" s="30"/>
      <c r="C14" s="665" t="s">
        <v>473</v>
      </c>
      <c r="D14" s="4" t="s">
        <v>1021</v>
      </c>
      <c r="E14" s="590">
        <f>SUM(E15:E19)</f>
        <v>2651</v>
      </c>
      <c r="F14" s="590">
        <f>SUM(F15:F19)</f>
        <v>2633</v>
      </c>
      <c r="G14" s="599">
        <v>2261</v>
      </c>
      <c r="H14" s="590">
        <f>SUM(H15:H19)</f>
        <v>2261</v>
      </c>
      <c r="I14" s="590">
        <f>SUM(I15:I19)</f>
        <v>2261</v>
      </c>
      <c r="J14" s="590">
        <f>SUM(J15:J19)</f>
        <v>1130.5</v>
      </c>
      <c r="K14" s="590">
        <f>SUM(K15:K19)</f>
        <v>1130</v>
      </c>
      <c r="L14" s="1426">
        <f>L16+L17+L18+L19</f>
        <v>2261</v>
      </c>
      <c r="M14" s="1426">
        <f>L14/2</f>
        <v>1130.5</v>
      </c>
      <c r="N14" s="1426">
        <f>L14-M14</f>
        <v>1130.5</v>
      </c>
      <c r="O14" s="1426">
        <f>O16+O17+O18+O19</f>
        <v>2261</v>
      </c>
      <c r="P14" s="1426">
        <f>O14/2</f>
        <v>1130.5</v>
      </c>
      <c r="Q14" s="1426">
        <f>O14-P14</f>
        <v>1130.5</v>
      </c>
    </row>
    <row r="15" spans="1:17" ht="15">
      <c r="A15" s="1931" t="s">
        <v>917</v>
      </c>
      <c r="B15" s="30"/>
      <c r="C15" s="1932" t="s">
        <v>474</v>
      </c>
      <c r="D15" s="4" t="s">
        <v>1021</v>
      </c>
      <c r="E15" s="590"/>
      <c r="F15" s="590"/>
      <c r="G15" s="599"/>
      <c r="H15" s="590"/>
      <c r="I15" s="590"/>
      <c r="J15" s="590"/>
      <c r="K15" s="590"/>
      <c r="L15" s="1426"/>
      <c r="M15" s="1426"/>
      <c r="N15" s="1426"/>
      <c r="O15" s="1426"/>
      <c r="P15" s="1426"/>
      <c r="Q15" s="1426"/>
    </row>
    <row r="16" spans="1:17" ht="15">
      <c r="A16" s="1931" t="s">
        <v>918</v>
      </c>
      <c r="B16" s="30"/>
      <c r="C16" s="1932" t="s">
        <v>475</v>
      </c>
      <c r="D16" s="4" t="s">
        <v>1021</v>
      </c>
      <c r="E16" s="590">
        <v>2008</v>
      </c>
      <c r="F16" s="590">
        <v>1990</v>
      </c>
      <c r="G16" s="599">
        <v>1040</v>
      </c>
      <c r="H16" s="590">
        <v>1040</v>
      </c>
      <c r="I16" s="590">
        <f>J16+K16</f>
        <v>1040</v>
      </c>
      <c r="J16" s="1070">
        <v>520</v>
      </c>
      <c r="K16" s="1070">
        <v>520</v>
      </c>
      <c r="L16" s="1426">
        <f>'[7]Прил 4.10'!I9+'[7]Прил 4.10'!I18+'[7]Прил 4.10'!I23</f>
        <v>1040</v>
      </c>
      <c r="M16" s="1426">
        <f>L16/2</f>
        <v>520</v>
      </c>
      <c r="N16" s="1426">
        <f>L16-M16</f>
        <v>520</v>
      </c>
      <c r="O16" s="1426">
        <f>P16+Q16</f>
        <v>1040</v>
      </c>
      <c r="P16" s="1426">
        <v>520</v>
      </c>
      <c r="Q16" s="1426">
        <v>520</v>
      </c>
    </row>
    <row r="17" spans="1:17" ht="27">
      <c r="A17" s="1931" t="s">
        <v>888</v>
      </c>
      <c r="B17" s="30"/>
      <c r="C17" s="1932" t="s">
        <v>476</v>
      </c>
      <c r="D17" s="4" t="s">
        <v>1021</v>
      </c>
      <c r="E17" s="590">
        <v>602</v>
      </c>
      <c r="F17" s="590">
        <v>602</v>
      </c>
      <c r="G17" s="599">
        <v>602</v>
      </c>
      <c r="H17" s="590">
        <v>602</v>
      </c>
      <c r="I17" s="590">
        <v>602</v>
      </c>
      <c r="J17" s="1070">
        <f>I17/2</f>
        <v>301</v>
      </c>
      <c r="K17" s="1070">
        <f>I17-J17</f>
        <v>301</v>
      </c>
      <c r="L17" s="1426">
        <f>'[7]Прил 4.10'!I10+'[7]Прил 4.10'!I11</f>
        <v>602</v>
      </c>
      <c r="M17" s="1426">
        <f>L17/2</f>
        <v>301</v>
      </c>
      <c r="N17" s="1426">
        <f>L17-M17</f>
        <v>301</v>
      </c>
      <c r="O17" s="1426">
        <f>P17+Q17</f>
        <v>602</v>
      </c>
      <c r="P17" s="1426">
        <v>301</v>
      </c>
      <c r="Q17" s="1426">
        <v>301</v>
      </c>
    </row>
    <row r="18" spans="1:17" ht="15">
      <c r="A18" s="1931" t="s">
        <v>477</v>
      </c>
      <c r="B18" s="30"/>
      <c r="C18" s="1932" t="s">
        <v>478</v>
      </c>
      <c r="D18" s="4" t="s">
        <v>1021</v>
      </c>
      <c r="E18" s="590">
        <v>41</v>
      </c>
      <c r="F18" s="590">
        <v>41</v>
      </c>
      <c r="G18" s="599">
        <v>41</v>
      </c>
      <c r="H18" s="590">
        <v>41</v>
      </c>
      <c r="I18" s="590">
        <v>41</v>
      </c>
      <c r="J18" s="1070">
        <f>I18/2</f>
        <v>20.5</v>
      </c>
      <c r="K18" s="1070">
        <v>20</v>
      </c>
      <c r="L18" s="1426">
        <f>'[7]Прил 4.10'!I12</f>
        <v>41</v>
      </c>
      <c r="M18" s="1426">
        <f>L18/2</f>
        <v>20.5</v>
      </c>
      <c r="N18" s="1426">
        <v>20</v>
      </c>
      <c r="O18" s="1426">
        <f>P18+Q18</f>
        <v>41</v>
      </c>
      <c r="P18" s="1426">
        <v>21</v>
      </c>
      <c r="Q18" s="1426">
        <v>20</v>
      </c>
    </row>
    <row r="19" spans="1:17" ht="15">
      <c r="A19" s="1931" t="s">
        <v>479</v>
      </c>
      <c r="B19" s="30"/>
      <c r="C19" s="1932" t="s">
        <v>480</v>
      </c>
      <c r="D19" s="4" t="s">
        <v>1021</v>
      </c>
      <c r="E19" s="590"/>
      <c r="F19" s="590"/>
      <c r="G19" s="599">
        <v>578</v>
      </c>
      <c r="H19" s="590">
        <f>G19</f>
        <v>578</v>
      </c>
      <c r="I19" s="1426">
        <v>578</v>
      </c>
      <c r="J19" s="1426">
        <f>I19/2</f>
        <v>289</v>
      </c>
      <c r="K19" s="1426">
        <f>I19-J19</f>
        <v>289</v>
      </c>
      <c r="L19" s="1426">
        <f>'[7]Прил 4.10'!I13+'[7]Прил 4.10'!I17+'[7]Прил 4.10'!I19+'[7]Прил 4.10'!I20+'[7]Прил 4.10'!I21+'[7]Прил 4.10'!I22+'[7]Прил 4.10'!I24</f>
        <v>578</v>
      </c>
      <c r="M19" s="1426">
        <f>L19/2</f>
        <v>289</v>
      </c>
      <c r="N19" s="1426">
        <f>L19-M19</f>
        <v>289</v>
      </c>
      <c r="O19" s="1426">
        <v>578</v>
      </c>
      <c r="P19" s="1426">
        <f>O19/2</f>
        <v>289</v>
      </c>
      <c r="Q19" s="1426">
        <f>O19-P19</f>
        <v>289</v>
      </c>
    </row>
    <row r="20" spans="1:17" ht="15">
      <c r="A20" s="1931" t="s">
        <v>632</v>
      </c>
      <c r="B20" s="30"/>
      <c r="C20" s="665" t="s">
        <v>481</v>
      </c>
      <c r="D20" s="4" t="s">
        <v>1021</v>
      </c>
      <c r="E20" s="590"/>
      <c r="F20" s="590"/>
      <c r="G20" s="599"/>
      <c r="H20" s="1070"/>
      <c r="I20" s="1070"/>
      <c r="J20" s="1070"/>
      <c r="K20" s="1070"/>
      <c r="L20" s="1426"/>
      <c r="M20" s="1426"/>
      <c r="N20" s="1426"/>
      <c r="O20" s="1426"/>
      <c r="P20" s="1426"/>
      <c r="Q20" s="1426"/>
    </row>
    <row r="21" spans="1:17" ht="15">
      <c r="A21" s="1931" t="s">
        <v>633</v>
      </c>
      <c r="B21" s="30"/>
      <c r="C21" s="665" t="s">
        <v>482</v>
      </c>
      <c r="D21" s="4" t="s">
        <v>1021</v>
      </c>
      <c r="E21" s="590"/>
      <c r="F21" s="590"/>
      <c r="G21" s="599"/>
      <c r="H21" s="1070"/>
      <c r="I21" s="1070"/>
      <c r="J21" s="1070"/>
      <c r="K21" s="1070"/>
      <c r="L21" s="1426"/>
      <c r="M21" s="1426"/>
      <c r="N21" s="1426"/>
      <c r="O21" s="1426"/>
      <c r="P21" s="1426"/>
      <c r="Q21" s="1426"/>
    </row>
    <row r="22" spans="1:17" ht="15">
      <c r="A22" s="1931" t="s">
        <v>634</v>
      </c>
      <c r="B22" s="30"/>
      <c r="C22" s="665" t="s">
        <v>483</v>
      </c>
      <c r="D22" s="4" t="s">
        <v>1021</v>
      </c>
      <c r="E22" s="590"/>
      <c r="F22" s="590"/>
      <c r="G22" s="599"/>
      <c r="H22" s="1070"/>
      <c r="I22" s="1070"/>
      <c r="J22" s="1070"/>
      <c r="K22" s="1070"/>
      <c r="L22" s="1426"/>
      <c r="M22" s="1426"/>
      <c r="N22" s="1426"/>
      <c r="O22" s="1426"/>
      <c r="P22" s="1426"/>
      <c r="Q22" s="1426"/>
    </row>
    <row r="23" spans="1:17" ht="27">
      <c r="A23" s="1931" t="s">
        <v>635</v>
      </c>
      <c r="B23" s="30"/>
      <c r="C23" s="665" t="s">
        <v>484</v>
      </c>
      <c r="D23" s="4" t="s">
        <v>1021</v>
      </c>
      <c r="E23" s="590"/>
      <c r="F23" s="590"/>
      <c r="G23" s="599">
        <v>372</v>
      </c>
      <c r="H23" s="1070">
        <f>G23</f>
        <v>372</v>
      </c>
      <c r="I23" s="1426">
        <v>372</v>
      </c>
      <c r="J23" s="1426">
        <f>I23/2</f>
        <v>186</v>
      </c>
      <c r="K23" s="1426">
        <f>I23-J23</f>
        <v>186</v>
      </c>
      <c r="L23" s="1426">
        <f>'[7]Прил 4.10'!I14+'[7]Прил 4.10'!I15+'[7]Прил 4.10'!I16</f>
        <v>372</v>
      </c>
      <c r="M23" s="1426">
        <f aca="true" t="shared" si="1" ref="M23:M37">L23/2</f>
        <v>186</v>
      </c>
      <c r="N23" s="1426">
        <f aca="true" t="shared" si="2" ref="N23:N37">L23-M23</f>
        <v>186</v>
      </c>
      <c r="O23" s="1426">
        <v>372</v>
      </c>
      <c r="P23" s="1426">
        <f aca="true" t="shared" si="3" ref="P23:P37">O23/2</f>
        <v>186</v>
      </c>
      <c r="Q23" s="1426">
        <f aca="true" t="shared" si="4" ref="Q23:Q37">O23-P23</f>
        <v>186</v>
      </c>
    </row>
    <row r="24" spans="2:17" ht="79.5" hidden="1" outlineLevel="1">
      <c r="B24" s="47" t="s">
        <v>1010</v>
      </c>
      <c r="C24" s="23" t="s">
        <v>485</v>
      </c>
      <c r="D24" s="4" t="s">
        <v>1021</v>
      </c>
      <c r="E24" s="590"/>
      <c r="F24" s="590"/>
      <c r="G24" s="599"/>
      <c r="H24" s="590"/>
      <c r="I24" s="590"/>
      <c r="J24" s="590"/>
      <c r="K24" s="590"/>
      <c r="L24" s="1426"/>
      <c r="M24" s="1426">
        <f t="shared" si="1"/>
        <v>0</v>
      </c>
      <c r="N24" s="1426">
        <f t="shared" si="2"/>
        <v>0</v>
      </c>
      <c r="O24" s="1426"/>
      <c r="P24" s="1426">
        <f t="shared" si="3"/>
        <v>0</v>
      </c>
      <c r="Q24" s="1426">
        <f t="shared" si="4"/>
        <v>0</v>
      </c>
    </row>
    <row r="25" spans="2:17" ht="15" hidden="1" outlineLevel="1">
      <c r="B25" s="30"/>
      <c r="C25" s="665" t="s">
        <v>470</v>
      </c>
      <c r="D25" s="4" t="s">
        <v>1021</v>
      </c>
      <c r="E25" s="590"/>
      <c r="F25" s="590"/>
      <c r="G25" s="599"/>
      <c r="H25" s="590"/>
      <c r="I25" s="590"/>
      <c r="J25" s="590"/>
      <c r="K25" s="590"/>
      <c r="L25" s="1426"/>
      <c r="M25" s="1426">
        <f t="shared" si="1"/>
        <v>0</v>
      </c>
      <c r="N25" s="1426">
        <f t="shared" si="2"/>
        <v>0</v>
      </c>
      <c r="O25" s="1426"/>
      <c r="P25" s="1426">
        <f t="shared" si="3"/>
        <v>0</v>
      </c>
      <c r="Q25" s="1426">
        <f t="shared" si="4"/>
        <v>0</v>
      </c>
    </row>
    <row r="26" spans="2:17" ht="15" hidden="1" outlineLevel="1">
      <c r="B26" s="30"/>
      <c r="C26" s="665" t="s">
        <v>471</v>
      </c>
      <c r="D26" s="4" t="s">
        <v>1021</v>
      </c>
      <c r="E26" s="590"/>
      <c r="F26" s="590"/>
      <c r="G26" s="599"/>
      <c r="H26" s="590"/>
      <c r="I26" s="590"/>
      <c r="J26" s="590"/>
      <c r="K26" s="590"/>
      <c r="L26" s="1426"/>
      <c r="M26" s="1426">
        <f t="shared" si="1"/>
        <v>0</v>
      </c>
      <c r="N26" s="1426">
        <f t="shared" si="2"/>
        <v>0</v>
      </c>
      <c r="O26" s="1426"/>
      <c r="P26" s="1426">
        <f t="shared" si="3"/>
        <v>0</v>
      </c>
      <c r="Q26" s="1426">
        <f t="shared" si="4"/>
        <v>0</v>
      </c>
    </row>
    <row r="27" spans="2:17" ht="15" hidden="1" outlineLevel="1">
      <c r="B27" s="30"/>
      <c r="C27" s="665" t="s">
        <v>472</v>
      </c>
      <c r="D27" s="4" t="s">
        <v>1021</v>
      </c>
      <c r="E27" s="590"/>
      <c r="F27" s="590"/>
      <c r="G27" s="599"/>
      <c r="H27" s="590"/>
      <c r="I27" s="590"/>
      <c r="J27" s="590"/>
      <c r="K27" s="590"/>
      <c r="L27" s="1426"/>
      <c r="M27" s="1426">
        <f t="shared" si="1"/>
        <v>0</v>
      </c>
      <c r="N27" s="1426">
        <f t="shared" si="2"/>
        <v>0</v>
      </c>
      <c r="O27" s="1426"/>
      <c r="P27" s="1426">
        <f t="shared" si="3"/>
        <v>0</v>
      </c>
      <c r="Q27" s="1426">
        <f t="shared" si="4"/>
        <v>0</v>
      </c>
    </row>
    <row r="28" spans="2:17" ht="15" hidden="1" outlineLevel="1">
      <c r="B28" s="30"/>
      <c r="C28" s="665" t="s">
        <v>473</v>
      </c>
      <c r="D28" s="4" t="s">
        <v>1021</v>
      </c>
      <c r="E28" s="590"/>
      <c r="F28" s="590"/>
      <c r="G28" s="599"/>
      <c r="H28" s="590"/>
      <c r="I28" s="590"/>
      <c r="J28" s="590"/>
      <c r="K28" s="590"/>
      <c r="L28" s="1426"/>
      <c r="M28" s="1426">
        <f t="shared" si="1"/>
        <v>0</v>
      </c>
      <c r="N28" s="1426">
        <f t="shared" si="2"/>
        <v>0</v>
      </c>
      <c r="O28" s="1426"/>
      <c r="P28" s="1426">
        <f t="shared" si="3"/>
        <v>0</v>
      </c>
      <c r="Q28" s="1426">
        <f t="shared" si="4"/>
        <v>0</v>
      </c>
    </row>
    <row r="29" spans="2:17" ht="15" hidden="1" outlineLevel="1">
      <c r="B29" s="30"/>
      <c r="C29" s="1932" t="s">
        <v>474</v>
      </c>
      <c r="D29" s="4" t="s">
        <v>1021</v>
      </c>
      <c r="E29" s="590"/>
      <c r="F29" s="590"/>
      <c r="G29" s="599"/>
      <c r="H29" s="590"/>
      <c r="I29" s="590"/>
      <c r="J29" s="590"/>
      <c r="K29" s="590"/>
      <c r="L29" s="1426"/>
      <c r="M29" s="1426">
        <f t="shared" si="1"/>
        <v>0</v>
      </c>
      <c r="N29" s="1426">
        <f t="shared" si="2"/>
        <v>0</v>
      </c>
      <c r="O29" s="1426"/>
      <c r="P29" s="1426">
        <f t="shared" si="3"/>
        <v>0</v>
      </c>
      <c r="Q29" s="1426">
        <f t="shared" si="4"/>
        <v>0</v>
      </c>
    </row>
    <row r="30" spans="2:17" ht="15" hidden="1" outlineLevel="1">
      <c r="B30" s="30"/>
      <c r="C30" s="1932" t="s">
        <v>475</v>
      </c>
      <c r="D30" s="4" t="s">
        <v>1021</v>
      </c>
      <c r="E30" s="590"/>
      <c r="F30" s="590"/>
      <c r="G30" s="599"/>
      <c r="H30" s="590"/>
      <c r="I30" s="590"/>
      <c r="J30" s="590"/>
      <c r="K30" s="590"/>
      <c r="L30" s="1426"/>
      <c r="M30" s="1426">
        <f t="shared" si="1"/>
        <v>0</v>
      </c>
      <c r="N30" s="1426">
        <f t="shared" si="2"/>
        <v>0</v>
      </c>
      <c r="O30" s="1426"/>
      <c r="P30" s="1426">
        <f t="shared" si="3"/>
        <v>0</v>
      </c>
      <c r="Q30" s="1426">
        <f t="shared" si="4"/>
        <v>0</v>
      </c>
    </row>
    <row r="31" spans="2:17" ht="27" hidden="1" outlineLevel="1">
      <c r="B31" s="30"/>
      <c r="C31" s="1932" t="s">
        <v>476</v>
      </c>
      <c r="D31" s="4" t="s">
        <v>1021</v>
      </c>
      <c r="E31" s="590"/>
      <c r="F31" s="590"/>
      <c r="G31" s="599"/>
      <c r="H31" s="590"/>
      <c r="I31" s="590"/>
      <c r="J31" s="590"/>
      <c r="K31" s="590"/>
      <c r="L31" s="1426"/>
      <c r="M31" s="1426">
        <f t="shared" si="1"/>
        <v>0</v>
      </c>
      <c r="N31" s="1426">
        <f t="shared" si="2"/>
        <v>0</v>
      </c>
      <c r="O31" s="1426"/>
      <c r="P31" s="1426">
        <f t="shared" si="3"/>
        <v>0</v>
      </c>
      <c r="Q31" s="1426">
        <f t="shared" si="4"/>
        <v>0</v>
      </c>
    </row>
    <row r="32" spans="2:17" ht="15" hidden="1" outlineLevel="1">
      <c r="B32" s="30"/>
      <c r="C32" s="1932" t="s">
        <v>478</v>
      </c>
      <c r="D32" s="4" t="s">
        <v>1021</v>
      </c>
      <c r="E32" s="590"/>
      <c r="F32" s="590"/>
      <c r="G32" s="599"/>
      <c r="H32" s="590"/>
      <c r="I32" s="590"/>
      <c r="J32" s="590"/>
      <c r="K32" s="590"/>
      <c r="L32" s="1426"/>
      <c r="M32" s="1426">
        <f t="shared" si="1"/>
        <v>0</v>
      </c>
      <c r="N32" s="1426">
        <f t="shared" si="2"/>
        <v>0</v>
      </c>
      <c r="O32" s="1426"/>
      <c r="P32" s="1426">
        <f t="shared" si="3"/>
        <v>0</v>
      </c>
      <c r="Q32" s="1426">
        <f t="shared" si="4"/>
        <v>0</v>
      </c>
    </row>
    <row r="33" spans="2:17" ht="15" hidden="1" outlineLevel="1">
      <c r="B33" s="30"/>
      <c r="C33" s="1932" t="s">
        <v>480</v>
      </c>
      <c r="D33" s="4" t="s">
        <v>1021</v>
      </c>
      <c r="E33" s="590"/>
      <c r="F33" s="590"/>
      <c r="G33" s="599"/>
      <c r="H33" s="590"/>
      <c r="I33" s="590"/>
      <c r="J33" s="590"/>
      <c r="K33" s="590"/>
      <c r="L33" s="1426"/>
      <c r="M33" s="1426">
        <f t="shared" si="1"/>
        <v>0</v>
      </c>
      <c r="N33" s="1426">
        <f t="shared" si="2"/>
        <v>0</v>
      </c>
      <c r="O33" s="1426"/>
      <c r="P33" s="1426">
        <f t="shared" si="3"/>
        <v>0</v>
      </c>
      <c r="Q33" s="1426">
        <f t="shared" si="4"/>
        <v>0</v>
      </c>
    </row>
    <row r="34" spans="2:17" ht="15" hidden="1" outlineLevel="1">
      <c r="B34" s="30"/>
      <c r="C34" s="665" t="s">
        <v>481</v>
      </c>
      <c r="D34" s="4" t="s">
        <v>1021</v>
      </c>
      <c r="E34" s="590"/>
      <c r="F34" s="590"/>
      <c r="G34" s="599"/>
      <c r="H34" s="590"/>
      <c r="I34" s="590"/>
      <c r="J34" s="590"/>
      <c r="K34" s="590"/>
      <c r="L34" s="1426"/>
      <c r="M34" s="1426">
        <f t="shared" si="1"/>
        <v>0</v>
      </c>
      <c r="N34" s="1426">
        <f t="shared" si="2"/>
        <v>0</v>
      </c>
      <c r="O34" s="1426"/>
      <c r="P34" s="1426">
        <f t="shared" si="3"/>
        <v>0</v>
      </c>
      <c r="Q34" s="1426">
        <f t="shared" si="4"/>
        <v>0</v>
      </c>
    </row>
    <row r="35" spans="2:17" ht="15" hidden="1" outlineLevel="1">
      <c r="B35" s="30"/>
      <c r="C35" s="665" t="s">
        <v>482</v>
      </c>
      <c r="D35" s="4" t="s">
        <v>1021</v>
      </c>
      <c r="E35" s="590"/>
      <c r="F35" s="590"/>
      <c r="G35" s="599"/>
      <c r="H35" s="590"/>
      <c r="I35" s="590"/>
      <c r="J35" s="590"/>
      <c r="K35" s="590"/>
      <c r="L35" s="1426"/>
      <c r="M35" s="1426">
        <f t="shared" si="1"/>
        <v>0</v>
      </c>
      <c r="N35" s="1426">
        <f t="shared" si="2"/>
        <v>0</v>
      </c>
      <c r="O35" s="1426"/>
      <c r="P35" s="1426">
        <f t="shared" si="3"/>
        <v>0</v>
      </c>
      <c r="Q35" s="1426">
        <f t="shared" si="4"/>
        <v>0</v>
      </c>
    </row>
    <row r="36" spans="2:17" ht="15" hidden="1" outlineLevel="1">
      <c r="B36" s="30"/>
      <c r="C36" s="665" t="s">
        <v>483</v>
      </c>
      <c r="D36" s="4" t="s">
        <v>1021</v>
      </c>
      <c r="E36" s="590"/>
      <c r="F36" s="590"/>
      <c r="G36" s="599"/>
      <c r="H36" s="590"/>
      <c r="I36" s="590"/>
      <c r="J36" s="590"/>
      <c r="K36" s="590"/>
      <c r="L36" s="1426"/>
      <c r="M36" s="1426">
        <f t="shared" si="1"/>
        <v>0</v>
      </c>
      <c r="N36" s="1426">
        <f t="shared" si="2"/>
        <v>0</v>
      </c>
      <c r="O36" s="1426"/>
      <c r="P36" s="1426">
        <f t="shared" si="3"/>
        <v>0</v>
      </c>
      <c r="Q36" s="1426">
        <f t="shared" si="4"/>
        <v>0</v>
      </c>
    </row>
    <row r="37" spans="2:17" ht="27" hidden="1" outlineLevel="1">
      <c r="B37" s="30"/>
      <c r="C37" s="665" t="s">
        <v>484</v>
      </c>
      <c r="D37" s="4" t="s">
        <v>1021</v>
      </c>
      <c r="E37" s="590"/>
      <c r="F37" s="590"/>
      <c r="G37" s="599"/>
      <c r="H37" s="590"/>
      <c r="I37" s="590"/>
      <c r="J37" s="590"/>
      <c r="K37" s="590"/>
      <c r="L37" s="1426"/>
      <c r="M37" s="1426">
        <f t="shared" si="1"/>
        <v>0</v>
      </c>
      <c r="N37" s="1426">
        <f t="shared" si="2"/>
        <v>0</v>
      </c>
      <c r="O37" s="1426"/>
      <c r="P37" s="1426">
        <f t="shared" si="3"/>
        <v>0</v>
      </c>
      <c r="Q37" s="1426">
        <f t="shared" si="4"/>
        <v>0</v>
      </c>
    </row>
    <row r="38" spans="1:17" ht="27" collapsed="1">
      <c r="A38" s="1928">
        <v>3</v>
      </c>
      <c r="B38" s="47" t="s">
        <v>1012</v>
      </c>
      <c r="C38" s="23" t="s">
        <v>486</v>
      </c>
      <c r="D38" s="531" t="s">
        <v>1021</v>
      </c>
      <c r="E38" s="1929">
        <v>0</v>
      </c>
      <c r="F38" s="1929">
        <v>0</v>
      </c>
      <c r="G38" s="597">
        <v>0</v>
      </c>
      <c r="H38" s="589">
        <f>SUM(H39:H42,H48:H51)</f>
        <v>0</v>
      </c>
      <c r="I38" s="589">
        <v>0</v>
      </c>
      <c r="J38" s="589">
        <v>0</v>
      </c>
      <c r="K38" s="589">
        <v>0</v>
      </c>
      <c r="L38" s="1336">
        <f aca="true" t="shared" si="5" ref="L38:Q38">L42+L48+L49+L50+L51</f>
        <v>750</v>
      </c>
      <c r="M38" s="1336">
        <f t="shared" si="5"/>
        <v>0</v>
      </c>
      <c r="N38" s="1336">
        <f t="shared" si="5"/>
        <v>750</v>
      </c>
      <c r="O38" s="1336">
        <f t="shared" si="5"/>
        <v>750</v>
      </c>
      <c r="P38" s="1336">
        <f t="shared" si="5"/>
        <v>0</v>
      </c>
      <c r="Q38" s="1336">
        <f t="shared" si="5"/>
        <v>750</v>
      </c>
    </row>
    <row r="39" spans="1:17" ht="15">
      <c r="A39" s="1931">
        <v>3.1</v>
      </c>
      <c r="B39" s="30"/>
      <c r="C39" s="665" t="s">
        <v>470</v>
      </c>
      <c r="D39" s="4" t="s">
        <v>1021</v>
      </c>
      <c r="E39" s="590"/>
      <c r="F39" s="590"/>
      <c r="G39" s="599"/>
      <c r="H39" s="590"/>
      <c r="I39" s="590"/>
      <c r="J39" s="590"/>
      <c r="K39" s="590"/>
      <c r="L39" s="1426"/>
      <c r="M39" s="1426"/>
      <c r="N39" s="1426"/>
      <c r="O39" s="1426"/>
      <c r="P39" s="1426"/>
      <c r="Q39" s="1426"/>
    </row>
    <row r="40" spans="1:17" ht="15">
      <c r="A40" s="1931">
        <v>3.2</v>
      </c>
      <c r="B40" s="30"/>
      <c r="C40" s="665" t="s">
        <v>471</v>
      </c>
      <c r="D40" s="4" t="s">
        <v>1021</v>
      </c>
      <c r="E40" s="590"/>
      <c r="F40" s="590"/>
      <c r="G40" s="599"/>
      <c r="H40" s="590"/>
      <c r="I40" s="590"/>
      <c r="J40" s="590"/>
      <c r="K40" s="590"/>
      <c r="L40" s="1426"/>
      <c r="M40" s="1426"/>
      <c r="N40" s="1426"/>
      <c r="O40" s="1426"/>
      <c r="P40" s="1426"/>
      <c r="Q40" s="1426"/>
    </row>
    <row r="41" spans="1:17" ht="15">
      <c r="A41" s="1931">
        <v>3.3</v>
      </c>
      <c r="B41" s="30"/>
      <c r="C41" s="665" t="s">
        <v>472</v>
      </c>
      <c r="D41" s="4" t="s">
        <v>1021</v>
      </c>
      <c r="E41" s="590"/>
      <c r="F41" s="590"/>
      <c r="G41" s="599"/>
      <c r="H41" s="1070"/>
      <c r="I41" s="590"/>
      <c r="J41" s="590"/>
      <c r="K41" s="590"/>
      <c r="L41" s="1426"/>
      <c r="M41" s="1426"/>
      <c r="N41" s="1426"/>
      <c r="O41" s="1426"/>
      <c r="P41" s="1426"/>
      <c r="Q41" s="1426"/>
    </row>
    <row r="42" spans="1:17" ht="15">
      <c r="A42" s="1931">
        <v>3.4</v>
      </c>
      <c r="B42" s="30"/>
      <c r="C42" s="665" t="s">
        <v>473</v>
      </c>
      <c r="D42" s="4" t="s">
        <v>1021</v>
      </c>
      <c r="E42" s="590"/>
      <c r="F42" s="590"/>
      <c r="G42" s="599"/>
      <c r="H42" s="590"/>
      <c r="I42" s="590"/>
      <c r="J42" s="590"/>
      <c r="K42" s="590"/>
      <c r="L42" s="1426">
        <f aca="true" t="shared" si="6" ref="L42:Q42">SUM(L43:L47)</f>
        <v>750</v>
      </c>
      <c r="M42" s="1426">
        <f t="shared" si="6"/>
        <v>0</v>
      </c>
      <c r="N42" s="1426">
        <f t="shared" si="6"/>
        <v>750</v>
      </c>
      <c r="O42" s="1426">
        <f t="shared" si="6"/>
        <v>750</v>
      </c>
      <c r="P42" s="1426">
        <f t="shared" si="6"/>
        <v>0</v>
      </c>
      <c r="Q42" s="1426">
        <f t="shared" si="6"/>
        <v>750</v>
      </c>
    </row>
    <row r="43" spans="1:17" ht="15">
      <c r="A43" s="1931" t="s">
        <v>487</v>
      </c>
      <c r="B43" s="30"/>
      <c r="C43" s="1932" t="s">
        <v>474</v>
      </c>
      <c r="D43" s="4" t="s">
        <v>1021</v>
      </c>
      <c r="E43" s="590"/>
      <c r="F43" s="590"/>
      <c r="G43" s="599"/>
      <c r="H43" s="590"/>
      <c r="I43" s="590"/>
      <c r="J43" s="590"/>
      <c r="K43" s="590"/>
      <c r="L43" s="1426"/>
      <c r="M43" s="1426"/>
      <c r="N43" s="1426"/>
      <c r="O43" s="1426"/>
      <c r="P43" s="1426"/>
      <c r="Q43" s="1426"/>
    </row>
    <row r="44" spans="1:17" ht="15">
      <c r="A44" s="1931" t="s">
        <v>488</v>
      </c>
      <c r="B44" s="30"/>
      <c r="C44" s="1932" t="s">
        <v>475</v>
      </c>
      <c r="D44" s="4" t="s">
        <v>1021</v>
      </c>
      <c r="E44" s="590"/>
      <c r="F44" s="590"/>
      <c r="G44" s="599"/>
      <c r="H44" s="590"/>
      <c r="I44" s="1070"/>
      <c r="J44" s="590"/>
      <c r="K44" s="590"/>
      <c r="L44" s="1426">
        <v>750</v>
      </c>
      <c r="M44" s="1426">
        <v>0</v>
      </c>
      <c r="N44" s="1426">
        <v>750</v>
      </c>
      <c r="O44" s="1426">
        <v>750</v>
      </c>
      <c r="P44" s="1426">
        <v>0</v>
      </c>
      <c r="Q44" s="1426">
        <v>750</v>
      </c>
    </row>
    <row r="45" spans="1:17" ht="27">
      <c r="A45" s="1931" t="s">
        <v>489</v>
      </c>
      <c r="B45" s="30"/>
      <c r="C45" s="1932" t="s">
        <v>476</v>
      </c>
      <c r="D45" s="4" t="s">
        <v>1021</v>
      </c>
      <c r="E45" s="590"/>
      <c r="F45" s="590"/>
      <c r="G45" s="599"/>
      <c r="H45" s="590"/>
      <c r="I45" s="590"/>
      <c r="J45" s="590"/>
      <c r="K45" s="590"/>
      <c r="L45" s="1426"/>
      <c r="M45" s="1426"/>
      <c r="N45" s="1426"/>
      <c r="O45" s="1426"/>
      <c r="P45" s="1426"/>
      <c r="Q45" s="1426"/>
    </row>
    <row r="46" spans="1:17" ht="15">
      <c r="A46" s="1931" t="s">
        <v>490</v>
      </c>
      <c r="B46" s="30"/>
      <c r="C46" s="1932" t="s">
        <v>478</v>
      </c>
      <c r="D46" s="4" t="s">
        <v>1021</v>
      </c>
      <c r="E46" s="590"/>
      <c r="F46" s="590"/>
      <c r="G46" s="599"/>
      <c r="H46" s="590"/>
      <c r="I46" s="590"/>
      <c r="J46" s="590"/>
      <c r="K46" s="590"/>
      <c r="L46" s="1426"/>
      <c r="M46" s="1426"/>
      <c r="N46" s="1426"/>
      <c r="O46" s="1426"/>
      <c r="P46" s="1426"/>
      <c r="Q46" s="1426"/>
    </row>
    <row r="47" spans="1:17" ht="15">
      <c r="A47" s="1931" t="s">
        <v>491</v>
      </c>
      <c r="B47" s="30"/>
      <c r="C47" s="1932" t="s">
        <v>480</v>
      </c>
      <c r="D47" s="4" t="s">
        <v>1021</v>
      </c>
      <c r="E47" s="590"/>
      <c r="F47" s="590"/>
      <c r="G47" s="599"/>
      <c r="H47" s="590"/>
      <c r="I47" s="590"/>
      <c r="J47" s="590"/>
      <c r="K47" s="590"/>
      <c r="L47" s="1426"/>
      <c r="M47" s="1426"/>
      <c r="N47" s="1426"/>
      <c r="O47" s="1426"/>
      <c r="P47" s="1426"/>
      <c r="Q47" s="1426"/>
    </row>
    <row r="48" spans="1:17" ht="15">
      <c r="A48" s="1931">
        <v>3.5</v>
      </c>
      <c r="B48" s="30"/>
      <c r="C48" s="665" t="s">
        <v>481</v>
      </c>
      <c r="D48" s="4" t="s">
        <v>1021</v>
      </c>
      <c r="E48" s="590"/>
      <c r="F48" s="590"/>
      <c r="G48" s="599"/>
      <c r="H48" s="1070"/>
      <c r="I48" s="590"/>
      <c r="J48" s="590"/>
      <c r="K48" s="590"/>
      <c r="L48" s="1426"/>
      <c r="M48" s="1426"/>
      <c r="N48" s="1426"/>
      <c r="O48" s="1426"/>
      <c r="P48" s="1426"/>
      <c r="Q48" s="1426"/>
    </row>
    <row r="49" spans="1:17" ht="15">
      <c r="A49" s="1931">
        <v>3.6</v>
      </c>
      <c r="B49" s="30"/>
      <c r="C49" s="665" t="s">
        <v>482</v>
      </c>
      <c r="D49" s="4" t="s">
        <v>1021</v>
      </c>
      <c r="E49" s="590"/>
      <c r="F49" s="590"/>
      <c r="G49" s="599"/>
      <c r="H49" s="590"/>
      <c r="I49" s="590"/>
      <c r="J49" s="590"/>
      <c r="K49" s="590"/>
      <c r="L49" s="1426"/>
      <c r="M49" s="1426"/>
      <c r="N49" s="1426"/>
      <c r="O49" s="1426"/>
      <c r="P49" s="1426"/>
      <c r="Q49" s="1426"/>
    </row>
    <row r="50" spans="1:17" ht="15">
      <c r="A50" s="1931">
        <v>3.7</v>
      </c>
      <c r="B50" s="30"/>
      <c r="C50" s="665" t="s">
        <v>483</v>
      </c>
      <c r="D50" s="4" t="s">
        <v>1021</v>
      </c>
      <c r="E50" s="590"/>
      <c r="F50" s="590"/>
      <c r="G50" s="599"/>
      <c r="H50" s="590"/>
      <c r="I50" s="590"/>
      <c r="J50" s="590"/>
      <c r="K50" s="590"/>
      <c r="L50" s="1426"/>
      <c r="M50" s="1426"/>
      <c r="N50" s="1426"/>
      <c r="O50" s="1426"/>
      <c r="P50" s="1426"/>
      <c r="Q50" s="1426"/>
    </row>
    <row r="51" spans="1:17" ht="27">
      <c r="A51" s="1931">
        <v>3.8</v>
      </c>
      <c r="B51" s="30"/>
      <c r="C51" s="665" t="s">
        <v>484</v>
      </c>
      <c r="D51" s="4" t="s">
        <v>1021</v>
      </c>
      <c r="E51" s="590"/>
      <c r="F51" s="590"/>
      <c r="G51" s="599"/>
      <c r="H51" s="590"/>
      <c r="I51" s="590"/>
      <c r="J51" s="590"/>
      <c r="K51" s="590"/>
      <c r="L51" s="1426"/>
      <c r="M51" s="1426"/>
      <c r="N51" s="1426"/>
      <c r="O51" s="1426"/>
      <c r="P51" s="1426"/>
      <c r="Q51" s="1426"/>
    </row>
    <row r="52" spans="1:17" ht="27">
      <c r="A52" s="1928">
        <v>4</v>
      </c>
      <c r="B52" s="47" t="s">
        <v>1018</v>
      </c>
      <c r="C52" s="23" t="s">
        <v>492</v>
      </c>
      <c r="D52" s="531" t="s">
        <v>1021</v>
      </c>
      <c r="E52" s="589">
        <v>0</v>
      </c>
      <c r="F52" s="589">
        <v>0</v>
      </c>
      <c r="G52" s="597">
        <v>0</v>
      </c>
      <c r="H52" s="589">
        <v>0</v>
      </c>
      <c r="I52" s="589">
        <f>SUM(I53:I56,I62:I65)</f>
        <v>0</v>
      </c>
      <c r="J52" s="589">
        <v>0</v>
      </c>
      <c r="K52" s="589">
        <v>0</v>
      </c>
      <c r="L52" s="1336">
        <v>0</v>
      </c>
      <c r="M52" s="1336">
        <v>0</v>
      </c>
      <c r="N52" s="1336">
        <v>0</v>
      </c>
      <c r="O52" s="1336">
        <v>0</v>
      </c>
      <c r="P52" s="1336">
        <v>0</v>
      </c>
      <c r="Q52" s="1336">
        <v>0</v>
      </c>
    </row>
    <row r="53" spans="1:17" ht="15">
      <c r="A53" s="1931">
        <v>4.1</v>
      </c>
      <c r="B53" s="30"/>
      <c r="C53" s="665" t="s">
        <v>470</v>
      </c>
      <c r="D53" s="4" t="s">
        <v>1021</v>
      </c>
      <c r="E53" s="590"/>
      <c r="F53" s="590"/>
      <c r="G53" s="599"/>
      <c r="H53" s="590"/>
      <c r="I53" s="590"/>
      <c r="J53" s="590"/>
      <c r="K53" s="590"/>
      <c r="L53" s="1426"/>
      <c r="M53" s="1426"/>
      <c r="N53" s="1426"/>
      <c r="O53" s="1426"/>
      <c r="P53" s="1426"/>
      <c r="Q53" s="1426"/>
    </row>
    <row r="54" spans="1:17" ht="15">
      <c r="A54" s="1931">
        <v>4.2</v>
      </c>
      <c r="B54" s="30"/>
      <c r="C54" s="665" t="s">
        <v>471</v>
      </c>
      <c r="D54" s="4" t="s">
        <v>1021</v>
      </c>
      <c r="E54" s="590"/>
      <c r="F54" s="590"/>
      <c r="G54" s="599"/>
      <c r="H54" s="590"/>
      <c r="I54" s="590"/>
      <c r="J54" s="590"/>
      <c r="K54" s="590"/>
      <c r="L54" s="1426"/>
      <c r="M54" s="1426"/>
      <c r="N54" s="1426"/>
      <c r="O54" s="1426"/>
      <c r="P54" s="1426"/>
      <c r="Q54" s="1426"/>
    </row>
    <row r="55" spans="1:17" ht="15">
      <c r="A55" s="1931">
        <v>4.3</v>
      </c>
      <c r="B55" s="30"/>
      <c r="C55" s="665" t="s">
        <v>472</v>
      </c>
      <c r="D55" s="4" t="s">
        <v>1021</v>
      </c>
      <c r="E55" s="590"/>
      <c r="F55" s="590"/>
      <c r="G55" s="599"/>
      <c r="H55" s="590"/>
      <c r="I55" s="590"/>
      <c r="J55" s="590"/>
      <c r="K55" s="590"/>
      <c r="L55" s="1426"/>
      <c r="M55" s="1426"/>
      <c r="N55" s="1426"/>
      <c r="O55" s="1426"/>
      <c r="P55" s="1426"/>
      <c r="Q55" s="1426"/>
    </row>
    <row r="56" spans="1:17" ht="15">
      <c r="A56" s="1931">
        <v>4.4</v>
      </c>
      <c r="B56" s="30"/>
      <c r="C56" s="665" t="s">
        <v>473</v>
      </c>
      <c r="D56" s="4" t="s">
        <v>1021</v>
      </c>
      <c r="E56" s="590"/>
      <c r="F56" s="590"/>
      <c r="G56" s="599"/>
      <c r="H56" s="590"/>
      <c r="I56" s="590"/>
      <c r="J56" s="590"/>
      <c r="K56" s="590"/>
      <c r="L56" s="1426"/>
      <c r="M56" s="1426"/>
      <c r="N56" s="1426"/>
      <c r="O56" s="1426"/>
      <c r="P56" s="1426"/>
      <c r="Q56" s="1426"/>
    </row>
    <row r="57" spans="1:17" ht="15">
      <c r="A57" s="1931" t="s">
        <v>975</v>
      </c>
      <c r="B57" s="30"/>
      <c r="C57" s="1932" t="s">
        <v>474</v>
      </c>
      <c r="D57" s="4" t="s">
        <v>1021</v>
      </c>
      <c r="E57" s="590"/>
      <c r="F57" s="590"/>
      <c r="G57" s="599"/>
      <c r="H57" s="590"/>
      <c r="I57" s="590"/>
      <c r="J57" s="590"/>
      <c r="K57" s="590"/>
      <c r="L57" s="1426"/>
      <c r="M57" s="1426"/>
      <c r="N57" s="1426"/>
      <c r="O57" s="1426"/>
      <c r="P57" s="1426"/>
      <c r="Q57" s="1426"/>
    </row>
    <row r="58" spans="1:17" ht="15">
      <c r="A58" s="1931" t="s">
        <v>976</v>
      </c>
      <c r="B58" s="30"/>
      <c r="C58" s="1932" t="s">
        <v>475</v>
      </c>
      <c r="D58" s="4" t="s">
        <v>1021</v>
      </c>
      <c r="E58" s="590"/>
      <c r="F58" s="590"/>
      <c r="G58" s="599"/>
      <c r="H58" s="590"/>
      <c r="I58" s="590"/>
      <c r="J58" s="590"/>
      <c r="K58" s="590"/>
      <c r="L58" s="1426"/>
      <c r="M58" s="1426"/>
      <c r="N58" s="1426"/>
      <c r="O58" s="1426"/>
      <c r="P58" s="1426"/>
      <c r="Q58" s="1426"/>
    </row>
    <row r="59" spans="1:17" ht="27">
      <c r="A59" s="1931" t="s">
        <v>977</v>
      </c>
      <c r="B59" s="30"/>
      <c r="C59" s="1932" t="s">
        <v>476</v>
      </c>
      <c r="D59" s="4" t="s">
        <v>1021</v>
      </c>
      <c r="E59" s="590"/>
      <c r="F59" s="590"/>
      <c r="G59" s="599"/>
      <c r="H59" s="590"/>
      <c r="I59" s="590"/>
      <c r="J59" s="590"/>
      <c r="K59" s="590"/>
      <c r="L59" s="1426"/>
      <c r="M59" s="1426"/>
      <c r="N59" s="1426"/>
      <c r="O59" s="1426"/>
      <c r="P59" s="1426"/>
      <c r="Q59" s="1426"/>
    </row>
    <row r="60" spans="1:17" ht="15">
      <c r="A60" s="1931" t="s">
        <v>978</v>
      </c>
      <c r="B60" s="30"/>
      <c r="C60" s="1932" t="s">
        <v>478</v>
      </c>
      <c r="D60" s="4" t="s">
        <v>1021</v>
      </c>
      <c r="E60" s="590"/>
      <c r="F60" s="590"/>
      <c r="G60" s="599"/>
      <c r="H60" s="590"/>
      <c r="I60" s="590"/>
      <c r="J60" s="590"/>
      <c r="K60" s="590"/>
      <c r="L60" s="1426"/>
      <c r="M60" s="1426"/>
      <c r="N60" s="1426"/>
      <c r="O60" s="1426"/>
      <c r="P60" s="1426"/>
      <c r="Q60" s="1426"/>
    </row>
    <row r="61" spans="1:17" ht="15">
      <c r="A61" s="1931" t="s">
        <v>493</v>
      </c>
      <c r="B61" s="30"/>
      <c r="C61" s="1932" t="s">
        <v>480</v>
      </c>
      <c r="D61" s="4" t="s">
        <v>1021</v>
      </c>
      <c r="E61" s="590"/>
      <c r="F61" s="590"/>
      <c r="G61" s="599"/>
      <c r="H61" s="590"/>
      <c r="I61" s="590"/>
      <c r="J61" s="590"/>
      <c r="K61" s="590"/>
      <c r="L61" s="1426"/>
      <c r="M61" s="1426"/>
      <c r="N61" s="1426"/>
      <c r="O61" s="1426"/>
      <c r="P61" s="1426"/>
      <c r="Q61" s="1426"/>
    </row>
    <row r="62" spans="1:17" ht="15">
      <c r="A62" s="1931">
        <v>4.5</v>
      </c>
      <c r="B62" s="30"/>
      <c r="C62" s="665" t="s">
        <v>481</v>
      </c>
      <c r="D62" s="4" t="s">
        <v>1021</v>
      </c>
      <c r="E62" s="590"/>
      <c r="F62" s="590"/>
      <c r="G62" s="599"/>
      <c r="H62" s="590"/>
      <c r="I62" s="590"/>
      <c r="J62" s="590"/>
      <c r="K62" s="590"/>
      <c r="L62" s="1426"/>
      <c r="M62" s="1426"/>
      <c r="N62" s="1426"/>
      <c r="O62" s="1426"/>
      <c r="P62" s="1426"/>
      <c r="Q62" s="1426"/>
    </row>
    <row r="63" spans="1:17" ht="15">
      <c r="A63" s="1931">
        <v>4.6</v>
      </c>
      <c r="B63" s="30"/>
      <c r="C63" s="665" t="s">
        <v>482</v>
      </c>
      <c r="D63" s="4" t="s">
        <v>1021</v>
      </c>
      <c r="E63" s="590"/>
      <c r="F63" s="590"/>
      <c r="G63" s="599"/>
      <c r="H63" s="590"/>
      <c r="I63" s="590"/>
      <c r="J63" s="590"/>
      <c r="K63" s="590"/>
      <c r="L63" s="1426"/>
      <c r="M63" s="1426"/>
      <c r="N63" s="1426"/>
      <c r="O63" s="1426"/>
      <c r="P63" s="1426"/>
      <c r="Q63" s="1426"/>
    </row>
    <row r="64" spans="1:17" ht="15">
      <c r="A64" s="1931">
        <v>4.7</v>
      </c>
      <c r="B64" s="30"/>
      <c r="C64" s="665" t="s">
        <v>483</v>
      </c>
      <c r="D64" s="4" t="s">
        <v>1021</v>
      </c>
      <c r="E64" s="590"/>
      <c r="F64" s="590"/>
      <c r="G64" s="599"/>
      <c r="H64" s="590"/>
      <c r="I64" s="590"/>
      <c r="J64" s="590"/>
      <c r="K64" s="590"/>
      <c r="L64" s="1426"/>
      <c r="M64" s="1426"/>
      <c r="N64" s="1426"/>
      <c r="O64" s="1426"/>
      <c r="P64" s="1426"/>
      <c r="Q64" s="1426"/>
    </row>
    <row r="65" spans="1:17" ht="27">
      <c r="A65" s="1931">
        <v>4.8</v>
      </c>
      <c r="B65" s="30"/>
      <c r="C65" s="665" t="s">
        <v>484</v>
      </c>
      <c r="D65" s="4" t="s">
        <v>1021</v>
      </c>
      <c r="E65" s="590"/>
      <c r="F65" s="590"/>
      <c r="G65" s="599"/>
      <c r="H65" s="590"/>
      <c r="I65" s="590"/>
      <c r="J65" s="590"/>
      <c r="K65" s="590"/>
      <c r="L65" s="1426"/>
      <c r="M65" s="1426"/>
      <c r="N65" s="1426"/>
      <c r="O65" s="1426"/>
      <c r="P65" s="1426"/>
      <c r="Q65" s="1426"/>
    </row>
    <row r="66" spans="1:17" ht="39.75">
      <c r="A66" s="1928">
        <v>5</v>
      </c>
      <c r="B66" s="47" t="s">
        <v>1019</v>
      </c>
      <c r="C66" s="23" t="s">
        <v>494</v>
      </c>
      <c r="D66" s="531" t="s">
        <v>1021</v>
      </c>
      <c r="E66" s="1929">
        <f>E70</f>
        <v>2651</v>
      </c>
      <c r="F66" s="1929">
        <f>F70</f>
        <v>2633</v>
      </c>
      <c r="G66" s="597">
        <f>G70+G79</f>
        <v>2633</v>
      </c>
      <c r="H66" s="597">
        <f aca="true" t="shared" si="7" ref="H66:Q66">H70+H79</f>
        <v>2633</v>
      </c>
      <c r="I66" s="597">
        <f t="shared" si="7"/>
        <v>2633</v>
      </c>
      <c r="J66" s="597">
        <f t="shared" si="7"/>
        <v>1316.5</v>
      </c>
      <c r="K66" s="597">
        <f t="shared" si="7"/>
        <v>1316</v>
      </c>
      <c r="L66" s="597">
        <f t="shared" si="7"/>
        <v>3383</v>
      </c>
      <c r="M66" s="597">
        <f t="shared" si="7"/>
        <v>1691.5</v>
      </c>
      <c r="N66" s="597">
        <f t="shared" si="7"/>
        <v>1691.5</v>
      </c>
      <c r="O66" s="597">
        <f t="shared" si="7"/>
        <v>3383</v>
      </c>
      <c r="P66" s="597">
        <f t="shared" si="7"/>
        <v>1691.5</v>
      </c>
      <c r="Q66" s="597">
        <f t="shared" si="7"/>
        <v>1691.5</v>
      </c>
    </row>
    <row r="67" spans="1:17" ht="15">
      <c r="A67" s="1931" t="s">
        <v>1308</v>
      </c>
      <c r="B67" s="30"/>
      <c r="C67" s="665" t="s">
        <v>470</v>
      </c>
      <c r="D67" s="4" t="s">
        <v>1021</v>
      </c>
      <c r="E67" s="590"/>
      <c r="F67" s="590"/>
      <c r="G67" s="599"/>
      <c r="H67" s="590"/>
      <c r="I67" s="590"/>
      <c r="J67" s="590"/>
      <c r="K67" s="590"/>
      <c r="L67" s="1426"/>
      <c r="M67" s="1426"/>
      <c r="N67" s="1426"/>
      <c r="O67" s="1426"/>
      <c r="P67" s="1426"/>
      <c r="Q67" s="1426"/>
    </row>
    <row r="68" spans="1:17" ht="15">
      <c r="A68" s="1931">
        <v>5.2</v>
      </c>
      <c r="B68" s="30"/>
      <c r="C68" s="665" t="s">
        <v>471</v>
      </c>
      <c r="D68" s="4" t="s">
        <v>1021</v>
      </c>
      <c r="E68" s="590"/>
      <c r="F68" s="590"/>
      <c r="G68" s="599"/>
      <c r="H68" s="590"/>
      <c r="I68" s="590"/>
      <c r="J68" s="590"/>
      <c r="K68" s="590"/>
      <c r="L68" s="1426"/>
      <c r="M68" s="1426"/>
      <c r="N68" s="1426"/>
      <c r="O68" s="1426"/>
      <c r="P68" s="1426"/>
      <c r="Q68" s="1426"/>
    </row>
    <row r="69" spans="1:17" ht="15">
      <c r="A69" s="1931">
        <v>5.3</v>
      </c>
      <c r="B69" s="30"/>
      <c r="C69" s="665" t="s">
        <v>472</v>
      </c>
      <c r="D69" s="4" t="s">
        <v>1021</v>
      </c>
      <c r="E69" s="590"/>
      <c r="F69" s="590"/>
      <c r="G69" s="599"/>
      <c r="H69" s="590"/>
      <c r="I69" s="590"/>
      <c r="J69" s="590"/>
      <c r="K69" s="590"/>
      <c r="L69" s="1426"/>
      <c r="M69" s="1426"/>
      <c r="N69" s="1426"/>
      <c r="O69" s="1426"/>
      <c r="P69" s="1426"/>
      <c r="Q69" s="1426"/>
    </row>
    <row r="70" spans="1:17" ht="15">
      <c r="A70" s="1931">
        <v>5.4</v>
      </c>
      <c r="B70" s="30"/>
      <c r="C70" s="665" t="s">
        <v>473</v>
      </c>
      <c r="D70" s="4" t="s">
        <v>1021</v>
      </c>
      <c r="E70" s="590">
        <f>SUM(E71:E75)</f>
        <v>2651</v>
      </c>
      <c r="F70" s="590">
        <f>SUM(F71:F75)</f>
        <v>2633</v>
      </c>
      <c r="G70" s="599">
        <v>2261</v>
      </c>
      <c r="H70" s="590">
        <f>SUM(H71:H75)</f>
        <v>2261</v>
      </c>
      <c r="I70" s="590">
        <f>SUM(I71:I75)</f>
        <v>2261</v>
      </c>
      <c r="J70" s="590">
        <f>SUM(J71:J75)</f>
        <v>1130.5</v>
      </c>
      <c r="K70" s="590">
        <f>SUM(K71:K75)</f>
        <v>1130</v>
      </c>
      <c r="L70" s="1426">
        <f>L72+L73+L74+L75</f>
        <v>3011</v>
      </c>
      <c r="M70" s="1426">
        <f>L70/2</f>
        <v>1505.5</v>
      </c>
      <c r="N70" s="1426">
        <f>L70-M70</f>
        <v>1505.5</v>
      </c>
      <c r="O70" s="1426">
        <f>O72+O73+O74+O75</f>
        <v>3011</v>
      </c>
      <c r="P70" s="1426">
        <f>O70/2</f>
        <v>1505.5</v>
      </c>
      <c r="Q70" s="1426">
        <f>O70-P70</f>
        <v>1505.5</v>
      </c>
    </row>
    <row r="71" spans="1:17" ht="15">
      <c r="A71" s="1931" t="s">
        <v>495</v>
      </c>
      <c r="B71" s="30"/>
      <c r="C71" s="1932" t="s">
        <v>474</v>
      </c>
      <c r="D71" s="4" t="s">
        <v>1021</v>
      </c>
      <c r="E71" s="590"/>
      <c r="F71" s="590"/>
      <c r="G71" s="599"/>
      <c r="H71" s="590"/>
      <c r="I71" s="590"/>
      <c r="J71" s="590"/>
      <c r="K71" s="590"/>
      <c r="L71" s="1426"/>
      <c r="M71" s="1426"/>
      <c r="N71" s="1426"/>
      <c r="O71" s="1426"/>
      <c r="P71" s="1426"/>
      <c r="Q71" s="1426"/>
    </row>
    <row r="72" spans="1:17" ht="15">
      <c r="A72" s="1931" t="s">
        <v>496</v>
      </c>
      <c r="B72" s="30"/>
      <c r="C72" s="1932" t="s">
        <v>475</v>
      </c>
      <c r="D72" s="4" t="s">
        <v>1021</v>
      </c>
      <c r="E72" s="590">
        <v>2008</v>
      </c>
      <c r="F72" s="590">
        <v>1990</v>
      </c>
      <c r="G72" s="599">
        <v>1040</v>
      </c>
      <c r="H72" s="590">
        <f>G72</f>
        <v>1040</v>
      </c>
      <c r="I72" s="590">
        <f>H72</f>
        <v>1040</v>
      </c>
      <c r="J72" s="1070">
        <f>I72/2</f>
        <v>520</v>
      </c>
      <c r="K72" s="1070">
        <f>I72/2</f>
        <v>520</v>
      </c>
      <c r="L72" s="1426">
        <f>L16+L44-L58</f>
        <v>1790</v>
      </c>
      <c r="M72" s="1426">
        <f>L72/2</f>
        <v>895</v>
      </c>
      <c r="N72" s="1426">
        <f>L72-M72</f>
        <v>895</v>
      </c>
      <c r="O72" s="1426">
        <f>O16+O44-O58</f>
        <v>1790</v>
      </c>
      <c r="P72" s="1426">
        <f>O72/2</f>
        <v>895</v>
      </c>
      <c r="Q72" s="1426">
        <f>O72-P72</f>
        <v>895</v>
      </c>
    </row>
    <row r="73" spans="1:17" ht="27">
      <c r="A73" s="1931" t="s">
        <v>497</v>
      </c>
      <c r="B73" s="30"/>
      <c r="C73" s="1932" t="s">
        <v>476</v>
      </c>
      <c r="D73" s="4" t="s">
        <v>1021</v>
      </c>
      <c r="E73" s="590">
        <v>602</v>
      </c>
      <c r="F73" s="590">
        <v>602</v>
      </c>
      <c r="G73" s="599">
        <v>602</v>
      </c>
      <c r="H73" s="590">
        <v>602</v>
      </c>
      <c r="I73" s="590">
        <v>602</v>
      </c>
      <c r="J73" s="1070">
        <f>I73/2</f>
        <v>301</v>
      </c>
      <c r="K73" s="1070">
        <f>I73-J73</f>
        <v>301</v>
      </c>
      <c r="L73" s="1426">
        <f>L17+L45-L59</f>
        <v>602</v>
      </c>
      <c r="M73" s="1426">
        <f>L73/2</f>
        <v>301</v>
      </c>
      <c r="N73" s="1426">
        <f>L73-M73</f>
        <v>301</v>
      </c>
      <c r="O73" s="1426">
        <f>O17+O45-O59</f>
        <v>602</v>
      </c>
      <c r="P73" s="1426">
        <f>O73/2</f>
        <v>301</v>
      </c>
      <c r="Q73" s="1426">
        <f>O73-P73</f>
        <v>301</v>
      </c>
    </row>
    <row r="74" spans="1:17" ht="15">
      <c r="A74" s="1931" t="s">
        <v>498</v>
      </c>
      <c r="B74" s="30"/>
      <c r="C74" s="1932" t="s">
        <v>478</v>
      </c>
      <c r="D74" s="4" t="s">
        <v>1021</v>
      </c>
      <c r="E74" s="590">
        <v>41</v>
      </c>
      <c r="F74" s="590">
        <v>41</v>
      </c>
      <c r="G74" s="599">
        <v>41</v>
      </c>
      <c r="H74" s="590">
        <v>41</v>
      </c>
      <c r="I74" s="590">
        <v>41</v>
      </c>
      <c r="J74" s="1070">
        <f>I74/2</f>
        <v>20.5</v>
      </c>
      <c r="K74" s="1070">
        <v>20</v>
      </c>
      <c r="L74" s="1426">
        <f>L18+L46-L60</f>
        <v>41</v>
      </c>
      <c r="M74" s="1426">
        <f>L74/2</f>
        <v>20.5</v>
      </c>
      <c r="N74" s="1426">
        <f>L74-M74</f>
        <v>20.5</v>
      </c>
      <c r="O74" s="1426">
        <f>O18+O46-O60</f>
        <v>41</v>
      </c>
      <c r="P74" s="1426">
        <f>O74/2</f>
        <v>20.5</v>
      </c>
      <c r="Q74" s="1426">
        <f>O74-P74</f>
        <v>20.5</v>
      </c>
    </row>
    <row r="75" spans="1:17" ht="15">
      <c r="A75" s="1931" t="s">
        <v>499</v>
      </c>
      <c r="B75" s="30"/>
      <c r="C75" s="1932" t="s">
        <v>480</v>
      </c>
      <c r="D75" s="4" t="s">
        <v>1021</v>
      </c>
      <c r="E75" s="590"/>
      <c r="F75" s="590"/>
      <c r="G75" s="599">
        <v>578</v>
      </c>
      <c r="H75" s="590">
        <v>578</v>
      </c>
      <c r="I75" s="590">
        <v>578</v>
      </c>
      <c r="J75" s="590">
        <f>I75/2</f>
        <v>289</v>
      </c>
      <c r="K75" s="590">
        <f>I75/2</f>
        <v>289</v>
      </c>
      <c r="L75" s="1426">
        <f>L19+L47-L61</f>
        <v>578</v>
      </c>
      <c r="M75" s="1426">
        <f>L75/2</f>
        <v>289</v>
      </c>
      <c r="N75" s="1426">
        <f>L75-M75</f>
        <v>289</v>
      </c>
      <c r="O75" s="1426">
        <f>O19+O47-O61</f>
        <v>578</v>
      </c>
      <c r="P75" s="1426">
        <f>O75/2</f>
        <v>289</v>
      </c>
      <c r="Q75" s="1426">
        <f>O75-P75</f>
        <v>289</v>
      </c>
    </row>
    <row r="76" spans="1:17" ht="15">
      <c r="A76" s="1931">
        <v>5.5</v>
      </c>
      <c r="B76" s="30"/>
      <c r="C76" s="665" t="s">
        <v>481</v>
      </c>
      <c r="D76" s="4" t="s">
        <v>1021</v>
      </c>
      <c r="E76" s="590"/>
      <c r="F76" s="590"/>
      <c r="G76" s="599"/>
      <c r="H76" s="590"/>
      <c r="I76" s="590"/>
      <c r="J76" s="590"/>
      <c r="K76" s="590"/>
      <c r="L76" s="1426"/>
      <c r="M76" s="1426"/>
      <c r="N76" s="1426"/>
      <c r="O76" s="1426"/>
      <c r="P76" s="1426"/>
      <c r="Q76" s="1426"/>
    </row>
    <row r="77" spans="1:17" ht="15">
      <c r="A77" s="1931">
        <v>5.6</v>
      </c>
      <c r="B77" s="30"/>
      <c r="C77" s="665" t="s">
        <v>482</v>
      </c>
      <c r="D77" s="4" t="s">
        <v>1021</v>
      </c>
      <c r="E77" s="590"/>
      <c r="F77" s="590"/>
      <c r="G77" s="599"/>
      <c r="H77" s="590"/>
      <c r="I77" s="590"/>
      <c r="J77" s="590"/>
      <c r="K77" s="590"/>
      <c r="L77" s="1426"/>
      <c r="M77" s="1426"/>
      <c r="N77" s="1426"/>
      <c r="O77" s="1426"/>
      <c r="P77" s="1426"/>
      <c r="Q77" s="1426"/>
    </row>
    <row r="78" spans="1:17" ht="15">
      <c r="A78" s="1931">
        <v>5.7</v>
      </c>
      <c r="B78" s="30"/>
      <c r="C78" s="665" t="s">
        <v>483</v>
      </c>
      <c r="D78" s="4" t="s">
        <v>1021</v>
      </c>
      <c r="E78" s="590"/>
      <c r="F78" s="590"/>
      <c r="G78" s="599"/>
      <c r="H78" s="590"/>
      <c r="I78" s="590"/>
      <c r="J78" s="590"/>
      <c r="K78" s="590"/>
      <c r="L78" s="1426"/>
      <c r="M78" s="1426"/>
      <c r="N78" s="1426"/>
      <c r="O78" s="1426"/>
      <c r="P78" s="1426"/>
      <c r="Q78" s="1426"/>
    </row>
    <row r="79" spans="1:17" ht="27">
      <c r="A79" s="1931">
        <v>5.8</v>
      </c>
      <c r="B79" s="30"/>
      <c r="C79" s="665" t="s">
        <v>484</v>
      </c>
      <c r="D79" s="4" t="s">
        <v>1021</v>
      </c>
      <c r="E79" s="590"/>
      <c r="F79" s="590"/>
      <c r="G79" s="599">
        <v>372</v>
      </c>
      <c r="H79" s="590">
        <v>372</v>
      </c>
      <c r="I79" s="590">
        <v>372</v>
      </c>
      <c r="J79" s="590">
        <f>I79/2</f>
        <v>186</v>
      </c>
      <c r="K79" s="590">
        <f>I79/2</f>
        <v>186</v>
      </c>
      <c r="L79" s="1426">
        <f>L23+L51-L65</f>
        <v>372</v>
      </c>
      <c r="M79" s="1426">
        <f>L79/2</f>
        <v>186</v>
      </c>
      <c r="N79" s="1426">
        <f>L79-M79</f>
        <v>186</v>
      </c>
      <c r="O79" s="1426">
        <f>O23+O51-O65</f>
        <v>372</v>
      </c>
      <c r="P79" s="1426">
        <f>O79/2</f>
        <v>186</v>
      </c>
      <c r="Q79" s="1426">
        <f>O79-P79</f>
        <v>186</v>
      </c>
    </row>
    <row r="80" spans="1:17" ht="27">
      <c r="A80" s="1928">
        <v>6</v>
      </c>
      <c r="B80" s="47" t="s">
        <v>1020</v>
      </c>
      <c r="C80" s="23" t="s">
        <v>500</v>
      </c>
      <c r="D80" s="531"/>
      <c r="E80" s="1933">
        <v>0.174</v>
      </c>
      <c r="F80" s="1933">
        <v>0.174</v>
      </c>
      <c r="G80" s="1933">
        <f>G94/G10</f>
        <v>0.173262438283327</v>
      </c>
      <c r="H80" s="1933">
        <f>H94/H10</f>
        <v>0.173262438283327</v>
      </c>
      <c r="I80" s="1933">
        <v>0.174</v>
      </c>
      <c r="J80" s="1933">
        <v>0.087</v>
      </c>
      <c r="K80" s="1933">
        <v>0.087</v>
      </c>
      <c r="L80" s="1938">
        <f>L94/L66</f>
        <v>0.06059710316287319</v>
      </c>
      <c r="M80" s="1938">
        <f>L80/2</f>
        <v>0.030298551581436593</v>
      </c>
      <c r="N80" s="1938">
        <f>L80-M80</f>
        <v>0.030298551581436593</v>
      </c>
      <c r="O80" s="1938">
        <f>O94/O66</f>
        <v>0.06976056754360035</v>
      </c>
      <c r="P80" s="1938">
        <v>0.079</v>
      </c>
      <c r="Q80" s="1938">
        <v>0.06</v>
      </c>
    </row>
    <row r="81" spans="1:17" ht="15">
      <c r="A81" s="1931">
        <v>6.1</v>
      </c>
      <c r="B81" s="30"/>
      <c r="C81" s="665" t="s">
        <v>470</v>
      </c>
      <c r="D81" s="4" t="s">
        <v>1307</v>
      </c>
      <c r="E81" s="1934"/>
      <c r="F81" s="1934"/>
      <c r="G81" s="92"/>
      <c r="H81" s="1934"/>
      <c r="I81" s="1934"/>
      <c r="J81" s="1934"/>
      <c r="K81" s="1934"/>
      <c r="L81" s="519"/>
      <c r="M81" s="519"/>
      <c r="N81" s="519"/>
      <c r="O81" s="519"/>
      <c r="P81" s="519"/>
      <c r="Q81" s="519"/>
    </row>
    <row r="82" spans="1:17" ht="15">
      <c r="A82" s="1931">
        <v>6.2</v>
      </c>
      <c r="B82" s="30"/>
      <c r="C82" s="665" t="s">
        <v>471</v>
      </c>
      <c r="D82" s="4" t="s">
        <v>1307</v>
      </c>
      <c r="E82" s="1934"/>
      <c r="F82" s="1934"/>
      <c r="G82" s="92"/>
      <c r="H82" s="1934"/>
      <c r="I82" s="1934"/>
      <c r="J82" s="1934"/>
      <c r="K82" s="1934"/>
      <c r="L82" s="519"/>
      <c r="M82" s="519"/>
      <c r="N82" s="519"/>
      <c r="O82" s="519"/>
      <c r="P82" s="519"/>
      <c r="Q82" s="519"/>
    </row>
    <row r="83" spans="1:17" ht="15">
      <c r="A83" s="1931">
        <v>6.3</v>
      </c>
      <c r="B83" s="30"/>
      <c r="C83" s="665" t="s">
        <v>472</v>
      </c>
      <c r="D83" s="4" t="s">
        <v>1307</v>
      </c>
      <c r="E83" s="1934"/>
      <c r="F83" s="1934"/>
      <c r="G83" s="92"/>
      <c r="H83" s="1934"/>
      <c r="I83" s="1934"/>
      <c r="J83" s="1934"/>
      <c r="K83" s="1934"/>
      <c r="L83" s="519"/>
      <c r="M83" s="519"/>
      <c r="N83" s="519"/>
      <c r="O83" s="519"/>
      <c r="P83" s="519"/>
      <c r="Q83" s="519"/>
    </row>
    <row r="84" spans="1:17" ht="15">
      <c r="A84" s="1931" t="s">
        <v>1513</v>
      </c>
      <c r="B84" s="30"/>
      <c r="C84" s="665" t="s">
        <v>473</v>
      </c>
      <c r="D84" s="4" t="s">
        <v>1307</v>
      </c>
      <c r="E84" s="1934">
        <v>0.174</v>
      </c>
      <c r="F84" s="1934">
        <v>0.174</v>
      </c>
      <c r="G84" s="92">
        <f>G98/G14</f>
        <v>0.1737158021103178</v>
      </c>
      <c r="H84" s="92">
        <f aca="true" t="shared" si="8" ref="H84:Q84">H98/H14</f>
        <v>0.1737158021103178</v>
      </c>
      <c r="I84" s="92">
        <f t="shared" si="8"/>
        <v>0.11322423706324636</v>
      </c>
      <c r="J84" s="92">
        <f t="shared" si="8"/>
        <v>0.12560813799203893</v>
      </c>
      <c r="K84" s="92">
        <f t="shared" si="8"/>
        <v>0.10088495575221239</v>
      </c>
      <c r="L84" s="92">
        <f t="shared" si="8"/>
        <v>0.07828394515701018</v>
      </c>
      <c r="M84" s="92">
        <f t="shared" si="8"/>
        <v>0.09111012826183104</v>
      </c>
      <c r="N84" s="92">
        <f t="shared" si="8"/>
        <v>0.0654577620521893</v>
      </c>
      <c r="O84" s="92">
        <f t="shared" si="8"/>
        <v>0.09199469261388767</v>
      </c>
      <c r="P84" s="92">
        <f t="shared" si="8"/>
        <v>0.09394073418841221</v>
      </c>
      <c r="Q84" s="92">
        <f t="shared" si="8"/>
        <v>0.08996019460415745</v>
      </c>
    </row>
    <row r="85" spans="1:17" ht="15">
      <c r="A85" s="1931" t="s">
        <v>501</v>
      </c>
      <c r="B85" s="30"/>
      <c r="C85" s="1932" t="s">
        <v>474</v>
      </c>
      <c r="D85" s="4" t="s">
        <v>1307</v>
      </c>
      <c r="E85" s="1934"/>
      <c r="F85" s="1934"/>
      <c r="G85" s="92"/>
      <c r="H85" s="92"/>
      <c r="I85" s="92"/>
      <c r="J85" s="92"/>
      <c r="K85" s="92"/>
      <c r="L85" s="92"/>
      <c r="M85" s="92"/>
      <c r="N85" s="92"/>
      <c r="O85" s="519"/>
      <c r="P85" s="519"/>
      <c r="Q85" s="519"/>
    </row>
    <row r="86" spans="1:17" ht="15">
      <c r="A86" s="1931" t="s">
        <v>502</v>
      </c>
      <c r="B86" s="30"/>
      <c r="C86" s="1932" t="s">
        <v>475</v>
      </c>
      <c r="D86" s="4" t="s">
        <v>1307</v>
      </c>
      <c r="E86" s="1934">
        <v>0.101</v>
      </c>
      <c r="F86" s="1934">
        <v>0.101</v>
      </c>
      <c r="G86" s="92">
        <f>G98/G14</f>
        <v>0.1737158021103178</v>
      </c>
      <c r="H86" s="92">
        <f aca="true" t="shared" si="9" ref="H86:Q86">H98/H14</f>
        <v>0.1737158021103178</v>
      </c>
      <c r="I86" s="92">
        <f t="shared" si="9"/>
        <v>0.11322423706324636</v>
      </c>
      <c r="J86" s="92">
        <f t="shared" si="9"/>
        <v>0.12560813799203893</v>
      </c>
      <c r="K86" s="92">
        <f t="shared" si="9"/>
        <v>0.10088495575221239</v>
      </c>
      <c r="L86" s="92">
        <f t="shared" si="9"/>
        <v>0.07828394515701018</v>
      </c>
      <c r="M86" s="92">
        <f t="shared" si="9"/>
        <v>0.09111012826183104</v>
      </c>
      <c r="N86" s="92">
        <f t="shared" si="9"/>
        <v>0.0654577620521893</v>
      </c>
      <c r="O86" s="92">
        <f t="shared" si="9"/>
        <v>0.09199469261388767</v>
      </c>
      <c r="P86" s="92">
        <f t="shared" si="9"/>
        <v>0.09394073418841221</v>
      </c>
      <c r="Q86" s="92">
        <f t="shared" si="9"/>
        <v>0.08996019460415745</v>
      </c>
    </row>
    <row r="87" spans="1:17" ht="27">
      <c r="A87" s="1931" t="s">
        <v>503</v>
      </c>
      <c r="B87" s="30"/>
      <c r="C87" s="1932" t="s">
        <v>476</v>
      </c>
      <c r="D87" s="4" t="s">
        <v>1307</v>
      </c>
      <c r="E87" s="1934">
        <v>0.4</v>
      </c>
      <c r="F87" s="1934">
        <v>0.4</v>
      </c>
      <c r="G87" s="92">
        <f>G101/G17</f>
        <v>0.2</v>
      </c>
      <c r="H87" s="92">
        <f aca="true" t="shared" si="10" ref="H87:Q87">H101/H17</f>
        <v>0.2</v>
      </c>
      <c r="I87" s="92">
        <f t="shared" si="10"/>
        <v>0.016611295681063124</v>
      </c>
      <c r="J87" s="92">
        <f t="shared" si="10"/>
        <v>0.03322259136212625</v>
      </c>
      <c r="K87" s="92">
        <f t="shared" si="10"/>
        <v>0</v>
      </c>
      <c r="L87" s="92">
        <f t="shared" si="10"/>
        <v>0</v>
      </c>
      <c r="M87" s="92">
        <f t="shared" si="10"/>
        <v>0</v>
      </c>
      <c r="N87" s="92">
        <f t="shared" si="10"/>
        <v>0</v>
      </c>
      <c r="O87" s="92">
        <f t="shared" si="10"/>
        <v>0</v>
      </c>
      <c r="P87" s="92">
        <f t="shared" si="10"/>
        <v>0</v>
      </c>
      <c r="Q87" s="92">
        <f t="shared" si="10"/>
        <v>0</v>
      </c>
    </row>
    <row r="88" spans="1:17" ht="15">
      <c r="A88" s="1931" t="s">
        <v>504</v>
      </c>
      <c r="B88" s="30"/>
      <c r="C88" s="1932" t="s">
        <v>478</v>
      </c>
      <c r="D88" s="4" t="s">
        <v>1307</v>
      </c>
      <c r="E88" s="1934">
        <v>0.39</v>
      </c>
      <c r="F88" s="1934">
        <v>0.39</v>
      </c>
      <c r="G88" s="92">
        <f>G102/G18</f>
        <v>0.19999999999999998</v>
      </c>
      <c r="H88" s="92">
        <f aca="true" t="shared" si="11" ref="H88:Q88">H102/H18</f>
        <v>0.19999999999999998</v>
      </c>
      <c r="I88" s="92">
        <f t="shared" si="11"/>
        <v>0</v>
      </c>
      <c r="J88" s="92">
        <f t="shared" si="11"/>
        <v>0</v>
      </c>
      <c r="K88" s="92">
        <f t="shared" si="11"/>
        <v>0</v>
      </c>
      <c r="L88" s="92">
        <f t="shared" si="11"/>
        <v>0</v>
      </c>
      <c r="M88" s="92">
        <f t="shared" si="11"/>
        <v>0</v>
      </c>
      <c r="N88" s="92">
        <f t="shared" si="11"/>
        <v>0</v>
      </c>
      <c r="O88" s="92">
        <f t="shared" si="11"/>
        <v>0</v>
      </c>
      <c r="P88" s="92">
        <f t="shared" si="11"/>
        <v>0</v>
      </c>
      <c r="Q88" s="92">
        <f t="shared" si="11"/>
        <v>0</v>
      </c>
    </row>
    <row r="89" spans="1:17" ht="15">
      <c r="A89" s="1931" t="s">
        <v>505</v>
      </c>
      <c r="B89" s="30"/>
      <c r="C89" s="1932" t="s">
        <v>480</v>
      </c>
      <c r="D89" s="4" t="s">
        <v>1307</v>
      </c>
      <c r="E89" s="1934"/>
      <c r="F89" s="1934"/>
      <c r="G89" s="92">
        <v>0.19999999999999996</v>
      </c>
      <c r="H89" s="92">
        <v>0.19999999999999996</v>
      </c>
      <c r="I89" s="92">
        <v>0.19999999999999996</v>
      </c>
      <c r="J89" s="92">
        <v>0.19999999999999996</v>
      </c>
      <c r="K89" s="92">
        <v>0.19999999999999996</v>
      </c>
      <c r="L89" s="92">
        <v>0.19999999999999996</v>
      </c>
      <c r="M89" s="92">
        <v>0.19999999999999996</v>
      </c>
      <c r="N89" s="92">
        <v>0.19999999999999996</v>
      </c>
      <c r="O89" s="92">
        <v>0.19999999999999996</v>
      </c>
      <c r="P89" s="92">
        <v>0.19999999999999996</v>
      </c>
      <c r="Q89" s="92">
        <v>0.19999999999999996</v>
      </c>
    </row>
    <row r="90" spans="1:17" ht="15">
      <c r="A90" s="1931">
        <v>6.5</v>
      </c>
      <c r="B90" s="30"/>
      <c r="C90" s="665" t="s">
        <v>481</v>
      </c>
      <c r="D90" s="4" t="s">
        <v>1307</v>
      </c>
      <c r="E90" s="1934"/>
      <c r="F90" s="1934"/>
      <c r="G90" s="92"/>
      <c r="H90" s="1934"/>
      <c r="I90" s="1934"/>
      <c r="J90" s="1934"/>
      <c r="K90" s="1934"/>
      <c r="L90" s="519"/>
      <c r="M90" s="519"/>
      <c r="N90" s="519"/>
      <c r="O90" s="519"/>
      <c r="P90" s="519"/>
      <c r="Q90" s="519"/>
    </row>
    <row r="91" spans="1:17" ht="15">
      <c r="A91" s="1931">
        <v>6.6</v>
      </c>
      <c r="B91" s="30"/>
      <c r="C91" s="665" t="s">
        <v>482</v>
      </c>
      <c r="D91" s="4" t="s">
        <v>1307</v>
      </c>
      <c r="E91" s="1934"/>
      <c r="F91" s="1934"/>
      <c r="G91" s="92"/>
      <c r="H91" s="1934"/>
      <c r="I91" s="1934"/>
      <c r="J91" s="1934"/>
      <c r="K91" s="1934"/>
      <c r="L91" s="519"/>
      <c r="M91" s="519"/>
      <c r="N91" s="519"/>
      <c r="O91" s="519"/>
      <c r="P91" s="519"/>
      <c r="Q91" s="519"/>
    </row>
    <row r="92" spans="1:17" ht="15">
      <c r="A92" s="1931">
        <v>6.7</v>
      </c>
      <c r="B92" s="30"/>
      <c r="C92" s="665" t="s">
        <v>483</v>
      </c>
      <c r="D92" s="4" t="s">
        <v>1307</v>
      </c>
      <c r="E92" s="1934"/>
      <c r="F92" s="1934"/>
      <c r="G92" s="92"/>
      <c r="H92" s="1934"/>
      <c r="I92" s="1934"/>
      <c r="J92" s="1934"/>
      <c r="K92" s="1934"/>
      <c r="L92" s="519"/>
      <c r="M92" s="519"/>
      <c r="N92" s="519"/>
      <c r="O92" s="519"/>
      <c r="P92" s="519"/>
      <c r="Q92" s="519"/>
    </row>
    <row r="93" spans="1:17" ht="27">
      <c r="A93" s="1931">
        <v>6.8</v>
      </c>
      <c r="B93" s="30"/>
      <c r="C93" s="665" t="s">
        <v>484</v>
      </c>
      <c r="D93" s="4" t="s">
        <v>1307</v>
      </c>
      <c r="E93" s="1934"/>
      <c r="F93" s="1934"/>
      <c r="G93" s="92">
        <f>G107/G23</f>
        <v>0.17050691244239632</v>
      </c>
      <c r="H93" s="1934">
        <v>0.171</v>
      </c>
      <c r="I93" s="1934">
        <f>J93+K93</f>
        <v>0.172</v>
      </c>
      <c r="J93" s="1934">
        <v>0.086</v>
      </c>
      <c r="K93" s="1934">
        <v>0.086</v>
      </c>
      <c r="L93" s="519">
        <v>0.171</v>
      </c>
      <c r="M93" s="519">
        <f>L93/2</f>
        <v>0.0855</v>
      </c>
      <c r="N93" s="519">
        <f>L93-M93</f>
        <v>0.0855</v>
      </c>
      <c r="O93" s="519">
        <v>0.171</v>
      </c>
      <c r="P93" s="519">
        <f>O93/2</f>
        <v>0.0855</v>
      </c>
      <c r="Q93" s="519">
        <f>O93-P93</f>
        <v>0.0855</v>
      </c>
    </row>
    <row r="94" spans="1:17" ht="27">
      <c r="A94" s="1928">
        <v>6</v>
      </c>
      <c r="B94" s="47" t="s">
        <v>1023</v>
      </c>
      <c r="C94" s="23" t="s">
        <v>506</v>
      </c>
      <c r="D94" s="531" t="s">
        <v>1021</v>
      </c>
      <c r="E94" s="1929">
        <f>E98</f>
        <v>460</v>
      </c>
      <c r="F94" s="1929">
        <f>F98</f>
        <v>456</v>
      </c>
      <c r="G94" s="597">
        <v>456.2</v>
      </c>
      <c r="H94" s="589">
        <f>H98+H107</f>
        <v>456.2</v>
      </c>
      <c r="I94" s="589">
        <f aca="true" t="shared" si="12" ref="I94:Q94">I98+I107</f>
        <v>311</v>
      </c>
      <c r="J94" s="589">
        <f t="shared" si="12"/>
        <v>174</v>
      </c>
      <c r="K94" s="589">
        <f t="shared" si="12"/>
        <v>137</v>
      </c>
      <c r="L94" s="589">
        <f t="shared" si="12"/>
        <v>205</v>
      </c>
      <c r="M94" s="589">
        <f t="shared" si="12"/>
        <v>131</v>
      </c>
      <c r="N94" s="589">
        <f t="shared" si="12"/>
        <v>74</v>
      </c>
      <c r="O94" s="589">
        <f t="shared" si="12"/>
        <v>236</v>
      </c>
      <c r="P94" s="589">
        <f t="shared" si="12"/>
        <v>134.2</v>
      </c>
      <c r="Q94" s="589">
        <f t="shared" si="12"/>
        <v>101.7</v>
      </c>
    </row>
    <row r="95" spans="1:17" ht="15">
      <c r="A95" s="1931">
        <v>7.1</v>
      </c>
      <c r="B95" s="30"/>
      <c r="C95" s="665" t="s">
        <v>470</v>
      </c>
      <c r="D95" s="4" t="s">
        <v>1021</v>
      </c>
      <c r="E95" s="590"/>
      <c r="F95" s="590"/>
      <c r="G95" s="599"/>
      <c r="H95" s="590"/>
      <c r="I95" s="590"/>
      <c r="J95" s="590"/>
      <c r="K95" s="590"/>
      <c r="L95" s="1426"/>
      <c r="M95" s="1426"/>
      <c r="N95" s="1426"/>
      <c r="O95" s="1426"/>
      <c r="P95" s="1426"/>
      <c r="Q95" s="1426"/>
    </row>
    <row r="96" spans="1:17" ht="15">
      <c r="A96" s="1931">
        <v>7.2</v>
      </c>
      <c r="B96" s="30"/>
      <c r="C96" s="665" t="s">
        <v>471</v>
      </c>
      <c r="D96" s="4" t="s">
        <v>1021</v>
      </c>
      <c r="E96" s="590"/>
      <c r="F96" s="590"/>
      <c r="G96" s="599"/>
      <c r="H96" s="590"/>
      <c r="I96" s="590"/>
      <c r="J96" s="590"/>
      <c r="K96" s="590"/>
      <c r="L96" s="1426"/>
      <c r="M96" s="1426"/>
      <c r="N96" s="1426"/>
      <c r="O96" s="1426"/>
      <c r="P96" s="1426"/>
      <c r="Q96" s="1426"/>
    </row>
    <row r="97" spans="1:17" ht="15">
      <c r="A97" s="1931">
        <v>7.3</v>
      </c>
      <c r="B97" s="30"/>
      <c r="C97" s="665" t="s">
        <v>472</v>
      </c>
      <c r="D97" s="4" t="s">
        <v>1021</v>
      </c>
      <c r="E97" s="590"/>
      <c r="F97" s="590"/>
      <c r="G97" s="599"/>
      <c r="H97" s="590"/>
      <c r="I97" s="590"/>
      <c r="J97" s="590"/>
      <c r="K97" s="590"/>
      <c r="L97" s="1426"/>
      <c r="M97" s="1426"/>
      <c r="N97" s="1426"/>
      <c r="O97" s="1426"/>
      <c r="P97" s="1426"/>
      <c r="Q97" s="1426"/>
    </row>
    <row r="98" spans="1:17" ht="15">
      <c r="A98" s="1931">
        <v>7.4</v>
      </c>
      <c r="B98" s="30"/>
      <c r="C98" s="665" t="s">
        <v>473</v>
      </c>
      <c r="D98" s="4" t="s">
        <v>1021</v>
      </c>
      <c r="E98" s="590">
        <f>SUM(E99:E103)</f>
        <v>460</v>
      </c>
      <c r="F98" s="590">
        <f>SUM(F99:F103)</f>
        <v>456</v>
      </c>
      <c r="G98" s="599">
        <v>392.77142857142854</v>
      </c>
      <c r="H98" s="590">
        <f>SUM(H99:H103)</f>
        <v>392.77142857142854</v>
      </c>
      <c r="I98" s="590">
        <f>SUM(I99:I103)</f>
        <v>256</v>
      </c>
      <c r="J98" s="590">
        <f>SUM(J99:J103)</f>
        <v>142</v>
      </c>
      <c r="K98" s="590">
        <f>SUM(K99:K103)</f>
        <v>114</v>
      </c>
      <c r="L98" s="1426">
        <f>M98+N98</f>
        <v>177</v>
      </c>
      <c r="M98" s="1426">
        <f>SUM(M99:M103)</f>
        <v>103</v>
      </c>
      <c r="N98" s="1426">
        <f>SUM(N99:N103)</f>
        <v>74</v>
      </c>
      <c r="O98" s="1426">
        <f>SUM(O99:O103)</f>
        <v>208</v>
      </c>
      <c r="P98" s="1426">
        <f>SUM(P99:P103)</f>
        <v>106.2</v>
      </c>
      <c r="Q98" s="1426">
        <v>101.7</v>
      </c>
    </row>
    <row r="99" spans="1:17" ht="15">
      <c r="A99" s="1931" t="s">
        <v>507</v>
      </c>
      <c r="B99" s="30"/>
      <c r="C99" s="1932" t="s">
        <v>474</v>
      </c>
      <c r="D99" s="4" t="s">
        <v>1021</v>
      </c>
      <c r="E99" s="590"/>
      <c r="F99" s="590"/>
      <c r="G99" s="599"/>
      <c r="H99" s="590"/>
      <c r="I99" s="590"/>
      <c r="J99" s="590"/>
      <c r="K99" s="590"/>
      <c r="L99" s="1426"/>
      <c r="M99" s="1426"/>
      <c r="N99" s="1426"/>
      <c r="O99" s="1426"/>
      <c r="P99" s="1426"/>
      <c r="Q99" s="1426"/>
    </row>
    <row r="100" spans="1:17" ht="15">
      <c r="A100" s="1931" t="s">
        <v>508</v>
      </c>
      <c r="B100" s="30"/>
      <c r="C100" s="1932" t="s">
        <v>475</v>
      </c>
      <c r="D100" s="4" t="s">
        <v>1021</v>
      </c>
      <c r="E100" s="590">
        <v>203</v>
      </c>
      <c r="F100" s="590">
        <v>199</v>
      </c>
      <c r="G100" s="599">
        <v>148.57142857142858</v>
      </c>
      <c r="H100" s="590">
        <f>G100</f>
        <v>148.57142857142858</v>
      </c>
      <c r="I100" s="590">
        <f>J100+K100</f>
        <v>148</v>
      </c>
      <c r="J100" s="1070">
        <v>74</v>
      </c>
      <c r="K100" s="1070">
        <v>74</v>
      </c>
      <c r="L100" s="1426">
        <f>M100+N100</f>
        <v>148</v>
      </c>
      <c r="M100" s="1426">
        <v>74</v>
      </c>
      <c r="N100" s="1426">
        <v>74</v>
      </c>
      <c r="O100" s="1426">
        <f>P100+Q100</f>
        <v>208</v>
      </c>
      <c r="P100" s="1426">
        <v>106.2</v>
      </c>
      <c r="Q100" s="1426">
        <v>101.8</v>
      </c>
    </row>
    <row r="101" spans="1:17" ht="27">
      <c r="A101" s="1931" t="s">
        <v>509</v>
      </c>
      <c r="B101" s="30"/>
      <c r="C101" s="1932" t="s">
        <v>476</v>
      </c>
      <c r="D101" s="4" t="s">
        <v>1021</v>
      </c>
      <c r="E101" s="590">
        <v>241</v>
      </c>
      <c r="F101" s="590">
        <v>241</v>
      </c>
      <c r="G101" s="599">
        <v>120.4</v>
      </c>
      <c r="H101" s="590">
        <f>G101</f>
        <v>120.4</v>
      </c>
      <c r="I101" s="590">
        <f>J101+K101</f>
        <v>10</v>
      </c>
      <c r="J101" s="1070">
        <v>10</v>
      </c>
      <c r="K101" s="1070">
        <v>0</v>
      </c>
      <c r="L101" s="1426">
        <f>M101+N101</f>
        <v>0</v>
      </c>
      <c r="M101" s="1426">
        <v>0</v>
      </c>
      <c r="N101" s="1426">
        <v>0</v>
      </c>
      <c r="O101" s="1426">
        <f>P101+Q101</f>
        <v>0</v>
      </c>
      <c r="P101" s="1426">
        <v>0</v>
      </c>
      <c r="Q101" s="1426">
        <v>0</v>
      </c>
    </row>
    <row r="102" spans="1:17" ht="15">
      <c r="A102" s="1931" t="s">
        <v>510</v>
      </c>
      <c r="B102" s="30"/>
      <c r="C102" s="1932" t="s">
        <v>478</v>
      </c>
      <c r="D102" s="4" t="s">
        <v>1021</v>
      </c>
      <c r="E102" s="590">
        <v>16</v>
      </c>
      <c r="F102" s="590">
        <v>16</v>
      </c>
      <c r="G102" s="599">
        <v>8.2</v>
      </c>
      <c r="H102" s="590">
        <f>G102</f>
        <v>8.2</v>
      </c>
      <c r="I102" s="590">
        <f>J102+K102</f>
        <v>0</v>
      </c>
      <c r="J102" s="1070">
        <v>0</v>
      </c>
      <c r="K102" s="1070">
        <v>0</v>
      </c>
      <c r="L102" s="1070">
        <v>0</v>
      </c>
      <c r="M102" s="1070">
        <v>0</v>
      </c>
      <c r="N102" s="1070">
        <v>0</v>
      </c>
      <c r="O102" s="1426">
        <f>P102+Q102</f>
        <v>0</v>
      </c>
      <c r="P102" s="1070">
        <v>0</v>
      </c>
      <c r="Q102" s="1070">
        <v>0</v>
      </c>
    </row>
    <row r="103" spans="1:17" ht="15">
      <c r="A103" s="1931" t="s">
        <v>511</v>
      </c>
      <c r="B103" s="30"/>
      <c r="C103" s="1932" t="s">
        <v>480</v>
      </c>
      <c r="D103" s="4" t="s">
        <v>1021</v>
      </c>
      <c r="E103" s="590"/>
      <c r="F103" s="590"/>
      <c r="G103" s="599">
        <v>115.59999999999998</v>
      </c>
      <c r="H103" s="590">
        <f>G103</f>
        <v>115.59999999999998</v>
      </c>
      <c r="I103" s="1070">
        <f>J103+K103</f>
        <v>98</v>
      </c>
      <c r="J103" s="1070">
        <v>58</v>
      </c>
      <c r="K103" s="1070">
        <v>40</v>
      </c>
      <c r="L103" s="1426">
        <f>M103+N103</f>
        <v>29</v>
      </c>
      <c r="M103" s="1426">
        <v>29</v>
      </c>
      <c r="N103" s="1426">
        <v>0</v>
      </c>
      <c r="O103" s="1426">
        <f>P103+Q103</f>
        <v>0</v>
      </c>
      <c r="P103" s="1426">
        <v>0</v>
      </c>
      <c r="Q103" s="1426">
        <v>0</v>
      </c>
    </row>
    <row r="104" spans="1:17" ht="15">
      <c r="A104" s="1931">
        <v>7.5</v>
      </c>
      <c r="B104" s="30"/>
      <c r="C104" s="665" t="s">
        <v>481</v>
      </c>
      <c r="D104" s="4" t="s">
        <v>1021</v>
      </c>
      <c r="E104" s="590"/>
      <c r="F104" s="590"/>
      <c r="G104" s="599"/>
      <c r="H104" s="1070"/>
      <c r="I104" s="1070"/>
      <c r="J104" s="1070"/>
      <c r="K104" s="1070"/>
      <c r="L104" s="1426"/>
      <c r="M104" s="1426"/>
      <c r="N104" s="1426"/>
      <c r="O104" s="1426"/>
      <c r="P104" s="1426"/>
      <c r="Q104" s="1426"/>
    </row>
    <row r="105" spans="1:17" ht="15">
      <c r="A105" s="1931">
        <v>7.6</v>
      </c>
      <c r="B105" s="30"/>
      <c r="C105" s="665" t="s">
        <v>482</v>
      </c>
      <c r="D105" s="4" t="s">
        <v>1021</v>
      </c>
      <c r="E105" s="590"/>
      <c r="F105" s="590"/>
      <c r="G105" s="599"/>
      <c r="H105" s="1070"/>
      <c r="I105" s="1070"/>
      <c r="J105" s="1070"/>
      <c r="K105" s="1070"/>
      <c r="L105" s="1426"/>
      <c r="M105" s="1426"/>
      <c r="N105" s="1426"/>
      <c r="O105" s="1426"/>
      <c r="P105" s="1426"/>
      <c r="Q105" s="1426"/>
    </row>
    <row r="106" spans="1:17" ht="15">
      <c r="A106" s="1931">
        <v>7.7</v>
      </c>
      <c r="B106" s="30"/>
      <c r="C106" s="665" t="s">
        <v>483</v>
      </c>
      <c r="D106" s="4" t="s">
        <v>1021</v>
      </c>
      <c r="E106" s="590"/>
      <c r="F106" s="590"/>
      <c r="G106" s="599"/>
      <c r="H106" s="1070"/>
      <c r="I106" s="1070"/>
      <c r="J106" s="1070"/>
      <c r="K106" s="1070"/>
      <c r="L106" s="1426"/>
      <c r="M106" s="1426"/>
      <c r="N106" s="1426"/>
      <c r="O106" s="1426"/>
      <c r="P106" s="1426"/>
      <c r="Q106" s="1426"/>
    </row>
    <row r="107" spans="1:17" ht="27">
      <c r="A107" s="1931">
        <v>7.8</v>
      </c>
      <c r="B107" s="30"/>
      <c r="C107" s="665" t="s">
        <v>484</v>
      </c>
      <c r="D107" s="4" t="s">
        <v>1021</v>
      </c>
      <c r="E107" s="590"/>
      <c r="F107" s="590"/>
      <c r="G107" s="599">
        <v>63.42857142857143</v>
      </c>
      <c r="H107" s="1426">
        <f>G107</f>
        <v>63.42857142857143</v>
      </c>
      <c r="I107" s="1426">
        <f>J107+K107</f>
        <v>55</v>
      </c>
      <c r="J107" s="1426">
        <v>32</v>
      </c>
      <c r="K107" s="1070">
        <v>23</v>
      </c>
      <c r="L107" s="1426">
        <f>M107+N107</f>
        <v>28</v>
      </c>
      <c r="M107" s="1426">
        <v>28</v>
      </c>
      <c r="N107" s="1426">
        <v>0</v>
      </c>
      <c r="O107" s="1426">
        <f>P107+Q107</f>
        <v>28</v>
      </c>
      <c r="P107" s="1426">
        <v>28</v>
      </c>
      <c r="Q107" s="1426">
        <v>0</v>
      </c>
    </row>
    <row r="108" spans="1:17" ht="27">
      <c r="A108" s="1928">
        <v>8</v>
      </c>
      <c r="B108" s="30" t="s">
        <v>512</v>
      </c>
      <c r="C108" s="69" t="s">
        <v>852</v>
      </c>
      <c r="D108" s="4" t="s">
        <v>1021</v>
      </c>
      <c r="E108" s="590"/>
      <c r="F108" s="590"/>
      <c r="G108" s="599"/>
      <c r="H108" s="590"/>
      <c r="I108" s="1935"/>
      <c r="J108" s="590"/>
      <c r="K108" s="590"/>
      <c r="L108" s="1426"/>
      <c r="M108" s="1426"/>
      <c r="N108" s="1426"/>
      <c r="O108" s="1426"/>
      <c r="P108" s="1426"/>
      <c r="Q108" s="1426"/>
    </row>
    <row r="109" spans="1:17" ht="27">
      <c r="A109" s="1928">
        <v>9</v>
      </c>
      <c r="B109" s="30" t="s">
        <v>513</v>
      </c>
      <c r="C109" s="1936" t="s">
        <v>143</v>
      </c>
      <c r="D109" s="4" t="s">
        <v>1021</v>
      </c>
      <c r="E109" s="646">
        <f>E94</f>
        <v>460</v>
      </c>
      <c r="F109" s="646">
        <f>F94</f>
        <v>456</v>
      </c>
      <c r="G109" s="632">
        <f>G94</f>
        <v>456.2</v>
      </c>
      <c r="H109" s="632">
        <f aca="true" t="shared" si="13" ref="H109:Q109">H94</f>
        <v>456.2</v>
      </c>
      <c r="I109" s="632">
        <f t="shared" si="13"/>
        <v>311</v>
      </c>
      <c r="J109" s="632">
        <f t="shared" si="13"/>
        <v>174</v>
      </c>
      <c r="K109" s="632">
        <f t="shared" si="13"/>
        <v>137</v>
      </c>
      <c r="L109" s="632">
        <f t="shared" si="13"/>
        <v>205</v>
      </c>
      <c r="M109" s="632">
        <f t="shared" si="13"/>
        <v>131</v>
      </c>
      <c r="N109" s="632">
        <f t="shared" si="13"/>
        <v>74</v>
      </c>
      <c r="O109" s="632">
        <f t="shared" si="13"/>
        <v>236</v>
      </c>
      <c r="P109" s="632">
        <f t="shared" si="13"/>
        <v>134.2</v>
      </c>
      <c r="Q109" s="632">
        <f t="shared" si="13"/>
        <v>101.7</v>
      </c>
    </row>
    <row r="110" spans="1:17" ht="15" customHeight="1">
      <c r="A110" s="1928">
        <v>10</v>
      </c>
      <c r="B110" s="30" t="s">
        <v>514</v>
      </c>
      <c r="C110" s="69" t="s">
        <v>1757</v>
      </c>
      <c r="D110" s="4" t="s">
        <v>1021</v>
      </c>
      <c r="E110" s="590"/>
      <c r="F110" s="590"/>
      <c r="G110" s="599"/>
      <c r="H110" s="590"/>
      <c r="I110" s="590"/>
      <c r="J110" s="590"/>
      <c r="K110" s="590"/>
      <c r="L110" s="1426"/>
      <c r="M110" s="1426"/>
      <c r="N110" s="1426"/>
      <c r="O110" s="1426"/>
      <c r="P110" s="1426"/>
      <c r="Q110" s="1426"/>
    </row>
    <row r="111" spans="1:17" ht="15">
      <c r="A111" s="1928">
        <v>11</v>
      </c>
      <c r="B111" s="30" t="s">
        <v>515</v>
      </c>
      <c r="C111" s="69" t="s">
        <v>853</v>
      </c>
      <c r="D111" s="4" t="s">
        <v>1021</v>
      </c>
      <c r="E111" s="590"/>
      <c r="F111" s="590"/>
      <c r="G111" s="599"/>
      <c r="H111" s="590"/>
      <c r="I111" s="590"/>
      <c r="J111" s="590"/>
      <c r="K111" s="590"/>
      <c r="L111" s="1426"/>
      <c r="M111" s="1426"/>
      <c r="N111" s="1426"/>
      <c r="O111" s="1426"/>
      <c r="P111" s="1426"/>
      <c r="Q111" s="1426"/>
    </row>
    <row r="112" ht="15" hidden="1" outlineLevel="1">
      <c r="B112" s="113" t="s">
        <v>35</v>
      </c>
    </row>
    <row r="113" spans="2:102" ht="49.5" customHeight="1" hidden="1" outlineLevel="1">
      <c r="B113" s="116" t="s">
        <v>637</v>
      </c>
      <c r="C113" s="1951" t="s">
        <v>516</v>
      </c>
      <c r="D113" s="1951"/>
      <c r="E113" s="1951"/>
      <c r="F113" s="1951"/>
      <c r="G113" s="1951"/>
      <c r="H113" s="1951"/>
      <c r="I113" s="1951"/>
      <c r="J113" s="1951"/>
      <c r="K113" s="1951"/>
      <c r="L113" s="1951"/>
      <c r="M113" s="1951"/>
      <c r="N113" s="1951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</row>
    <row r="114" spans="2:102" ht="50.25" customHeight="1" hidden="1" outlineLevel="1">
      <c r="B114" s="116" t="s">
        <v>639</v>
      </c>
      <c r="C114" s="1951" t="s">
        <v>517</v>
      </c>
      <c r="D114" s="1951"/>
      <c r="E114" s="1951"/>
      <c r="F114" s="1951"/>
      <c r="G114" s="1951"/>
      <c r="H114" s="1951"/>
      <c r="I114" s="1951"/>
      <c r="J114" s="1951"/>
      <c r="K114" s="1951"/>
      <c r="L114" s="1951"/>
      <c r="M114" s="1951"/>
      <c r="N114" s="1951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</row>
    <row r="115" ht="15" collapsed="1"/>
    <row r="117" spans="2:3" ht="15">
      <c r="B117" s="1"/>
      <c r="C117" s="10" t="s">
        <v>1298</v>
      </c>
    </row>
    <row r="118" spans="2:14" ht="15">
      <c r="B118" s="1"/>
      <c r="C118" s="138"/>
      <c r="D118" s="138"/>
      <c r="E118" s="138"/>
      <c r="F118" s="138"/>
      <c r="G118" s="439"/>
      <c r="H118" s="138"/>
      <c r="I118" s="138"/>
      <c r="J118" s="138"/>
      <c r="K118" s="138"/>
      <c r="L118" s="138"/>
      <c r="M118" s="138"/>
      <c r="N118" s="138"/>
    </row>
    <row r="119" ht="15">
      <c r="A119" s="1937"/>
    </row>
  </sheetData>
  <sheetProtection/>
  <mergeCells count="14">
    <mergeCell ref="O7:Q7"/>
    <mergeCell ref="I6:Q6"/>
    <mergeCell ref="B6:B8"/>
    <mergeCell ref="C6:C8"/>
    <mergeCell ref="D6:D8"/>
    <mergeCell ref="E6:H6"/>
    <mergeCell ref="C114:N114"/>
    <mergeCell ref="E7:E8"/>
    <mergeCell ref="G7:G8"/>
    <mergeCell ref="H7:H8"/>
    <mergeCell ref="I7:K7"/>
    <mergeCell ref="L7:N7"/>
    <mergeCell ref="F7:F8"/>
    <mergeCell ref="C113:N113"/>
  </mergeCells>
  <printOptions/>
  <pageMargins left="0.7086614173228347" right="0.31496062992125984" top="0.39" bottom="0.4724409448818898" header="0.31496062992125984" footer="0.31496062992125984"/>
  <pageSetup fitToHeight="2" fitToWidth="1"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7"/>
  </sheetPr>
  <dimension ref="A1:AB30"/>
  <sheetViews>
    <sheetView workbookViewId="0" topLeftCell="A1">
      <selection activeCell="B31" sqref="B31"/>
    </sheetView>
  </sheetViews>
  <sheetFormatPr defaultColWidth="9.140625" defaultRowHeight="15"/>
  <cols>
    <col min="1" max="1" width="4.57421875" style="0" customWidth="1"/>
    <col min="2" max="2" width="19.7109375" style="0" customWidth="1"/>
    <col min="3" max="4" width="0" style="0" hidden="1" customWidth="1"/>
    <col min="5" max="5" width="27.8515625" style="0" customWidth="1"/>
    <col min="6" max="7" width="7.00390625" style="0" customWidth="1"/>
    <col min="8" max="8" width="6.7109375" style="0" customWidth="1"/>
    <col min="9" max="9" width="7.140625" style="0" customWidth="1"/>
    <col min="10" max="10" width="6.57421875" style="0" customWidth="1"/>
    <col min="11" max="11" width="7.421875" style="0" customWidth="1"/>
    <col min="12" max="13" width="7.140625" style="0" customWidth="1"/>
    <col min="14" max="14" width="9.00390625" style="0" customWidth="1"/>
    <col min="15" max="15" width="7.421875" style="0" customWidth="1"/>
    <col min="16" max="16" width="10.57421875" style="0" customWidth="1"/>
    <col min="18" max="18" width="10.57421875" style="0" customWidth="1"/>
    <col min="19" max="19" width="9.8515625" style="0" customWidth="1"/>
    <col min="21" max="21" width="0" style="0" hidden="1" customWidth="1"/>
  </cols>
  <sheetData>
    <row r="1" spans="1:23" ht="15.75">
      <c r="A1" s="1834" t="s">
        <v>1044</v>
      </c>
      <c r="B1" s="1835"/>
      <c r="C1" s="1835"/>
      <c r="D1" s="1835"/>
      <c r="E1" s="1835"/>
      <c r="F1" s="1835"/>
      <c r="G1" s="1835"/>
      <c r="H1" s="1835"/>
      <c r="I1" s="1835"/>
      <c r="J1" s="1836"/>
      <c r="K1" s="1836"/>
      <c r="L1" s="1835"/>
      <c r="M1" s="1835"/>
      <c r="N1" s="1835"/>
      <c r="O1" s="1835"/>
      <c r="P1" s="1835"/>
      <c r="Q1" s="1835"/>
      <c r="R1" s="1835"/>
      <c r="S1" s="1835"/>
      <c r="T1" s="1835"/>
      <c r="U1" s="1837"/>
      <c r="V1" s="1835"/>
      <c r="W1" s="1835"/>
    </row>
    <row r="2" spans="1:23" ht="14.25">
      <c r="A2" s="1872"/>
      <c r="B2" s="1838"/>
      <c r="C2" s="1838"/>
      <c r="D2" s="1838"/>
      <c r="E2" s="1838"/>
      <c r="F2" s="1838"/>
      <c r="G2" s="1838"/>
      <c r="H2" s="1838"/>
      <c r="I2" s="1838"/>
      <c r="J2" s="1839"/>
      <c r="K2" s="1839"/>
      <c r="L2" s="1838"/>
      <c r="M2" s="1838"/>
      <c r="N2" s="1939"/>
      <c r="O2" s="1838"/>
      <c r="P2" s="1940"/>
      <c r="Q2" s="1838"/>
      <c r="R2" s="1838"/>
      <c r="S2" s="1838"/>
      <c r="T2" s="1840"/>
      <c r="U2" s="1841"/>
      <c r="V2" s="1840"/>
      <c r="W2" s="1838"/>
    </row>
    <row r="3" spans="1:23" ht="14.25">
      <c r="A3" s="2251" t="s">
        <v>1299</v>
      </c>
      <c r="B3" s="2251"/>
      <c r="C3" s="2251"/>
      <c r="D3" s="2251"/>
      <c r="E3" s="2251"/>
      <c r="F3" s="2251"/>
      <c r="G3" s="1873"/>
      <c r="H3" s="1873"/>
      <c r="I3" s="1873"/>
      <c r="J3" s="1874"/>
      <c r="K3" s="1874"/>
      <c r="L3" s="1873"/>
      <c r="M3" s="1873"/>
      <c r="N3" s="1873"/>
      <c r="O3" s="1873"/>
      <c r="P3" s="1873"/>
      <c r="Q3" s="1873"/>
      <c r="R3" s="1873"/>
      <c r="S3" s="1873"/>
      <c r="T3" s="1873"/>
      <c r="U3" s="1874"/>
      <c r="V3" s="1873"/>
      <c r="W3" s="1873"/>
    </row>
    <row r="4" spans="1:28" ht="51" customHeight="1">
      <c r="A4" s="2252" t="s">
        <v>652</v>
      </c>
      <c r="B4" s="2252" t="s">
        <v>1606</v>
      </c>
      <c r="C4" s="1843" t="s">
        <v>925</v>
      </c>
      <c r="D4" s="1843" t="s">
        <v>926</v>
      </c>
      <c r="E4" s="2246" t="s">
        <v>927</v>
      </c>
      <c r="F4" s="2246" t="s">
        <v>928</v>
      </c>
      <c r="G4" s="2246" t="s">
        <v>929</v>
      </c>
      <c r="H4" s="2246" t="s">
        <v>930</v>
      </c>
      <c r="I4" s="2246" t="s">
        <v>931</v>
      </c>
      <c r="J4" s="2249" t="s">
        <v>932</v>
      </c>
      <c r="K4" s="2250"/>
      <c r="L4" s="2246" t="s">
        <v>1492</v>
      </c>
      <c r="M4" s="2246" t="s">
        <v>936</v>
      </c>
      <c r="N4" s="2246" t="s">
        <v>1608</v>
      </c>
      <c r="O4" s="2246" t="s">
        <v>1493</v>
      </c>
      <c r="P4" s="2246" t="s">
        <v>1609</v>
      </c>
      <c r="Q4" s="2246" t="s">
        <v>8</v>
      </c>
      <c r="R4" s="2246" t="s">
        <v>1607</v>
      </c>
      <c r="S4" s="2244" t="s">
        <v>1579</v>
      </c>
      <c r="T4" s="2246" t="s">
        <v>1580</v>
      </c>
      <c r="U4" s="2246" t="s">
        <v>1580</v>
      </c>
      <c r="V4" s="2244" t="s">
        <v>1581</v>
      </c>
      <c r="W4" s="2246" t="s">
        <v>1582</v>
      </c>
      <c r="X4" s="2244" t="s">
        <v>1583</v>
      </c>
      <c r="Y4" s="2246" t="s">
        <v>1584</v>
      </c>
      <c r="Z4" s="2092"/>
      <c r="AA4" s="2092"/>
      <c r="AB4" s="39"/>
    </row>
    <row r="5" spans="1:27" ht="9" customHeight="1">
      <c r="A5" s="2253"/>
      <c r="B5" s="2253"/>
      <c r="C5" s="1842"/>
      <c r="D5" s="1843"/>
      <c r="E5" s="2247"/>
      <c r="F5" s="2247"/>
      <c r="G5" s="2247"/>
      <c r="H5" s="2247"/>
      <c r="I5" s="2247"/>
      <c r="J5" s="1849" t="s">
        <v>1539</v>
      </c>
      <c r="K5" s="1849" t="s">
        <v>1540</v>
      </c>
      <c r="L5" s="2247"/>
      <c r="M5" s="2247"/>
      <c r="N5" s="2247"/>
      <c r="O5" s="2247"/>
      <c r="P5" s="2247"/>
      <c r="Q5" s="2247"/>
      <c r="R5" s="2247"/>
      <c r="S5" s="2245"/>
      <c r="T5" s="2247"/>
      <c r="U5" s="2247"/>
      <c r="V5" s="2245"/>
      <c r="W5" s="2247"/>
      <c r="X5" s="2245"/>
      <c r="Y5" s="2247"/>
      <c r="Z5" s="2092"/>
      <c r="AA5" s="2092"/>
    </row>
    <row r="6" spans="1:25" ht="14.25">
      <c r="A6" s="1842">
        <v>1</v>
      </c>
      <c r="B6" s="1842">
        <v>2</v>
      </c>
      <c r="C6" s="1842">
        <v>3</v>
      </c>
      <c r="D6" s="1843"/>
      <c r="E6" s="1843">
        <v>3</v>
      </c>
      <c r="F6" s="1843">
        <v>4</v>
      </c>
      <c r="G6" s="1843">
        <v>5</v>
      </c>
      <c r="H6" s="1843">
        <v>6</v>
      </c>
      <c r="I6" s="1843">
        <v>7</v>
      </c>
      <c r="J6" s="1844">
        <v>8</v>
      </c>
      <c r="K6" s="1844">
        <v>9</v>
      </c>
      <c r="L6" s="1843">
        <v>10</v>
      </c>
      <c r="M6" s="1843">
        <v>11</v>
      </c>
      <c r="N6" s="1843">
        <v>12</v>
      </c>
      <c r="O6" s="1843">
        <v>13</v>
      </c>
      <c r="P6" s="1843">
        <v>14</v>
      </c>
      <c r="Q6" s="1843">
        <v>15</v>
      </c>
      <c r="R6" s="1843">
        <v>16</v>
      </c>
      <c r="S6" s="1843">
        <v>17</v>
      </c>
      <c r="T6" s="1843">
        <v>18</v>
      </c>
      <c r="U6" s="1850">
        <v>19</v>
      </c>
      <c r="V6" s="1851">
        <v>20</v>
      </c>
      <c r="W6" s="1876">
        <v>21</v>
      </c>
      <c r="X6" s="1851">
        <v>20</v>
      </c>
      <c r="Y6" s="1876">
        <v>21</v>
      </c>
    </row>
    <row r="7" spans="1:25" ht="15" customHeight="1" hidden="1">
      <c r="A7" s="1842"/>
      <c r="B7" s="1842"/>
      <c r="C7" s="1842"/>
      <c r="D7" s="1843"/>
      <c r="E7" s="1843"/>
      <c r="F7" s="1843"/>
      <c r="G7" s="1843"/>
      <c r="H7" s="1843"/>
      <c r="I7" s="1843"/>
      <c r="J7" s="1844"/>
      <c r="K7" s="1844"/>
      <c r="L7" s="1843"/>
      <c r="M7" s="1843"/>
      <c r="N7" s="1843"/>
      <c r="O7" s="1843"/>
      <c r="P7" s="1843"/>
      <c r="Q7" s="1843"/>
      <c r="R7" s="1843"/>
      <c r="S7" s="1845"/>
      <c r="T7" s="1845"/>
      <c r="U7" s="1844"/>
      <c r="V7" s="1845"/>
      <c r="W7" s="1843"/>
      <c r="X7" s="1845"/>
      <c r="Y7" s="1843"/>
    </row>
    <row r="8" spans="1:25" ht="15" customHeight="1" hidden="1">
      <c r="A8" s="2248"/>
      <c r="B8" s="2248"/>
      <c r="C8" s="2248"/>
      <c r="D8" s="2248"/>
      <c r="E8" s="2248"/>
      <c r="F8" s="2248"/>
      <c r="G8" s="1852"/>
      <c r="H8" s="1852"/>
      <c r="I8" s="1852"/>
      <c r="J8" s="1853"/>
      <c r="K8" s="1853"/>
      <c r="L8" s="1852"/>
      <c r="M8" s="1854"/>
      <c r="N8" s="1854"/>
      <c r="O8" s="1854"/>
      <c r="P8" s="1854"/>
      <c r="Q8" s="1854"/>
      <c r="R8" s="1854"/>
      <c r="S8" s="1855"/>
      <c r="T8" s="1855"/>
      <c r="U8" s="1853"/>
      <c r="V8" s="1854"/>
      <c r="W8" s="1854"/>
      <c r="X8" s="1854"/>
      <c r="Y8" s="1854"/>
    </row>
    <row r="9" spans="1:25" ht="24.75" customHeight="1">
      <c r="A9" s="1856">
        <v>1</v>
      </c>
      <c r="B9" s="1857" t="s">
        <v>9</v>
      </c>
      <c r="C9" s="1857"/>
      <c r="D9" s="1856">
        <v>6</v>
      </c>
      <c r="E9" s="1858" t="s">
        <v>10</v>
      </c>
      <c r="F9" s="1859">
        <v>4</v>
      </c>
      <c r="G9" s="1859">
        <v>84</v>
      </c>
      <c r="H9" s="1860" t="s">
        <v>11</v>
      </c>
      <c r="I9" s="1861">
        <v>360</v>
      </c>
      <c r="J9" s="1862">
        <f>12/84</f>
        <v>0.14285714285714285</v>
      </c>
      <c r="K9" s="1862">
        <f aca="true" t="shared" si="0" ref="K9:K24">J9/12</f>
        <v>0.011904761904761904</v>
      </c>
      <c r="L9" s="1863">
        <f aca="true" t="shared" si="1" ref="L9:L24">I9/G9</f>
        <v>4.285714285714286</v>
      </c>
      <c r="M9" s="1863">
        <f aca="true" t="shared" si="2" ref="M9:M24">L9*12</f>
        <v>51.42857142857143</v>
      </c>
      <c r="N9" s="1863">
        <f>I9-M9-L9*11-L9*12</f>
        <v>210</v>
      </c>
      <c r="O9" s="1864">
        <f>L9*12</f>
        <v>51.42857142857143</v>
      </c>
      <c r="P9" s="1863">
        <f aca="true" t="shared" si="3" ref="P9:P24">N9-O9</f>
        <v>158.57142857142856</v>
      </c>
      <c r="Q9" s="1864">
        <f>L9*12</f>
        <v>51.42857142857143</v>
      </c>
      <c r="R9" s="1863">
        <f>P9-Q9</f>
        <v>107.14285714285712</v>
      </c>
      <c r="S9" s="1863">
        <f>L9*12</f>
        <v>51.42857142857143</v>
      </c>
      <c r="T9" s="1877">
        <f>R9-S9</f>
        <v>55.714285714285694</v>
      </c>
      <c r="U9" s="1865"/>
      <c r="V9" s="1877">
        <f>L9*12</f>
        <v>51.42857142857143</v>
      </c>
      <c r="W9" s="1864">
        <f>T9-V9</f>
        <v>4.285714285714263</v>
      </c>
      <c r="X9" s="1877">
        <v>4</v>
      </c>
      <c r="Y9" s="1864">
        <f>W9-X9</f>
        <v>0.2857142857142634</v>
      </c>
    </row>
    <row r="10" spans="1:25" ht="24" customHeight="1">
      <c r="A10" s="1856">
        <v>2</v>
      </c>
      <c r="B10" s="1857" t="s">
        <v>12</v>
      </c>
      <c r="C10" s="1857"/>
      <c r="D10" s="1856"/>
      <c r="E10" s="1858" t="s">
        <v>13</v>
      </c>
      <c r="F10" s="1859">
        <v>4</v>
      </c>
      <c r="G10" s="1859">
        <v>60</v>
      </c>
      <c r="H10" s="1860" t="s">
        <v>11</v>
      </c>
      <c r="I10" s="1861">
        <v>350</v>
      </c>
      <c r="J10" s="1862">
        <f aca="true" t="shared" si="4" ref="J10:J15">12/60</f>
        <v>0.2</v>
      </c>
      <c r="K10" s="1862">
        <f t="shared" si="0"/>
        <v>0.016666666666666666</v>
      </c>
      <c r="L10" s="1863">
        <f t="shared" si="1"/>
        <v>5.833333333333333</v>
      </c>
      <c r="M10" s="1863">
        <f t="shared" si="2"/>
        <v>70</v>
      </c>
      <c r="N10" s="1863">
        <f>I10-M10-L10*11-L10*12</f>
        <v>145.83333333333334</v>
      </c>
      <c r="O10" s="1864">
        <f aca="true" t="shared" si="5" ref="O10:O24">L10*12</f>
        <v>70</v>
      </c>
      <c r="P10" s="1863">
        <f t="shared" si="3"/>
        <v>75.83333333333334</v>
      </c>
      <c r="Q10" s="1864">
        <f aca="true" t="shared" si="6" ref="Q10:Q24">L10*12</f>
        <v>70</v>
      </c>
      <c r="R10" s="1863">
        <f>P10-Q10</f>
        <v>5.833333333333343</v>
      </c>
      <c r="S10" s="1863">
        <v>6</v>
      </c>
      <c r="T10" s="1877">
        <f aca="true" t="shared" si="7" ref="T10:T24">R10-S10</f>
        <v>-0.1666666666666572</v>
      </c>
      <c r="U10" s="1865"/>
      <c r="V10" s="1877">
        <v>0</v>
      </c>
      <c r="W10" s="1864">
        <f aca="true" t="shared" si="8" ref="W10:W24">T10-V10</f>
        <v>-0.1666666666666572</v>
      </c>
      <c r="X10" s="1877">
        <v>0</v>
      </c>
      <c r="Y10" s="1864">
        <f aca="true" t="shared" si="9" ref="Y10:Y24">W10-X10</f>
        <v>-0.1666666666666572</v>
      </c>
    </row>
    <row r="11" spans="1:25" ht="24.75" customHeight="1">
      <c r="A11" s="1856">
        <v>3</v>
      </c>
      <c r="B11" s="1857" t="s">
        <v>12</v>
      </c>
      <c r="C11" s="1857"/>
      <c r="D11" s="1856"/>
      <c r="E11" s="1858" t="s">
        <v>14</v>
      </c>
      <c r="F11" s="1859">
        <v>4</v>
      </c>
      <c r="G11" s="1859">
        <v>60</v>
      </c>
      <c r="H11" s="1860" t="s">
        <v>11</v>
      </c>
      <c r="I11" s="1861">
        <v>252</v>
      </c>
      <c r="J11" s="1862">
        <f t="shared" si="4"/>
        <v>0.2</v>
      </c>
      <c r="K11" s="1862">
        <f t="shared" si="0"/>
        <v>0.016666666666666666</v>
      </c>
      <c r="L11" s="1863">
        <f t="shared" si="1"/>
        <v>4.2</v>
      </c>
      <c r="M11" s="1863">
        <f t="shared" si="2"/>
        <v>50.400000000000006</v>
      </c>
      <c r="N11" s="1863">
        <f>I11-M11-L11*11-L11*12</f>
        <v>104.99999999999997</v>
      </c>
      <c r="O11" s="1864">
        <f t="shared" si="5"/>
        <v>50.400000000000006</v>
      </c>
      <c r="P11" s="1863">
        <f t="shared" si="3"/>
        <v>54.599999999999966</v>
      </c>
      <c r="Q11" s="1864">
        <f t="shared" si="6"/>
        <v>50.400000000000006</v>
      </c>
      <c r="R11" s="1863">
        <f>P11-Q11</f>
        <v>4.19999999999996</v>
      </c>
      <c r="S11" s="1863">
        <v>4</v>
      </c>
      <c r="T11" s="1877">
        <f t="shared" si="7"/>
        <v>0.1999999999999602</v>
      </c>
      <c r="U11" s="1865"/>
      <c r="V11" s="1877">
        <v>0</v>
      </c>
      <c r="W11" s="1864">
        <f t="shared" si="8"/>
        <v>0.1999999999999602</v>
      </c>
      <c r="X11" s="1877">
        <v>0</v>
      </c>
      <c r="Y11" s="1864">
        <f t="shared" si="9"/>
        <v>0.1999999999999602</v>
      </c>
    </row>
    <row r="12" spans="1:25" ht="24.75" customHeight="1">
      <c r="A12" s="1856">
        <v>4</v>
      </c>
      <c r="B12" s="1857" t="s">
        <v>15</v>
      </c>
      <c r="C12" s="1857"/>
      <c r="D12" s="1856"/>
      <c r="E12" s="1858" t="s">
        <v>16</v>
      </c>
      <c r="F12" s="1859">
        <v>3</v>
      </c>
      <c r="G12" s="1859">
        <v>60</v>
      </c>
      <c r="H12" s="1860" t="s">
        <v>11</v>
      </c>
      <c r="I12" s="1861">
        <v>41</v>
      </c>
      <c r="J12" s="1862">
        <f t="shared" si="4"/>
        <v>0.2</v>
      </c>
      <c r="K12" s="1862">
        <f t="shared" si="0"/>
        <v>0.016666666666666666</v>
      </c>
      <c r="L12" s="1863">
        <f>I12/G12</f>
        <v>0.6833333333333333</v>
      </c>
      <c r="M12" s="1863">
        <f t="shared" si="2"/>
        <v>8.2</v>
      </c>
      <c r="N12" s="1863">
        <f>I12-M12-L12*12-L12*12</f>
        <v>16.4</v>
      </c>
      <c r="O12" s="1864">
        <f t="shared" si="5"/>
        <v>8.2</v>
      </c>
      <c r="P12" s="1863">
        <f t="shared" si="3"/>
        <v>8.2</v>
      </c>
      <c r="Q12" s="1864">
        <f>L12*12</f>
        <v>8.2</v>
      </c>
      <c r="R12" s="1863">
        <f aca="true" t="shared" si="10" ref="R12:R24">P12-Q12</f>
        <v>0</v>
      </c>
      <c r="S12" s="1863">
        <v>0</v>
      </c>
      <c r="T12" s="1877">
        <f t="shared" si="7"/>
        <v>0</v>
      </c>
      <c r="U12" s="1865"/>
      <c r="V12" s="1877">
        <v>0</v>
      </c>
      <c r="W12" s="1864">
        <f t="shared" si="8"/>
        <v>0</v>
      </c>
      <c r="X12" s="1877">
        <v>0</v>
      </c>
      <c r="Y12" s="1864">
        <f t="shared" si="9"/>
        <v>0</v>
      </c>
    </row>
    <row r="13" spans="1:25" ht="26.25" customHeight="1">
      <c r="A13" s="1856">
        <v>5</v>
      </c>
      <c r="B13" s="1857" t="s">
        <v>17</v>
      </c>
      <c r="C13" s="1857"/>
      <c r="D13" s="1856"/>
      <c r="E13" s="1858" t="s">
        <v>18</v>
      </c>
      <c r="F13" s="1859">
        <v>3</v>
      </c>
      <c r="G13" s="1859">
        <v>60</v>
      </c>
      <c r="H13" s="1860" t="s">
        <v>19</v>
      </c>
      <c r="I13" s="1861">
        <v>108</v>
      </c>
      <c r="J13" s="1862">
        <f t="shared" si="4"/>
        <v>0.2</v>
      </c>
      <c r="K13" s="1862">
        <f t="shared" si="0"/>
        <v>0.016666666666666666</v>
      </c>
      <c r="L13" s="1863">
        <f t="shared" si="1"/>
        <v>1.8</v>
      </c>
      <c r="M13" s="1863">
        <f t="shared" si="2"/>
        <v>21.6</v>
      </c>
      <c r="N13" s="1863">
        <f>I13-M13-L13*10-L13*12</f>
        <v>46.800000000000004</v>
      </c>
      <c r="O13" s="1864">
        <f t="shared" si="5"/>
        <v>21.6</v>
      </c>
      <c r="P13" s="1863">
        <f t="shared" si="3"/>
        <v>25.200000000000003</v>
      </c>
      <c r="Q13" s="1864">
        <f t="shared" si="6"/>
        <v>21.6</v>
      </c>
      <c r="R13" s="1863">
        <f t="shared" si="10"/>
        <v>3.6000000000000014</v>
      </c>
      <c r="S13" s="1863">
        <v>4</v>
      </c>
      <c r="T13" s="1877">
        <f t="shared" si="7"/>
        <v>-0.3999999999999986</v>
      </c>
      <c r="U13" s="1865"/>
      <c r="V13" s="1877">
        <v>0</v>
      </c>
      <c r="W13" s="1864">
        <f t="shared" si="8"/>
        <v>-0.3999999999999986</v>
      </c>
      <c r="X13" s="1877">
        <v>0</v>
      </c>
      <c r="Y13" s="1864">
        <f t="shared" si="9"/>
        <v>-0.3999999999999986</v>
      </c>
    </row>
    <row r="14" spans="1:25" ht="21.75" customHeight="1">
      <c r="A14" s="1856">
        <v>6</v>
      </c>
      <c r="B14" s="1857" t="s">
        <v>20</v>
      </c>
      <c r="C14" s="1857"/>
      <c r="D14" s="1856"/>
      <c r="E14" s="1858" t="s">
        <v>21</v>
      </c>
      <c r="F14" s="1859">
        <v>3</v>
      </c>
      <c r="G14" s="1859">
        <v>60</v>
      </c>
      <c r="H14" s="1860" t="s">
        <v>11</v>
      </c>
      <c r="I14" s="1861">
        <v>80</v>
      </c>
      <c r="J14" s="1862">
        <f t="shared" si="4"/>
        <v>0.2</v>
      </c>
      <c r="K14" s="1862">
        <f t="shared" si="0"/>
        <v>0.016666666666666666</v>
      </c>
      <c r="L14" s="1863">
        <f t="shared" si="1"/>
        <v>1.3333333333333333</v>
      </c>
      <c r="M14" s="1863">
        <f t="shared" si="2"/>
        <v>16</v>
      </c>
      <c r="N14" s="1863">
        <f>I14-M14-L14*3-L14*12</f>
        <v>44</v>
      </c>
      <c r="O14" s="1864">
        <f t="shared" si="5"/>
        <v>16</v>
      </c>
      <c r="P14" s="1863">
        <f t="shared" si="3"/>
        <v>28</v>
      </c>
      <c r="Q14" s="1864">
        <f t="shared" si="6"/>
        <v>16</v>
      </c>
      <c r="R14" s="1863">
        <f t="shared" si="10"/>
        <v>12</v>
      </c>
      <c r="S14" s="1863">
        <v>12</v>
      </c>
      <c r="T14" s="1877">
        <f t="shared" si="7"/>
        <v>0</v>
      </c>
      <c r="U14" s="1865"/>
      <c r="V14" s="1877">
        <v>0</v>
      </c>
      <c r="W14" s="1864">
        <f t="shared" si="8"/>
        <v>0</v>
      </c>
      <c r="X14" s="1877">
        <v>0</v>
      </c>
      <c r="Y14" s="1864">
        <f t="shared" si="9"/>
        <v>0</v>
      </c>
    </row>
    <row r="15" spans="1:25" ht="26.25" customHeight="1">
      <c r="A15" s="1856">
        <v>7</v>
      </c>
      <c r="B15" s="1857" t="s">
        <v>20</v>
      </c>
      <c r="C15" s="1857"/>
      <c r="D15" s="1856"/>
      <c r="E15" s="1858" t="s">
        <v>22</v>
      </c>
      <c r="F15" s="1859">
        <v>3</v>
      </c>
      <c r="G15" s="1859">
        <v>60</v>
      </c>
      <c r="H15" s="1860" t="s">
        <v>11</v>
      </c>
      <c r="I15" s="1861">
        <v>100</v>
      </c>
      <c r="J15" s="1862">
        <f t="shared" si="4"/>
        <v>0.2</v>
      </c>
      <c r="K15" s="1862">
        <f t="shared" si="0"/>
        <v>0.016666666666666666</v>
      </c>
      <c r="L15" s="1863">
        <f t="shared" si="1"/>
        <v>1.6666666666666667</v>
      </c>
      <c r="M15" s="1863">
        <f t="shared" si="2"/>
        <v>20</v>
      </c>
      <c r="N15" s="1863">
        <f>I15-M15-L15*3-L15*12</f>
        <v>55</v>
      </c>
      <c r="O15" s="1864">
        <f t="shared" si="5"/>
        <v>20</v>
      </c>
      <c r="P15" s="1863">
        <f t="shared" si="3"/>
        <v>35</v>
      </c>
      <c r="Q15" s="1864">
        <f t="shared" si="6"/>
        <v>20</v>
      </c>
      <c r="R15" s="1863">
        <f t="shared" si="10"/>
        <v>15</v>
      </c>
      <c r="S15" s="1863">
        <v>15</v>
      </c>
      <c r="T15" s="1877">
        <f t="shared" si="7"/>
        <v>0</v>
      </c>
      <c r="U15" s="1865"/>
      <c r="V15" s="1877">
        <v>0</v>
      </c>
      <c r="W15" s="1864">
        <f t="shared" si="8"/>
        <v>0</v>
      </c>
      <c r="X15" s="1877">
        <v>0</v>
      </c>
      <c r="Y15" s="1864">
        <f t="shared" si="9"/>
        <v>0</v>
      </c>
    </row>
    <row r="16" spans="1:25" ht="22.5" customHeight="1">
      <c r="A16" s="1856">
        <v>8</v>
      </c>
      <c r="B16" s="1857" t="s">
        <v>1593</v>
      </c>
      <c r="C16" s="1857"/>
      <c r="D16" s="1856"/>
      <c r="E16" s="1858" t="s">
        <v>1594</v>
      </c>
      <c r="F16" s="1859">
        <v>4</v>
      </c>
      <c r="G16" s="1859">
        <v>84</v>
      </c>
      <c r="H16" s="1860" t="s">
        <v>19</v>
      </c>
      <c r="I16" s="1861">
        <v>192</v>
      </c>
      <c r="J16" s="1862">
        <f>12/84</f>
        <v>0.14285714285714285</v>
      </c>
      <c r="K16" s="1862">
        <f t="shared" si="0"/>
        <v>0.011904761904761904</v>
      </c>
      <c r="L16" s="1863">
        <f t="shared" si="1"/>
        <v>2.2857142857142856</v>
      </c>
      <c r="M16" s="1863">
        <f t="shared" si="2"/>
        <v>27.428571428571427</v>
      </c>
      <c r="N16" s="1863">
        <f>I16-M16-L16*9</f>
        <v>144</v>
      </c>
      <c r="O16" s="1864">
        <f t="shared" si="5"/>
        <v>27.428571428571427</v>
      </c>
      <c r="P16" s="1863">
        <f t="shared" si="3"/>
        <v>116.57142857142857</v>
      </c>
      <c r="Q16" s="1864">
        <f t="shared" si="6"/>
        <v>27.428571428571427</v>
      </c>
      <c r="R16" s="1863">
        <f t="shared" si="10"/>
        <v>89.14285714285714</v>
      </c>
      <c r="S16" s="1863">
        <f aca="true" t="shared" si="11" ref="S16:S24">L16*12</f>
        <v>27.428571428571427</v>
      </c>
      <c r="T16" s="1877">
        <f t="shared" si="7"/>
        <v>61.71428571428571</v>
      </c>
      <c r="U16" s="1865"/>
      <c r="V16" s="1877">
        <f>L16*12</f>
        <v>27.428571428571427</v>
      </c>
      <c r="W16" s="1864">
        <f t="shared" si="8"/>
        <v>34.28571428571428</v>
      </c>
      <c r="X16" s="1877">
        <f>L16*12</f>
        <v>27.428571428571427</v>
      </c>
      <c r="Y16" s="1864">
        <f t="shared" si="9"/>
        <v>6.8571428571428505</v>
      </c>
    </row>
    <row r="17" spans="1:25" ht="24.75" customHeight="1">
      <c r="A17" s="1856">
        <v>9</v>
      </c>
      <c r="B17" s="1857" t="s">
        <v>1595</v>
      </c>
      <c r="C17" s="1857"/>
      <c r="D17" s="1856"/>
      <c r="E17" s="1858" t="s">
        <v>818</v>
      </c>
      <c r="F17" s="1859">
        <v>3</v>
      </c>
      <c r="G17" s="1859">
        <v>60</v>
      </c>
      <c r="H17" s="1860" t="s">
        <v>19</v>
      </c>
      <c r="I17" s="1861">
        <v>125</v>
      </c>
      <c r="J17" s="1862">
        <f>12/60</f>
        <v>0.2</v>
      </c>
      <c r="K17" s="1862">
        <f t="shared" si="0"/>
        <v>0.016666666666666666</v>
      </c>
      <c r="L17" s="1863">
        <f t="shared" si="1"/>
        <v>2.0833333333333335</v>
      </c>
      <c r="M17" s="1863">
        <f t="shared" si="2"/>
        <v>25</v>
      </c>
      <c r="N17" s="1863">
        <f>I17-M17-L17*10</f>
        <v>79.16666666666666</v>
      </c>
      <c r="O17" s="1864">
        <f t="shared" si="5"/>
        <v>25</v>
      </c>
      <c r="P17" s="1863">
        <f t="shared" si="3"/>
        <v>54.16666666666666</v>
      </c>
      <c r="Q17" s="1864">
        <f t="shared" si="6"/>
        <v>25</v>
      </c>
      <c r="R17" s="1863">
        <f>P17-Q17</f>
        <v>29.166666666666657</v>
      </c>
      <c r="S17" s="1863">
        <v>25</v>
      </c>
      <c r="T17" s="1877">
        <f t="shared" si="7"/>
        <v>4.166666666666657</v>
      </c>
      <c r="U17" s="1865"/>
      <c r="V17" s="1877">
        <v>4</v>
      </c>
      <c r="W17" s="1864">
        <f t="shared" si="8"/>
        <v>0.1666666666666572</v>
      </c>
      <c r="X17" s="1877">
        <v>0</v>
      </c>
      <c r="Y17" s="1864">
        <f t="shared" si="9"/>
        <v>0.1666666666666572</v>
      </c>
    </row>
    <row r="18" spans="1:25" ht="21.75" customHeight="1">
      <c r="A18" s="1856">
        <v>10</v>
      </c>
      <c r="B18" s="1857" t="s">
        <v>1596</v>
      </c>
      <c r="C18" s="1857"/>
      <c r="D18" s="1856"/>
      <c r="E18" s="1858" t="s">
        <v>1597</v>
      </c>
      <c r="F18" s="1859">
        <v>4</v>
      </c>
      <c r="G18" s="1859">
        <v>84</v>
      </c>
      <c r="H18" s="1860" t="s">
        <v>19</v>
      </c>
      <c r="I18" s="1861">
        <v>170</v>
      </c>
      <c r="J18" s="1862">
        <f>12/84</f>
        <v>0.14285714285714285</v>
      </c>
      <c r="K18" s="1862">
        <f t="shared" si="0"/>
        <v>0.011904761904761904</v>
      </c>
      <c r="L18" s="1863">
        <f t="shared" si="1"/>
        <v>2.0238095238095237</v>
      </c>
      <c r="M18" s="1863">
        <f t="shared" si="2"/>
        <v>24.285714285714285</v>
      </c>
      <c r="N18" s="1863">
        <f>I18-M18-L18*8</f>
        <v>129.52380952380952</v>
      </c>
      <c r="O18" s="1864">
        <f t="shared" si="5"/>
        <v>24.285714285714285</v>
      </c>
      <c r="P18" s="1863">
        <f t="shared" si="3"/>
        <v>105.23809523809524</v>
      </c>
      <c r="Q18" s="1864">
        <f t="shared" si="6"/>
        <v>24.285714285714285</v>
      </c>
      <c r="R18" s="1863">
        <f t="shared" si="10"/>
        <v>80.95238095238096</v>
      </c>
      <c r="S18" s="1863">
        <f t="shared" si="11"/>
        <v>24.285714285714285</v>
      </c>
      <c r="T18" s="1877">
        <f t="shared" si="7"/>
        <v>56.66666666666668</v>
      </c>
      <c r="U18" s="1865"/>
      <c r="V18" s="1877">
        <f>L18*12</f>
        <v>24.285714285714285</v>
      </c>
      <c r="W18" s="1864">
        <f t="shared" si="8"/>
        <v>32.380952380952394</v>
      </c>
      <c r="X18" s="1877">
        <f>L18*12</f>
        <v>24.285714285714285</v>
      </c>
      <c r="Y18" s="1864">
        <f t="shared" si="9"/>
        <v>8.095238095238109</v>
      </c>
    </row>
    <row r="19" spans="1:25" ht="21.75" customHeight="1">
      <c r="A19" s="1856">
        <v>11</v>
      </c>
      <c r="B19" s="1857" t="s">
        <v>1598</v>
      </c>
      <c r="C19" s="1857"/>
      <c r="D19" s="1856"/>
      <c r="E19" s="1858" t="s">
        <v>1599</v>
      </c>
      <c r="F19" s="1859">
        <v>3</v>
      </c>
      <c r="G19" s="1859">
        <v>60</v>
      </c>
      <c r="H19" s="1860" t="s">
        <v>19</v>
      </c>
      <c r="I19" s="1861">
        <v>70</v>
      </c>
      <c r="J19" s="1862">
        <f>12/60</f>
        <v>0.2</v>
      </c>
      <c r="K19" s="1862">
        <f t="shared" si="0"/>
        <v>0.016666666666666666</v>
      </c>
      <c r="L19" s="1863">
        <f t="shared" si="1"/>
        <v>1.1666666666666667</v>
      </c>
      <c r="M19" s="1863">
        <f t="shared" si="2"/>
        <v>14</v>
      </c>
      <c r="N19" s="1863">
        <f>I19-M19-L19*8</f>
        <v>46.666666666666664</v>
      </c>
      <c r="O19" s="1864">
        <f t="shared" si="5"/>
        <v>14</v>
      </c>
      <c r="P19" s="1863">
        <f t="shared" si="3"/>
        <v>32.666666666666664</v>
      </c>
      <c r="Q19" s="1864">
        <f t="shared" si="6"/>
        <v>14</v>
      </c>
      <c r="R19" s="1863">
        <f t="shared" si="10"/>
        <v>18.666666666666664</v>
      </c>
      <c r="S19" s="1863">
        <f t="shared" si="11"/>
        <v>14</v>
      </c>
      <c r="T19" s="1877">
        <f t="shared" si="7"/>
        <v>4.666666666666664</v>
      </c>
      <c r="U19" s="1865"/>
      <c r="V19" s="1877">
        <v>5</v>
      </c>
      <c r="W19" s="1864">
        <f t="shared" si="8"/>
        <v>-0.3333333333333357</v>
      </c>
      <c r="X19" s="1877">
        <v>0</v>
      </c>
      <c r="Y19" s="1864">
        <f t="shared" si="9"/>
        <v>-0.3333333333333357</v>
      </c>
    </row>
    <row r="20" spans="1:25" ht="21" customHeight="1">
      <c r="A20" s="1856">
        <v>12</v>
      </c>
      <c r="B20" s="1857" t="s">
        <v>1598</v>
      </c>
      <c r="C20" s="1857"/>
      <c r="D20" s="1856"/>
      <c r="E20" s="1858" t="s">
        <v>1600</v>
      </c>
      <c r="F20" s="1859">
        <v>3</v>
      </c>
      <c r="G20" s="1859">
        <v>60</v>
      </c>
      <c r="H20" s="1860" t="s">
        <v>19</v>
      </c>
      <c r="I20" s="1861">
        <v>100</v>
      </c>
      <c r="J20" s="1862">
        <f>12/60</f>
        <v>0.2</v>
      </c>
      <c r="K20" s="1862">
        <f t="shared" si="0"/>
        <v>0.016666666666666666</v>
      </c>
      <c r="L20" s="1863">
        <f t="shared" si="1"/>
        <v>1.6666666666666667</v>
      </c>
      <c r="M20" s="1863">
        <f t="shared" si="2"/>
        <v>20</v>
      </c>
      <c r="N20" s="1863">
        <f>I20-M20-L20*8</f>
        <v>66.66666666666667</v>
      </c>
      <c r="O20" s="1864">
        <f t="shared" si="5"/>
        <v>20</v>
      </c>
      <c r="P20" s="1863">
        <f t="shared" si="3"/>
        <v>46.66666666666667</v>
      </c>
      <c r="Q20" s="1864">
        <f t="shared" si="6"/>
        <v>20</v>
      </c>
      <c r="R20" s="1863">
        <f t="shared" si="10"/>
        <v>26.66666666666667</v>
      </c>
      <c r="S20" s="1863">
        <f t="shared" si="11"/>
        <v>20</v>
      </c>
      <c r="T20" s="1877">
        <f t="shared" si="7"/>
        <v>6.666666666666671</v>
      </c>
      <c r="U20" s="1865"/>
      <c r="V20" s="1877">
        <v>7</v>
      </c>
      <c r="W20" s="1864">
        <f t="shared" si="8"/>
        <v>-0.3333333333333286</v>
      </c>
      <c r="X20" s="1877">
        <v>0</v>
      </c>
      <c r="Y20" s="1864">
        <f t="shared" si="9"/>
        <v>-0.3333333333333286</v>
      </c>
    </row>
    <row r="21" spans="1:25" ht="21.75" customHeight="1">
      <c r="A21" s="1856">
        <v>13</v>
      </c>
      <c r="B21" s="1857" t="s">
        <v>1598</v>
      </c>
      <c r="C21" s="1857"/>
      <c r="D21" s="1856"/>
      <c r="E21" s="1858" t="s">
        <v>1601</v>
      </c>
      <c r="F21" s="1859">
        <v>3</v>
      </c>
      <c r="G21" s="1859">
        <v>60</v>
      </c>
      <c r="H21" s="1860" t="s">
        <v>19</v>
      </c>
      <c r="I21" s="1861">
        <v>48</v>
      </c>
      <c r="J21" s="1862">
        <f>12/60</f>
        <v>0.2</v>
      </c>
      <c r="K21" s="1862">
        <f t="shared" si="0"/>
        <v>0.016666666666666666</v>
      </c>
      <c r="L21" s="1863">
        <f t="shared" si="1"/>
        <v>0.8</v>
      </c>
      <c r="M21" s="1863">
        <f t="shared" si="2"/>
        <v>9.600000000000001</v>
      </c>
      <c r="N21" s="1863">
        <f>I21-M21-L21*8</f>
        <v>32</v>
      </c>
      <c r="O21" s="1864">
        <f t="shared" si="5"/>
        <v>9.600000000000001</v>
      </c>
      <c r="P21" s="1863">
        <f t="shared" si="3"/>
        <v>22.4</v>
      </c>
      <c r="Q21" s="1864">
        <f t="shared" si="6"/>
        <v>9.600000000000001</v>
      </c>
      <c r="R21" s="1863">
        <f t="shared" si="10"/>
        <v>12.799999999999997</v>
      </c>
      <c r="S21" s="1863">
        <f t="shared" si="11"/>
        <v>9.600000000000001</v>
      </c>
      <c r="T21" s="1877">
        <f t="shared" si="7"/>
        <v>3.1999999999999957</v>
      </c>
      <c r="U21" s="1865"/>
      <c r="V21" s="1877">
        <v>3</v>
      </c>
      <c r="W21" s="1864">
        <f t="shared" si="8"/>
        <v>0.19999999999999574</v>
      </c>
      <c r="X21" s="1877">
        <v>0</v>
      </c>
      <c r="Y21" s="1864">
        <f t="shared" si="9"/>
        <v>0.19999999999999574</v>
      </c>
    </row>
    <row r="22" spans="1:25" ht="21.75" customHeight="1">
      <c r="A22" s="1856">
        <v>14</v>
      </c>
      <c r="B22" s="1857" t="s">
        <v>1598</v>
      </c>
      <c r="C22" s="1857"/>
      <c r="D22" s="1856"/>
      <c r="E22" s="1858" t="s">
        <v>1602</v>
      </c>
      <c r="F22" s="1859">
        <v>3</v>
      </c>
      <c r="G22" s="1859">
        <v>60</v>
      </c>
      <c r="H22" s="1860" t="s">
        <v>19</v>
      </c>
      <c r="I22" s="1861">
        <v>43</v>
      </c>
      <c r="J22" s="1862">
        <f>12/60</f>
        <v>0.2</v>
      </c>
      <c r="K22" s="1862">
        <f t="shared" si="0"/>
        <v>0.016666666666666666</v>
      </c>
      <c r="L22" s="1863">
        <f t="shared" si="1"/>
        <v>0.7166666666666667</v>
      </c>
      <c r="M22" s="1863">
        <f t="shared" si="2"/>
        <v>8.6</v>
      </c>
      <c r="N22" s="1863">
        <f>I22-M22-L22*8</f>
        <v>28.666666666666664</v>
      </c>
      <c r="O22" s="1864">
        <f t="shared" si="5"/>
        <v>8.6</v>
      </c>
      <c r="P22" s="1863">
        <f t="shared" si="3"/>
        <v>20.066666666666663</v>
      </c>
      <c r="Q22" s="1864">
        <f t="shared" si="6"/>
        <v>8.6</v>
      </c>
      <c r="R22" s="1863">
        <f>P22-Q22</f>
        <v>11.466666666666663</v>
      </c>
      <c r="S22" s="1863">
        <f t="shared" si="11"/>
        <v>8.6</v>
      </c>
      <c r="T22" s="1877">
        <f t="shared" si="7"/>
        <v>2.8666666666666636</v>
      </c>
      <c r="U22" s="1865"/>
      <c r="V22" s="1877">
        <v>3</v>
      </c>
      <c r="W22" s="1864">
        <f t="shared" si="8"/>
        <v>-0.1333333333333364</v>
      </c>
      <c r="X22" s="1877">
        <v>0</v>
      </c>
      <c r="Y22" s="1864">
        <f t="shared" si="9"/>
        <v>-0.1333333333333364</v>
      </c>
    </row>
    <row r="23" spans="1:25" ht="24" customHeight="1">
      <c r="A23" s="1856">
        <v>15</v>
      </c>
      <c r="B23" s="1857" t="s">
        <v>1603</v>
      </c>
      <c r="C23" s="1857"/>
      <c r="D23" s="1856"/>
      <c r="E23" s="1858" t="s">
        <v>1604</v>
      </c>
      <c r="F23" s="1859">
        <v>4</v>
      </c>
      <c r="G23" s="1859">
        <v>84</v>
      </c>
      <c r="H23" s="1860" t="s">
        <v>19</v>
      </c>
      <c r="I23" s="1861">
        <v>510</v>
      </c>
      <c r="J23" s="1862">
        <f>12/84</f>
        <v>0.14285714285714285</v>
      </c>
      <c r="K23" s="1862">
        <f t="shared" si="0"/>
        <v>0.011904761904761904</v>
      </c>
      <c r="L23" s="1863">
        <f t="shared" si="1"/>
        <v>6.071428571428571</v>
      </c>
      <c r="M23" s="1863">
        <f t="shared" si="2"/>
        <v>72.85714285714286</v>
      </c>
      <c r="N23" s="1863">
        <f>I23-M23-L23*7</f>
        <v>394.6428571428571</v>
      </c>
      <c r="O23" s="1864">
        <f t="shared" si="5"/>
        <v>72.85714285714286</v>
      </c>
      <c r="P23" s="1863">
        <f t="shared" si="3"/>
        <v>321.7857142857142</v>
      </c>
      <c r="Q23" s="1864">
        <f t="shared" si="6"/>
        <v>72.85714285714286</v>
      </c>
      <c r="R23" s="1863">
        <f t="shared" si="10"/>
        <v>248.92857142857136</v>
      </c>
      <c r="S23" s="1863">
        <f t="shared" si="11"/>
        <v>72.85714285714286</v>
      </c>
      <c r="T23" s="1877">
        <f t="shared" si="7"/>
        <v>176.0714285714285</v>
      </c>
      <c r="U23" s="1865"/>
      <c r="V23" s="1877">
        <f>L23*12</f>
        <v>72.85714285714286</v>
      </c>
      <c r="W23" s="1864">
        <f t="shared" si="8"/>
        <v>103.21428571428564</v>
      </c>
      <c r="X23" s="1877">
        <f>L23*12</f>
        <v>72.85714285714286</v>
      </c>
      <c r="Y23" s="1864">
        <f t="shared" si="9"/>
        <v>30.357142857142776</v>
      </c>
    </row>
    <row r="24" spans="1:25" ht="24" customHeight="1">
      <c r="A24" s="1856">
        <v>16</v>
      </c>
      <c r="B24" s="1857" t="s">
        <v>1603</v>
      </c>
      <c r="C24" s="1857"/>
      <c r="D24" s="1866"/>
      <c r="E24" s="1858" t="s">
        <v>1605</v>
      </c>
      <c r="F24" s="1867">
        <v>3</v>
      </c>
      <c r="G24" s="1867">
        <v>60</v>
      </c>
      <c r="H24" s="1868" t="s">
        <v>19</v>
      </c>
      <c r="I24" s="1869">
        <v>84</v>
      </c>
      <c r="J24" s="1862">
        <f>12/60</f>
        <v>0.2</v>
      </c>
      <c r="K24" s="1862">
        <f t="shared" si="0"/>
        <v>0.016666666666666666</v>
      </c>
      <c r="L24" s="1863">
        <f t="shared" si="1"/>
        <v>1.4</v>
      </c>
      <c r="M24" s="1863">
        <f t="shared" si="2"/>
        <v>16.799999999999997</v>
      </c>
      <c r="N24" s="1863">
        <f>I24-M24-L24*7</f>
        <v>57.400000000000006</v>
      </c>
      <c r="O24" s="1864">
        <f t="shared" si="5"/>
        <v>16.799999999999997</v>
      </c>
      <c r="P24" s="1863">
        <f t="shared" si="3"/>
        <v>40.60000000000001</v>
      </c>
      <c r="Q24" s="1864">
        <f t="shared" si="6"/>
        <v>16.799999999999997</v>
      </c>
      <c r="R24" s="1863">
        <f t="shared" si="10"/>
        <v>23.80000000000001</v>
      </c>
      <c r="S24" s="1863">
        <f t="shared" si="11"/>
        <v>16.799999999999997</v>
      </c>
      <c r="T24" s="1877">
        <f t="shared" si="7"/>
        <v>7.000000000000014</v>
      </c>
      <c r="U24" s="1865"/>
      <c r="V24" s="1877">
        <v>7</v>
      </c>
      <c r="W24" s="1864">
        <f t="shared" si="8"/>
        <v>1.4210854715202004E-14</v>
      </c>
      <c r="X24" s="1877">
        <v>0</v>
      </c>
      <c r="Y24" s="1864">
        <f t="shared" si="9"/>
        <v>1.4210854715202004E-14</v>
      </c>
    </row>
    <row r="25" spans="1:25" ht="14.25">
      <c r="A25" s="2248"/>
      <c r="B25" s="2248"/>
      <c r="C25" s="2248"/>
      <c r="D25" s="2248"/>
      <c r="E25" s="2248"/>
      <c r="F25" s="2248"/>
      <c r="G25" s="1852"/>
      <c r="H25" s="1870"/>
      <c r="I25" s="1854">
        <f>SUM(I9:I24)</f>
        <v>2633</v>
      </c>
      <c r="J25" s="1852"/>
      <c r="K25" s="1871"/>
      <c r="L25" s="1852"/>
      <c r="M25" s="1854">
        <f aca="true" t="shared" si="12" ref="M25:R25">SUM(M9:M24)</f>
        <v>456.2</v>
      </c>
      <c r="N25" s="1854">
        <f t="shared" si="12"/>
        <v>1601.7666666666667</v>
      </c>
      <c r="O25" s="1854">
        <f t="shared" si="12"/>
        <v>456.2</v>
      </c>
      <c r="P25" s="1854">
        <f t="shared" si="12"/>
        <v>1145.5666666666664</v>
      </c>
      <c r="Q25" s="1854">
        <f t="shared" si="12"/>
        <v>456.2</v>
      </c>
      <c r="R25" s="1854">
        <f t="shared" si="12"/>
        <v>689.3666666666666</v>
      </c>
      <c r="S25" s="1855">
        <f>SUM(S9:S24)</f>
        <v>311</v>
      </c>
      <c r="T25" s="1855">
        <f>SUM(T9:T24)</f>
        <v>378.36666666666656</v>
      </c>
      <c r="U25" s="1855"/>
      <c r="V25" s="1854">
        <f>SUM(V9:V24)</f>
        <v>205</v>
      </c>
      <c r="W25" s="1854">
        <f>SUM(W9:W24)</f>
        <v>173.3666666666665</v>
      </c>
      <c r="X25" s="1854">
        <f>SUM(X9:X24)</f>
        <v>128.57142857142856</v>
      </c>
      <c r="Y25" s="1854">
        <f>SUM(Y9:Y24)</f>
        <v>44.79523809523797</v>
      </c>
    </row>
    <row r="26" spans="1:23" ht="14.25">
      <c r="A26" s="1840"/>
      <c r="B26" s="1878" t="s">
        <v>1586</v>
      </c>
      <c r="C26" s="1840"/>
      <c r="D26" s="1840"/>
      <c r="E26" s="1840"/>
      <c r="F26" s="1840"/>
      <c r="G26" s="1840"/>
      <c r="H26" s="1840"/>
      <c r="I26" s="1840"/>
      <c r="J26" s="1846"/>
      <c r="K26" s="1846"/>
      <c r="L26" s="1840"/>
      <c r="M26" s="1840"/>
      <c r="N26" s="1840"/>
      <c r="O26" s="1840"/>
      <c r="P26" s="1840"/>
      <c r="Q26" s="1840"/>
      <c r="R26" s="1840"/>
      <c r="S26" s="1840"/>
      <c r="T26" s="1840"/>
      <c r="U26" s="1841"/>
      <c r="V26" s="1840"/>
      <c r="W26" s="1840"/>
    </row>
    <row r="27" spans="1:25" ht="13.5" customHeight="1">
      <c r="A27" s="1840"/>
      <c r="B27" s="1881" t="s">
        <v>1585</v>
      </c>
      <c r="C27" s="1840"/>
      <c r="D27" s="1840"/>
      <c r="E27" s="1879" t="s">
        <v>1597</v>
      </c>
      <c r="F27" s="2254">
        <v>4</v>
      </c>
      <c r="G27" s="2254">
        <v>84</v>
      </c>
      <c r="H27" s="2254">
        <v>2017</v>
      </c>
      <c r="I27" s="2254">
        <v>750</v>
      </c>
      <c r="J27" s="2256">
        <f>12/84</f>
        <v>0.14285714285714285</v>
      </c>
      <c r="K27" s="2256">
        <f>J27/12</f>
        <v>0.011904761904761904</v>
      </c>
      <c r="L27" s="2258">
        <f>I27*K27</f>
        <v>8.928571428571429</v>
      </c>
      <c r="M27" s="2258"/>
      <c r="N27" s="2258"/>
      <c r="O27" s="2258"/>
      <c r="P27" s="2258"/>
      <c r="Q27" s="2258"/>
      <c r="R27" s="2258"/>
      <c r="S27" s="2258"/>
      <c r="T27" s="2258"/>
      <c r="U27" s="2258"/>
      <c r="V27" s="2258"/>
      <c r="W27" s="2258"/>
      <c r="X27" s="2258">
        <f>L27*12</f>
        <v>107.14285714285714</v>
      </c>
      <c r="Y27" s="2258">
        <f>I27-X27</f>
        <v>642.8571428571429</v>
      </c>
    </row>
    <row r="28" spans="1:25" ht="10.5" customHeight="1">
      <c r="A28" s="1840"/>
      <c r="B28" s="1882">
        <f>(332*1.062)*1.063</f>
        <v>374.796792</v>
      </c>
      <c r="C28" s="1847"/>
      <c r="D28" s="1848"/>
      <c r="E28" s="1880" t="s">
        <v>1587</v>
      </c>
      <c r="F28" s="2255"/>
      <c r="G28" s="2255"/>
      <c r="H28" s="2255"/>
      <c r="I28" s="2255"/>
      <c r="J28" s="2257"/>
      <c r="K28" s="2257"/>
      <c r="L28" s="2259"/>
      <c r="M28" s="2259"/>
      <c r="N28" s="2259"/>
      <c r="O28" s="2259"/>
      <c r="P28" s="2259"/>
      <c r="Q28" s="2259"/>
      <c r="R28" s="2259"/>
      <c r="S28" s="2259"/>
      <c r="T28" s="2259"/>
      <c r="U28" s="2259"/>
      <c r="V28" s="2259"/>
      <c r="W28" s="2259"/>
      <c r="X28" s="2259"/>
      <c r="Y28" s="2259"/>
    </row>
    <row r="29" spans="23:25" ht="14.25">
      <c r="W29" s="1883" t="s">
        <v>1588</v>
      </c>
      <c r="X29" s="1884">
        <f>X25+X27</f>
        <v>235.7142857142857</v>
      </c>
      <c r="Y29" s="1884">
        <f>Y25+Y27</f>
        <v>687.6523809523809</v>
      </c>
    </row>
    <row r="30" ht="14.25">
      <c r="B30" t="s">
        <v>1045</v>
      </c>
    </row>
  </sheetData>
  <mergeCells count="47">
    <mergeCell ref="V27:V28"/>
    <mergeCell ref="W27:W28"/>
    <mergeCell ref="X27:X28"/>
    <mergeCell ref="Y27:Y28"/>
    <mergeCell ref="R27:R28"/>
    <mergeCell ref="S27:S28"/>
    <mergeCell ref="T27:T28"/>
    <mergeCell ref="U27:U28"/>
    <mergeCell ref="N27:N28"/>
    <mergeCell ref="O27:O28"/>
    <mergeCell ref="P27:P28"/>
    <mergeCell ref="Q27:Q28"/>
    <mergeCell ref="J27:J28"/>
    <mergeCell ref="K27:K28"/>
    <mergeCell ref="L27:L28"/>
    <mergeCell ref="M27:M28"/>
    <mergeCell ref="F27:F28"/>
    <mergeCell ref="G27:G28"/>
    <mergeCell ref="H27:H28"/>
    <mergeCell ref="I27:I28"/>
    <mergeCell ref="A3:F3"/>
    <mergeCell ref="A4:A5"/>
    <mergeCell ref="B4:B5"/>
    <mergeCell ref="E4:E5"/>
    <mergeCell ref="F4:F5"/>
    <mergeCell ref="G4:G5"/>
    <mergeCell ref="H4:H5"/>
    <mergeCell ref="I4:I5"/>
    <mergeCell ref="J4:K4"/>
    <mergeCell ref="L4:L5"/>
    <mergeCell ref="M4:M5"/>
    <mergeCell ref="N4:N5"/>
    <mergeCell ref="O4:O5"/>
    <mergeCell ref="W4:W5"/>
    <mergeCell ref="A8:F8"/>
    <mergeCell ref="A25:F25"/>
    <mergeCell ref="T4:T5"/>
    <mergeCell ref="U4:U5"/>
    <mergeCell ref="V4:V5"/>
    <mergeCell ref="P4:P5"/>
    <mergeCell ref="Q4:Q5"/>
    <mergeCell ref="R4:R5"/>
    <mergeCell ref="S4:S5"/>
    <mergeCell ref="X4:X5"/>
    <mergeCell ref="Y4:Y5"/>
    <mergeCell ref="Z4:Z5"/>
    <mergeCell ref="AA4:AA5"/>
  </mergeCells>
  <printOptions/>
  <pageMargins left="0.75" right="0.75" top="1" bottom="1" header="0.5" footer="0.5"/>
  <pageSetup orientation="landscape" paperSize="9" scale="61" r:id="rId1"/>
  <colBreaks count="1" manualBreakCount="1">
    <brk id="2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CV12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221" customWidth="1"/>
    <col min="2" max="2" width="37.7109375" style="221" customWidth="1"/>
    <col min="3" max="3" width="12.7109375" style="221" customWidth="1"/>
    <col min="4" max="4" width="14.00390625" style="221" customWidth="1"/>
    <col min="5" max="5" width="17.28125" style="221" customWidth="1"/>
    <col min="6" max="6" width="15.8515625" style="221" customWidth="1"/>
    <col min="7" max="16384" width="9.140625" style="221" customWidth="1"/>
  </cols>
  <sheetData>
    <row r="1" spans="1:6" ht="12.75">
      <c r="A1" s="380" t="s">
        <v>1152</v>
      </c>
      <c r="F1" s="221" t="s">
        <v>1767</v>
      </c>
    </row>
    <row r="2" ht="12.75">
      <c r="A2" s="380" t="s">
        <v>126</v>
      </c>
    </row>
    <row r="4" spans="1:6" ht="18.75" customHeight="1">
      <c r="A4" s="2260" t="s">
        <v>1763</v>
      </c>
      <c r="B4" s="2260"/>
      <c r="C4" s="2260"/>
      <c r="D4" s="2260"/>
      <c r="E4" s="2260"/>
      <c r="F4" s="2260"/>
    </row>
    <row r="5" spans="1:5" ht="17.25">
      <c r="A5" s="382"/>
      <c r="B5" s="382"/>
      <c r="C5" s="382"/>
      <c r="D5" s="382"/>
      <c r="E5" s="382"/>
    </row>
    <row r="6" spans="1:5" ht="13.5">
      <c r="A6" s="2261" t="str">
        <f>'4.1'!B6</f>
        <v>Усть-Камчатское муниципальное образование</v>
      </c>
      <c r="B6" s="2261"/>
      <c r="C6" s="2261"/>
      <c r="D6" s="2261"/>
      <c r="E6" s="2261"/>
    </row>
    <row r="8" spans="1:6" ht="66">
      <c r="A8" s="385" t="s">
        <v>1764</v>
      </c>
      <c r="B8" s="385" t="s">
        <v>737</v>
      </c>
      <c r="C8" s="385" t="s">
        <v>738</v>
      </c>
      <c r="D8" s="385" t="s">
        <v>739</v>
      </c>
      <c r="E8" s="385" t="s">
        <v>740</v>
      </c>
      <c r="F8" s="387" t="s">
        <v>1766</v>
      </c>
    </row>
    <row r="9" spans="1:6" ht="12.75">
      <c r="A9" s="386">
        <v>1</v>
      </c>
      <c r="B9" s="386">
        <v>2</v>
      </c>
      <c r="C9" s="386">
        <v>3</v>
      </c>
      <c r="D9" s="386">
        <v>4</v>
      </c>
      <c r="E9" s="386">
        <v>5</v>
      </c>
      <c r="F9" s="389">
        <v>6</v>
      </c>
    </row>
    <row r="10" spans="1:6" ht="12.75">
      <c r="A10" s="389" t="s">
        <v>142</v>
      </c>
      <c r="B10" s="535" t="s">
        <v>464</v>
      </c>
      <c r="C10" s="389"/>
      <c r="D10" s="259"/>
      <c r="E10" s="259"/>
      <c r="F10" s="259"/>
    </row>
    <row r="11" spans="1:6" ht="12.75">
      <c r="A11" s="389" t="s">
        <v>1013</v>
      </c>
      <c r="B11" s="387"/>
      <c r="C11" s="389"/>
      <c r="D11" s="259"/>
      <c r="E11" s="259"/>
      <c r="F11" s="259"/>
    </row>
    <row r="12" spans="1:6" ht="12.75">
      <c r="A12" s="389"/>
      <c r="B12" s="387"/>
      <c r="C12" s="389"/>
      <c r="D12" s="259"/>
      <c r="E12" s="259"/>
      <c r="F12" s="259"/>
    </row>
    <row r="13" spans="1:6" ht="12.75">
      <c r="A13" s="389"/>
      <c r="B13" s="387"/>
      <c r="C13" s="389"/>
      <c r="D13" s="259"/>
      <c r="E13" s="259"/>
      <c r="F13" s="259"/>
    </row>
    <row r="14" spans="1:6" ht="12.75">
      <c r="A14" s="389"/>
      <c r="B14" s="387"/>
      <c r="C14" s="389"/>
      <c r="D14" s="259"/>
      <c r="E14" s="259"/>
      <c r="F14" s="259"/>
    </row>
    <row r="15" spans="1:6" ht="12.75">
      <c r="A15" s="389"/>
      <c r="B15" s="387"/>
      <c r="C15" s="389"/>
      <c r="D15" s="259"/>
      <c r="E15" s="259"/>
      <c r="F15" s="259"/>
    </row>
    <row r="16" spans="1:6" ht="12.75">
      <c r="A16" s="389"/>
      <c r="B16" s="387"/>
      <c r="C16" s="389"/>
      <c r="D16" s="259"/>
      <c r="E16" s="259"/>
      <c r="F16" s="259"/>
    </row>
    <row r="17" spans="1:6" s="383" customFormat="1" ht="12.75">
      <c r="A17" s="389"/>
      <c r="B17" s="387"/>
      <c r="C17" s="389"/>
      <c r="D17" s="259"/>
      <c r="E17" s="259"/>
      <c r="F17" s="259"/>
    </row>
    <row r="18" spans="1:53" s="383" customFormat="1" ht="13.5">
      <c r="A18" s="389"/>
      <c r="B18" s="388"/>
      <c r="C18" s="389"/>
      <c r="D18" s="388"/>
      <c r="E18" s="388"/>
      <c r="F18" s="388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</row>
    <row r="19" spans="1:53" s="383" customFormat="1" ht="13.5">
      <c r="A19" s="391"/>
      <c r="B19" s="384"/>
      <c r="C19" s="391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</row>
    <row r="20" spans="1:53" s="383" customFormat="1" ht="13.5">
      <c r="A20" s="391"/>
      <c r="B20" s="384"/>
      <c r="C20" s="391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</row>
    <row r="21" spans="1:53" s="383" customFormat="1" ht="13.5">
      <c r="A21" s="534" t="s">
        <v>1494</v>
      </c>
      <c r="B21" s="130"/>
      <c r="C21" s="391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</row>
    <row r="22" spans="1:53" s="383" customFormat="1" ht="13.5">
      <c r="A22" s="391"/>
      <c r="B22" s="130"/>
      <c r="C22" s="391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</row>
    <row r="23" spans="1:53" s="383" customFormat="1" ht="13.5">
      <c r="A23" s="391" t="s">
        <v>35</v>
      </c>
      <c r="B23" s="384"/>
      <c r="C23" s="391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</row>
    <row r="24" spans="1:100" s="383" customFormat="1" ht="35.25" customHeight="1">
      <c r="A24" s="393">
        <v>1</v>
      </c>
      <c r="B24" s="1951" t="s">
        <v>1730</v>
      </c>
      <c r="C24" s="1951"/>
      <c r="D24" s="1951"/>
      <c r="E24" s="1951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</row>
    <row r="25" spans="1:100" s="383" customFormat="1" ht="30" customHeight="1">
      <c r="A25" s="393">
        <v>2</v>
      </c>
      <c r="B25" s="1951" t="s">
        <v>1728</v>
      </c>
      <c r="C25" s="1951"/>
      <c r="D25" s="1951"/>
      <c r="E25" s="1951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</row>
    <row r="26" spans="1:53" s="383" customFormat="1" ht="13.5">
      <c r="A26" s="391"/>
      <c r="B26" s="130"/>
      <c r="C26" s="391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</row>
    <row r="27" spans="1:53" s="383" customFormat="1" ht="15" customHeight="1">
      <c r="A27" s="391"/>
      <c r="B27" s="130"/>
      <c r="C27" s="391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3" s="383" customFormat="1" ht="13.5">
      <c r="A28" s="391"/>
      <c r="B28" s="130"/>
      <c r="C28" s="391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</row>
    <row r="29" spans="1:53" s="383" customFormat="1" ht="15" customHeight="1">
      <c r="A29" s="391"/>
      <c r="B29" s="130"/>
      <c r="C29" s="391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</row>
    <row r="30" spans="1:53" s="383" customFormat="1" ht="13.5">
      <c r="A30" s="391"/>
      <c r="B30" s="130"/>
      <c r="C30" s="391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</row>
    <row r="31" spans="1:53" s="383" customFormat="1" ht="13.5">
      <c r="A31" s="391"/>
      <c r="B31" s="130"/>
      <c r="C31" s="391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</row>
    <row r="32" spans="1:53" s="383" customFormat="1" ht="13.5">
      <c r="A32" s="391"/>
      <c r="B32" s="130"/>
      <c r="C32" s="391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</row>
    <row r="33" spans="1:53" s="383" customFormat="1" ht="13.5">
      <c r="A33" s="391"/>
      <c r="B33" s="130"/>
      <c r="C33" s="391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</row>
    <row r="34" spans="1:53" s="383" customFormat="1" ht="13.5">
      <c r="A34" s="391"/>
      <c r="B34" s="130"/>
      <c r="C34" s="391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</row>
    <row r="35" spans="1:53" s="383" customFormat="1" ht="13.5">
      <c r="A35" s="391"/>
      <c r="B35" s="384"/>
      <c r="C35" s="391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</row>
    <row r="36" spans="1:53" s="383" customFormat="1" ht="13.5">
      <c r="A36" s="391"/>
      <c r="B36" s="384"/>
      <c r="C36" s="391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</row>
    <row r="37" spans="1:53" s="383" customFormat="1" ht="13.5">
      <c r="A37" s="391"/>
      <c r="B37" s="384"/>
      <c r="C37" s="391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</row>
    <row r="38" spans="1:53" s="383" customFormat="1" ht="13.5">
      <c r="A38" s="391"/>
      <c r="B38" s="384"/>
      <c r="C38" s="391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</row>
    <row r="39" spans="1:53" s="383" customFormat="1" ht="13.5">
      <c r="A39" s="391"/>
      <c r="B39" s="384"/>
      <c r="C39" s="391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</row>
    <row r="40" spans="1:53" s="383" customFormat="1" ht="13.5">
      <c r="A40" s="391"/>
      <c r="B40" s="384"/>
      <c r="C40" s="391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</row>
    <row r="41" spans="1:53" s="383" customFormat="1" ht="13.5">
      <c r="A41" s="391"/>
      <c r="B41" s="130"/>
      <c r="C41" s="391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</row>
    <row r="42" spans="1:53" s="383" customFormat="1" ht="15" customHeight="1">
      <c r="A42" s="391"/>
      <c r="B42" s="130"/>
      <c r="C42" s="391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</row>
    <row r="43" spans="1:53" s="383" customFormat="1" ht="13.5">
      <c r="A43" s="391"/>
      <c r="B43" s="130"/>
      <c r="C43" s="391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</row>
    <row r="44" spans="1:53" s="383" customFormat="1" ht="15" customHeight="1">
      <c r="A44" s="391"/>
      <c r="B44" s="130"/>
      <c r="C44" s="391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</row>
    <row r="45" spans="1:53" s="383" customFormat="1" ht="13.5">
      <c r="A45" s="391"/>
      <c r="B45" s="130"/>
      <c r="C45" s="391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</row>
    <row r="46" spans="1:53" s="383" customFormat="1" ht="13.5">
      <c r="A46" s="391"/>
      <c r="B46" s="130"/>
      <c r="C46" s="391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</row>
    <row r="47" spans="1:53" s="383" customFormat="1" ht="13.5">
      <c r="A47" s="391"/>
      <c r="B47" s="130"/>
      <c r="C47" s="391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</row>
    <row r="48" spans="1:53" s="383" customFormat="1" ht="13.5">
      <c r="A48" s="391"/>
      <c r="B48" s="130"/>
      <c r="C48" s="391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</row>
    <row r="49" spans="1:53" s="383" customFormat="1" ht="13.5">
      <c r="A49" s="391"/>
      <c r="B49" s="130"/>
      <c r="C49" s="391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</row>
    <row r="50" spans="1:53" s="383" customFormat="1" ht="13.5">
      <c r="A50" s="391"/>
      <c r="B50" s="384"/>
      <c r="C50" s="391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</row>
    <row r="51" spans="1:53" s="383" customFormat="1" ht="13.5">
      <c r="A51" s="391"/>
      <c r="B51" s="384"/>
      <c r="C51" s="391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</row>
    <row r="52" spans="1:53" s="383" customFormat="1" ht="13.5">
      <c r="A52" s="391"/>
      <c r="B52" s="384"/>
      <c r="C52" s="391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</row>
    <row r="53" spans="1:53" s="383" customFormat="1" ht="13.5">
      <c r="A53" s="391"/>
      <c r="B53" s="384"/>
      <c r="C53" s="391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</row>
    <row r="54" spans="1:53" s="383" customFormat="1" ht="13.5">
      <c r="A54" s="391"/>
      <c r="B54" s="384"/>
      <c r="C54" s="391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  <c r="AZ54" s="384"/>
      <c r="BA54" s="384"/>
    </row>
    <row r="55" spans="1:53" s="383" customFormat="1" ht="13.5">
      <c r="A55" s="391"/>
      <c r="B55" s="384"/>
      <c r="C55" s="391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</row>
    <row r="56" spans="1:53" s="383" customFormat="1" ht="13.5">
      <c r="A56" s="391"/>
      <c r="B56" s="130"/>
      <c r="C56" s="391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</row>
    <row r="57" spans="1:53" s="383" customFormat="1" ht="15" customHeight="1">
      <c r="A57" s="391"/>
      <c r="B57" s="130"/>
      <c r="C57" s="391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</row>
    <row r="58" spans="1:53" s="383" customFormat="1" ht="13.5">
      <c r="A58" s="391"/>
      <c r="B58" s="130"/>
      <c r="C58" s="391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</row>
    <row r="59" spans="1:53" s="383" customFormat="1" ht="15" customHeight="1">
      <c r="A59" s="391"/>
      <c r="B59" s="130"/>
      <c r="C59" s="391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</row>
    <row r="60" spans="1:53" s="383" customFormat="1" ht="13.5">
      <c r="A60" s="391"/>
      <c r="B60" s="130"/>
      <c r="C60" s="391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</row>
    <row r="61" spans="1:53" s="383" customFormat="1" ht="13.5">
      <c r="A61" s="391"/>
      <c r="B61" s="130"/>
      <c r="C61" s="391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</row>
    <row r="62" spans="1:53" s="383" customFormat="1" ht="13.5">
      <c r="A62" s="391"/>
      <c r="B62" s="130"/>
      <c r="C62" s="391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</row>
    <row r="63" spans="1:53" s="383" customFormat="1" ht="13.5">
      <c r="A63" s="391"/>
      <c r="B63" s="130"/>
      <c r="C63" s="391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</row>
    <row r="64" spans="1:53" s="383" customFormat="1" ht="13.5">
      <c r="A64" s="391"/>
      <c r="B64" s="130"/>
      <c r="C64" s="391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</row>
    <row r="65" spans="1:53" s="383" customFormat="1" ht="13.5">
      <c r="A65" s="391"/>
      <c r="B65" s="384"/>
      <c r="C65" s="391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  <c r="AV65" s="384"/>
      <c r="AW65" s="384"/>
      <c r="AX65" s="384"/>
      <c r="AY65" s="384"/>
      <c r="AZ65" s="384"/>
      <c r="BA65" s="384"/>
    </row>
    <row r="66" spans="1:53" s="383" customFormat="1" ht="13.5">
      <c r="A66" s="391"/>
      <c r="B66" s="384"/>
      <c r="C66" s="391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  <c r="AX66" s="384"/>
      <c r="AY66" s="384"/>
      <c r="AZ66" s="384"/>
      <c r="BA66" s="384"/>
    </row>
    <row r="67" spans="1:53" s="383" customFormat="1" ht="13.5">
      <c r="A67" s="391"/>
      <c r="B67" s="384"/>
      <c r="C67" s="391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</row>
    <row r="68" spans="1:53" s="383" customFormat="1" ht="13.5">
      <c r="A68" s="391"/>
      <c r="B68" s="384"/>
      <c r="C68" s="391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384"/>
      <c r="AY68" s="384"/>
      <c r="AZ68" s="384"/>
      <c r="BA68" s="384"/>
    </row>
    <row r="69" spans="1:53" s="383" customFormat="1" ht="13.5">
      <c r="A69" s="391"/>
      <c r="B69" s="384"/>
      <c r="C69" s="391"/>
      <c r="D69" s="384"/>
      <c r="E69" s="384"/>
      <c r="F69" s="384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  <c r="AV69" s="384"/>
      <c r="AW69" s="384"/>
      <c r="AX69" s="384"/>
      <c r="AY69" s="384"/>
      <c r="AZ69" s="384"/>
      <c r="BA69" s="384"/>
    </row>
    <row r="70" spans="1:53" s="383" customFormat="1" ht="13.5">
      <c r="A70" s="391"/>
      <c r="B70" s="384"/>
      <c r="C70" s="391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  <c r="AV70" s="384"/>
      <c r="AW70" s="384"/>
      <c r="AX70" s="384"/>
      <c r="AY70" s="384"/>
      <c r="AZ70" s="384"/>
      <c r="BA70" s="384"/>
    </row>
    <row r="71" spans="1:53" s="383" customFormat="1" ht="13.5">
      <c r="A71" s="391"/>
      <c r="B71" s="130"/>
      <c r="C71" s="391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</row>
    <row r="72" spans="1:53" s="383" customFormat="1" ht="15" customHeight="1">
      <c r="A72" s="391"/>
      <c r="B72" s="130"/>
      <c r="C72" s="391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</row>
    <row r="73" spans="1:53" s="383" customFormat="1" ht="13.5">
      <c r="A73" s="391"/>
      <c r="B73" s="130"/>
      <c r="C73" s="391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</row>
    <row r="74" spans="1:53" s="383" customFormat="1" ht="15" customHeight="1">
      <c r="A74" s="391"/>
      <c r="B74" s="130"/>
      <c r="C74" s="391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</row>
    <row r="75" spans="1:53" s="383" customFormat="1" ht="13.5">
      <c r="A75" s="391"/>
      <c r="B75" s="130"/>
      <c r="C75" s="391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</row>
    <row r="76" spans="1:53" s="383" customFormat="1" ht="13.5">
      <c r="A76" s="391"/>
      <c r="B76" s="130"/>
      <c r="C76" s="391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</row>
    <row r="77" spans="1:53" s="383" customFormat="1" ht="13.5">
      <c r="A77" s="391"/>
      <c r="B77" s="130"/>
      <c r="C77" s="391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</row>
    <row r="78" spans="1:53" s="383" customFormat="1" ht="13.5">
      <c r="A78" s="391"/>
      <c r="B78" s="130"/>
      <c r="C78" s="391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</row>
    <row r="79" spans="1:53" s="383" customFormat="1" ht="13.5">
      <c r="A79" s="391"/>
      <c r="B79" s="130"/>
      <c r="C79" s="391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</row>
    <row r="80" spans="1:53" s="383" customFormat="1" ht="13.5">
      <c r="A80" s="391"/>
      <c r="B80" s="384"/>
      <c r="C80" s="391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4"/>
      <c r="AZ80" s="384"/>
      <c r="BA80" s="384"/>
    </row>
    <row r="81" spans="1:53" s="383" customFormat="1" ht="13.5">
      <c r="A81" s="391"/>
      <c r="B81" s="384"/>
      <c r="C81" s="391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384"/>
      <c r="AL81" s="384"/>
      <c r="AM81" s="384"/>
      <c r="AN81" s="384"/>
      <c r="AO81" s="384"/>
      <c r="AP81" s="384"/>
      <c r="AQ81" s="384"/>
      <c r="AR81" s="384"/>
      <c r="AS81" s="384"/>
      <c r="AT81" s="384"/>
      <c r="AU81" s="384"/>
      <c r="AV81" s="384"/>
      <c r="AW81" s="384"/>
      <c r="AX81" s="384"/>
      <c r="AY81" s="384"/>
      <c r="AZ81" s="384"/>
      <c r="BA81" s="384"/>
    </row>
    <row r="82" spans="1:53" s="383" customFormat="1" ht="13.5">
      <c r="A82" s="391"/>
      <c r="B82" s="384"/>
      <c r="C82" s="391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  <c r="AL82" s="384"/>
      <c r="AM82" s="384"/>
      <c r="AN82" s="384"/>
      <c r="AO82" s="384"/>
      <c r="AP82" s="384"/>
      <c r="AQ82" s="384"/>
      <c r="AR82" s="384"/>
      <c r="AS82" s="384"/>
      <c r="AT82" s="384"/>
      <c r="AU82" s="384"/>
      <c r="AV82" s="384"/>
      <c r="AW82" s="384"/>
      <c r="AX82" s="384"/>
      <c r="AY82" s="384"/>
      <c r="AZ82" s="384"/>
      <c r="BA82" s="384"/>
    </row>
    <row r="83" spans="1:53" s="383" customFormat="1" ht="13.5">
      <c r="A83" s="391"/>
      <c r="B83" s="384"/>
      <c r="C83" s="391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  <c r="AV83" s="384"/>
      <c r="AW83" s="384"/>
      <c r="AX83" s="384"/>
      <c r="AY83" s="384"/>
      <c r="AZ83" s="384"/>
      <c r="BA83" s="384"/>
    </row>
    <row r="84" spans="1:53" s="383" customFormat="1" ht="13.5">
      <c r="A84" s="391"/>
      <c r="B84" s="384"/>
      <c r="C84" s="391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4"/>
      <c r="AZ84" s="384"/>
      <c r="BA84" s="384"/>
    </row>
    <row r="85" spans="1:53" s="383" customFormat="1" ht="13.5">
      <c r="A85" s="391"/>
      <c r="B85" s="384"/>
      <c r="C85" s="391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  <c r="AP85" s="384"/>
      <c r="AQ85" s="384"/>
      <c r="AR85" s="384"/>
      <c r="AS85" s="384"/>
      <c r="AT85" s="384"/>
      <c r="AU85" s="384"/>
      <c r="AV85" s="384"/>
      <c r="AW85" s="384"/>
      <c r="AX85" s="384"/>
      <c r="AY85" s="384"/>
      <c r="AZ85" s="384"/>
      <c r="BA85" s="384"/>
    </row>
    <row r="86" spans="1:53" s="383" customFormat="1" ht="13.5">
      <c r="A86" s="391"/>
      <c r="B86" s="130"/>
      <c r="C86" s="391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</row>
    <row r="87" spans="1:53" s="383" customFormat="1" ht="15" customHeight="1">
      <c r="A87" s="391"/>
      <c r="B87" s="130"/>
      <c r="C87" s="391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</row>
    <row r="88" spans="1:53" s="383" customFormat="1" ht="13.5">
      <c r="A88" s="391"/>
      <c r="B88" s="130"/>
      <c r="C88" s="39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</row>
    <row r="89" spans="1:53" s="383" customFormat="1" ht="13.5">
      <c r="A89" s="391"/>
      <c r="B89" s="130"/>
      <c r="C89" s="39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</row>
    <row r="90" spans="1:53" s="383" customFormat="1" ht="13.5">
      <c r="A90" s="391"/>
      <c r="B90" s="130"/>
      <c r="C90" s="39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</row>
    <row r="91" spans="1:53" s="383" customFormat="1" ht="13.5">
      <c r="A91" s="391"/>
      <c r="B91" s="130"/>
      <c r="C91" s="39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</row>
    <row r="92" spans="1:53" s="383" customFormat="1" ht="13.5">
      <c r="A92" s="391"/>
      <c r="B92" s="130"/>
      <c r="C92" s="39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</row>
    <row r="93" spans="1:53" s="383" customFormat="1" ht="13.5">
      <c r="A93" s="391"/>
      <c r="B93" s="130"/>
      <c r="C93" s="39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</row>
    <row r="94" spans="1:53" s="383" customFormat="1" ht="13.5">
      <c r="A94" s="391"/>
      <c r="B94" s="130"/>
      <c r="C94" s="39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</row>
    <row r="95" spans="1:53" s="383" customFormat="1" ht="13.5">
      <c r="A95" s="391"/>
      <c r="B95" s="384"/>
      <c r="C95" s="390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4"/>
      <c r="AL95" s="384"/>
      <c r="AM95" s="384"/>
      <c r="AN95" s="384"/>
      <c r="AO95" s="384"/>
      <c r="AP95" s="384"/>
      <c r="AQ95" s="384"/>
      <c r="AR95" s="384"/>
      <c r="AS95" s="384"/>
      <c r="AT95" s="384"/>
      <c r="AU95" s="384"/>
      <c r="AV95" s="384"/>
      <c r="AW95" s="384"/>
      <c r="AX95" s="384"/>
      <c r="AY95" s="384"/>
      <c r="AZ95" s="384"/>
      <c r="BA95" s="384"/>
    </row>
    <row r="96" spans="1:53" s="383" customFormat="1" ht="13.5">
      <c r="A96" s="391"/>
      <c r="B96" s="384"/>
      <c r="C96" s="390"/>
      <c r="D96" s="384"/>
      <c r="E96" s="384"/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4"/>
      <c r="AL96" s="384"/>
      <c r="AM96" s="384"/>
      <c r="AN96" s="384"/>
      <c r="AO96" s="384"/>
      <c r="AP96" s="384"/>
      <c r="AQ96" s="384"/>
      <c r="AR96" s="384"/>
      <c r="AS96" s="384"/>
      <c r="AT96" s="384"/>
      <c r="AU96" s="384"/>
      <c r="AV96" s="384"/>
      <c r="AW96" s="384"/>
      <c r="AX96" s="384"/>
      <c r="AY96" s="384"/>
      <c r="AZ96" s="384"/>
      <c r="BA96" s="384"/>
    </row>
    <row r="97" spans="1:53" s="383" customFormat="1" ht="13.5">
      <c r="A97" s="391"/>
      <c r="B97" s="384"/>
      <c r="C97" s="390"/>
      <c r="D97" s="384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4"/>
      <c r="AL97" s="384"/>
      <c r="AM97" s="384"/>
      <c r="AN97" s="384"/>
      <c r="AO97" s="384"/>
      <c r="AP97" s="384"/>
      <c r="AQ97" s="384"/>
      <c r="AR97" s="384"/>
      <c r="AS97" s="384"/>
      <c r="AT97" s="384"/>
      <c r="AU97" s="384"/>
      <c r="AV97" s="384"/>
      <c r="AW97" s="384"/>
      <c r="AX97" s="384"/>
      <c r="AY97" s="384"/>
      <c r="AZ97" s="384"/>
      <c r="BA97" s="384"/>
    </row>
    <row r="98" spans="1:53" s="383" customFormat="1" ht="13.5">
      <c r="A98" s="391"/>
      <c r="B98" s="384"/>
      <c r="C98" s="390"/>
      <c r="D98" s="384"/>
      <c r="E98" s="384"/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  <c r="AL98" s="384"/>
      <c r="AM98" s="384"/>
      <c r="AN98" s="384"/>
      <c r="AO98" s="384"/>
      <c r="AP98" s="384"/>
      <c r="AQ98" s="384"/>
      <c r="AR98" s="384"/>
      <c r="AS98" s="384"/>
      <c r="AT98" s="384"/>
      <c r="AU98" s="384"/>
      <c r="AV98" s="384"/>
      <c r="AW98" s="384"/>
      <c r="AX98" s="384"/>
      <c r="AY98" s="384"/>
      <c r="AZ98" s="384"/>
      <c r="BA98" s="384"/>
    </row>
    <row r="99" spans="1:53" s="383" customFormat="1" ht="13.5">
      <c r="A99" s="391"/>
      <c r="B99" s="384"/>
      <c r="C99" s="390"/>
      <c r="D99" s="384"/>
      <c r="E99" s="384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  <c r="AL99" s="384"/>
      <c r="AM99" s="384"/>
      <c r="AN99" s="384"/>
      <c r="AO99" s="384"/>
      <c r="AP99" s="384"/>
      <c r="AQ99" s="384"/>
      <c r="AR99" s="384"/>
      <c r="AS99" s="384"/>
      <c r="AT99" s="384"/>
      <c r="AU99" s="384"/>
      <c r="AV99" s="384"/>
      <c r="AW99" s="384"/>
      <c r="AX99" s="384"/>
      <c r="AY99" s="384"/>
      <c r="AZ99" s="384"/>
      <c r="BA99" s="384"/>
    </row>
    <row r="100" spans="1:53" s="383" customFormat="1" ht="13.5">
      <c r="A100" s="391"/>
      <c r="B100" s="384"/>
      <c r="C100" s="390"/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4"/>
      <c r="AL100" s="384"/>
      <c r="AM100" s="384"/>
      <c r="AN100" s="384"/>
      <c r="AO100" s="384"/>
      <c r="AP100" s="384"/>
      <c r="AQ100" s="384"/>
      <c r="AR100" s="384"/>
      <c r="AS100" s="384"/>
      <c r="AT100" s="384"/>
      <c r="AU100" s="384"/>
      <c r="AV100" s="384"/>
      <c r="AW100" s="384"/>
      <c r="AX100" s="384"/>
      <c r="AY100" s="384"/>
      <c r="AZ100" s="384"/>
      <c r="BA100" s="384"/>
    </row>
    <row r="101" spans="1:53" s="383" customFormat="1" ht="13.5">
      <c r="A101" s="391"/>
      <c r="B101" s="130"/>
      <c r="C101" s="39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</row>
    <row r="102" spans="1:53" s="383" customFormat="1" ht="15" customHeight="1">
      <c r="A102" s="391"/>
      <c r="B102" s="130"/>
      <c r="C102" s="39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</row>
    <row r="103" spans="1:53" s="383" customFormat="1" ht="13.5">
      <c r="A103" s="391"/>
      <c r="B103" s="130"/>
      <c r="C103" s="39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</row>
    <row r="104" spans="1:53" s="383" customFormat="1" ht="13.5">
      <c r="A104" s="391"/>
      <c r="B104" s="130"/>
      <c r="C104" s="39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</row>
    <row r="105" spans="1:53" s="383" customFormat="1" ht="13.5">
      <c r="A105" s="391"/>
      <c r="B105" s="130"/>
      <c r="C105" s="39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</row>
    <row r="106" spans="1:53" s="383" customFormat="1" ht="13.5">
      <c r="A106" s="391"/>
      <c r="B106" s="130"/>
      <c r="C106" s="39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</row>
    <row r="107" spans="1:53" s="383" customFormat="1" ht="13.5">
      <c r="A107" s="391"/>
      <c r="B107" s="130"/>
      <c r="C107" s="39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</row>
    <row r="108" spans="1:53" s="383" customFormat="1" ht="13.5">
      <c r="A108" s="391"/>
      <c r="B108" s="130"/>
      <c r="C108" s="39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</row>
    <row r="109" spans="1:53" s="383" customFormat="1" ht="13.5">
      <c r="A109" s="391"/>
      <c r="B109" s="130"/>
      <c r="C109" s="39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</row>
    <row r="110" spans="1:53" s="383" customFormat="1" ht="13.5">
      <c r="A110" s="391"/>
      <c r="B110" s="384"/>
      <c r="C110" s="390"/>
      <c r="D110" s="384"/>
      <c r="E110" s="384"/>
      <c r="F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  <c r="AC110" s="384"/>
      <c r="AD110" s="384"/>
      <c r="AE110" s="384"/>
      <c r="AF110" s="384"/>
      <c r="AG110" s="384"/>
      <c r="AH110" s="384"/>
      <c r="AI110" s="384"/>
      <c r="AJ110" s="384"/>
      <c r="AK110" s="384"/>
      <c r="AL110" s="384"/>
      <c r="AM110" s="384"/>
      <c r="AN110" s="384"/>
      <c r="AO110" s="384"/>
      <c r="AP110" s="384"/>
      <c r="AQ110" s="384"/>
      <c r="AR110" s="384"/>
      <c r="AS110" s="384"/>
      <c r="AT110" s="384"/>
      <c r="AU110" s="384"/>
      <c r="AV110" s="384"/>
      <c r="AW110" s="384"/>
      <c r="AX110" s="384"/>
      <c r="AY110" s="384"/>
      <c r="AZ110" s="384"/>
      <c r="BA110" s="384"/>
    </row>
    <row r="111" spans="1:53" s="383" customFormat="1" ht="13.5">
      <c r="A111" s="391"/>
      <c r="B111" s="384"/>
      <c r="C111" s="390"/>
      <c r="D111" s="384"/>
      <c r="E111" s="384"/>
      <c r="F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  <c r="AC111" s="384"/>
      <c r="AD111" s="384"/>
      <c r="AE111" s="384"/>
      <c r="AF111" s="384"/>
      <c r="AG111" s="384"/>
      <c r="AH111" s="384"/>
      <c r="AI111" s="384"/>
      <c r="AJ111" s="384"/>
      <c r="AK111" s="384"/>
      <c r="AL111" s="384"/>
      <c r="AM111" s="384"/>
      <c r="AN111" s="384"/>
      <c r="AO111" s="384"/>
      <c r="AP111" s="384"/>
      <c r="AQ111" s="384"/>
      <c r="AR111" s="384"/>
      <c r="AS111" s="384"/>
      <c r="AT111" s="384"/>
      <c r="AU111" s="384"/>
      <c r="AV111" s="384"/>
      <c r="AW111" s="384"/>
      <c r="AX111" s="384"/>
      <c r="AY111" s="384"/>
      <c r="AZ111" s="384"/>
      <c r="BA111" s="384"/>
    </row>
    <row r="112" spans="1:53" s="383" customFormat="1" ht="13.5">
      <c r="A112" s="391"/>
      <c r="B112" s="384"/>
      <c r="C112" s="390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  <c r="AC112" s="384"/>
      <c r="AD112" s="384"/>
      <c r="AE112" s="384"/>
      <c r="AF112" s="384"/>
      <c r="AG112" s="384"/>
      <c r="AH112" s="384"/>
      <c r="AI112" s="384"/>
      <c r="AJ112" s="384"/>
      <c r="AK112" s="384"/>
      <c r="AL112" s="384"/>
      <c r="AM112" s="384"/>
      <c r="AN112" s="384"/>
      <c r="AO112" s="384"/>
      <c r="AP112" s="384"/>
      <c r="AQ112" s="384"/>
      <c r="AR112" s="384"/>
      <c r="AS112" s="384"/>
      <c r="AT112" s="384"/>
      <c r="AU112" s="384"/>
      <c r="AV112" s="384"/>
      <c r="AW112" s="384"/>
      <c r="AX112" s="384"/>
      <c r="AY112" s="384"/>
      <c r="AZ112" s="384"/>
      <c r="BA112" s="384"/>
    </row>
    <row r="113" spans="1:53" s="383" customFormat="1" ht="13.5">
      <c r="A113" s="391"/>
      <c r="B113" s="384"/>
      <c r="C113" s="390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  <c r="AC113" s="384"/>
      <c r="AD113" s="384"/>
      <c r="AE113" s="384"/>
      <c r="AF113" s="384"/>
      <c r="AG113" s="384"/>
      <c r="AH113" s="384"/>
      <c r="AI113" s="384"/>
      <c r="AJ113" s="384"/>
      <c r="AK113" s="384"/>
      <c r="AL113" s="384"/>
      <c r="AM113" s="384"/>
      <c r="AN113" s="384"/>
      <c r="AO113" s="384"/>
      <c r="AP113" s="384"/>
      <c r="AQ113" s="384"/>
      <c r="AR113" s="384"/>
      <c r="AS113" s="384"/>
      <c r="AT113" s="384"/>
      <c r="AU113" s="384"/>
      <c r="AV113" s="384"/>
      <c r="AW113" s="384"/>
      <c r="AX113" s="384"/>
      <c r="AY113" s="384"/>
      <c r="AZ113" s="384"/>
      <c r="BA113" s="384"/>
    </row>
    <row r="114" spans="1:53" s="383" customFormat="1" ht="13.5">
      <c r="A114" s="391"/>
      <c r="B114" s="384"/>
      <c r="C114" s="390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  <c r="AC114" s="384"/>
      <c r="AD114" s="384"/>
      <c r="AE114" s="384"/>
      <c r="AF114" s="384"/>
      <c r="AG114" s="384"/>
      <c r="AH114" s="384"/>
      <c r="AI114" s="384"/>
      <c r="AJ114" s="384"/>
      <c r="AK114" s="384"/>
      <c r="AL114" s="384"/>
      <c r="AM114" s="384"/>
      <c r="AN114" s="384"/>
      <c r="AO114" s="384"/>
      <c r="AP114" s="384"/>
      <c r="AQ114" s="384"/>
      <c r="AR114" s="384"/>
      <c r="AS114" s="384"/>
      <c r="AT114" s="384"/>
      <c r="AU114" s="384"/>
      <c r="AV114" s="384"/>
      <c r="AW114" s="384"/>
      <c r="AX114" s="384"/>
      <c r="AY114" s="384"/>
      <c r="AZ114" s="384"/>
      <c r="BA114" s="384"/>
    </row>
    <row r="115" spans="1:53" s="383" customFormat="1" ht="13.5">
      <c r="A115" s="391"/>
      <c r="B115" s="384"/>
      <c r="C115" s="390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  <c r="AL115" s="384"/>
      <c r="AM115" s="384"/>
      <c r="AN115" s="384"/>
      <c r="AO115" s="384"/>
      <c r="AP115" s="384"/>
      <c r="AQ115" s="384"/>
      <c r="AR115" s="384"/>
      <c r="AS115" s="384"/>
      <c r="AT115" s="384"/>
      <c r="AU115" s="384"/>
      <c r="AV115" s="384"/>
      <c r="AW115" s="384"/>
      <c r="AX115" s="384"/>
      <c r="AY115" s="384"/>
      <c r="AZ115" s="384"/>
      <c r="BA115" s="384"/>
    </row>
    <row r="116" spans="1:53" s="383" customFormat="1" ht="13.5">
      <c r="A116" s="391"/>
      <c r="B116" s="130"/>
      <c r="C116" s="39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</row>
    <row r="117" spans="1:53" s="383" customFormat="1" ht="15" customHeight="1">
      <c r="A117" s="391"/>
      <c r="B117" s="130"/>
      <c r="C117" s="39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</row>
    <row r="118" spans="1:53" s="383" customFormat="1" ht="15" customHeight="1">
      <c r="A118" s="392"/>
      <c r="B118" s="384"/>
      <c r="C118" s="390"/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  <c r="AC118" s="384"/>
      <c r="AD118" s="384"/>
      <c r="AE118" s="384"/>
      <c r="AF118" s="384"/>
      <c r="AG118" s="384"/>
      <c r="AH118" s="384"/>
      <c r="AI118" s="384"/>
      <c r="AJ118" s="384"/>
      <c r="AK118" s="384"/>
      <c r="AL118" s="384"/>
      <c r="AM118" s="384"/>
      <c r="AN118" s="384"/>
      <c r="AO118" s="384"/>
      <c r="AP118" s="384"/>
      <c r="AQ118" s="384"/>
      <c r="AR118" s="384"/>
      <c r="AS118" s="384"/>
      <c r="AT118" s="384"/>
      <c r="AU118" s="384"/>
      <c r="AV118" s="384"/>
      <c r="AW118" s="384"/>
      <c r="AX118" s="384"/>
      <c r="AY118" s="384"/>
      <c r="AZ118" s="384"/>
      <c r="BA118" s="384"/>
    </row>
    <row r="119" spans="1:53" s="383" customFormat="1" ht="13.5">
      <c r="A119" s="392"/>
      <c r="B119" s="384"/>
      <c r="C119" s="390"/>
      <c r="D119" s="384"/>
      <c r="E119" s="384"/>
      <c r="F119" s="384"/>
      <c r="G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  <c r="AC119" s="384"/>
      <c r="AD119" s="384"/>
      <c r="AE119" s="384"/>
      <c r="AF119" s="384"/>
      <c r="AG119" s="384"/>
      <c r="AH119" s="384"/>
      <c r="AI119" s="384"/>
      <c r="AJ119" s="384"/>
      <c r="AK119" s="384"/>
      <c r="AL119" s="384"/>
      <c r="AM119" s="384"/>
      <c r="AN119" s="384"/>
      <c r="AO119" s="384"/>
      <c r="AP119" s="384"/>
      <c r="AQ119" s="384"/>
      <c r="AR119" s="384"/>
      <c r="AS119" s="384"/>
      <c r="AT119" s="384"/>
      <c r="AU119" s="384"/>
      <c r="AV119" s="384"/>
      <c r="AW119" s="384"/>
      <c r="AX119" s="384"/>
      <c r="AY119" s="384"/>
      <c r="AZ119" s="384"/>
      <c r="BA119" s="384"/>
    </row>
    <row r="120" spans="1:53" s="383" customFormat="1" ht="13.5">
      <c r="A120" s="392"/>
      <c r="B120" s="384"/>
      <c r="C120" s="390"/>
      <c r="D120" s="384"/>
      <c r="E120" s="384"/>
      <c r="F120" s="384"/>
      <c r="G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  <c r="AC120" s="384"/>
      <c r="AD120" s="384"/>
      <c r="AE120" s="384"/>
      <c r="AF120" s="384"/>
      <c r="AG120" s="384"/>
      <c r="AH120" s="384"/>
      <c r="AI120" s="384"/>
      <c r="AJ120" s="384"/>
      <c r="AK120" s="384"/>
      <c r="AL120" s="384"/>
      <c r="AM120" s="384"/>
      <c r="AN120" s="384"/>
      <c r="AO120" s="384"/>
      <c r="AP120" s="384"/>
      <c r="AQ120" s="384"/>
      <c r="AR120" s="384"/>
      <c r="AS120" s="384"/>
      <c r="AT120" s="384"/>
      <c r="AU120" s="384"/>
      <c r="AV120" s="384"/>
      <c r="AW120" s="384"/>
      <c r="AX120" s="384"/>
      <c r="AY120" s="384"/>
      <c r="AZ120" s="384"/>
      <c r="BA120" s="384"/>
    </row>
    <row r="121" spans="1:53" s="383" customFormat="1" ht="13.5">
      <c r="A121" s="392"/>
      <c r="B121" s="384"/>
      <c r="C121" s="390"/>
      <c r="D121" s="384"/>
      <c r="E121" s="384"/>
      <c r="F121" s="384"/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  <c r="AC121" s="384"/>
      <c r="AD121" s="384"/>
      <c r="AE121" s="384"/>
      <c r="AF121" s="384"/>
      <c r="AG121" s="384"/>
      <c r="AH121" s="384"/>
      <c r="AI121" s="384"/>
      <c r="AJ121" s="384"/>
      <c r="AK121" s="384"/>
      <c r="AL121" s="384"/>
      <c r="AM121" s="384"/>
      <c r="AN121" s="384"/>
      <c r="AO121" s="384"/>
      <c r="AP121" s="384"/>
      <c r="AQ121" s="384"/>
      <c r="AR121" s="384"/>
      <c r="AS121" s="384"/>
      <c r="AT121" s="384"/>
      <c r="AU121" s="384"/>
      <c r="AV121" s="384"/>
      <c r="AW121" s="384"/>
      <c r="AX121" s="384"/>
      <c r="AY121" s="384"/>
      <c r="AZ121" s="384"/>
      <c r="BA121" s="384"/>
    </row>
    <row r="124" spans="1:100" ht="13.5">
      <c r="A124" s="381"/>
      <c r="B124" s="1951"/>
      <c r="C124" s="1951"/>
      <c r="D124" s="1951"/>
      <c r="E124" s="1951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</row>
    <row r="125" spans="1:100" ht="13.5">
      <c r="A125" s="381"/>
      <c r="B125" s="1951"/>
      <c r="C125" s="1951"/>
      <c r="D125" s="1951"/>
      <c r="E125" s="1951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</row>
  </sheetData>
  <sheetProtection/>
  <mergeCells count="6">
    <mergeCell ref="A4:F4"/>
    <mergeCell ref="A6:E6"/>
    <mergeCell ref="B124:E124"/>
    <mergeCell ref="B125:E125"/>
    <mergeCell ref="B24:E24"/>
    <mergeCell ref="B25:E25"/>
  </mergeCells>
  <printOptions/>
  <pageMargins left="0.7" right="0.7" top="0.75" bottom="0.75" header="0.3" footer="0.3"/>
  <pageSetup orientation="portrait" paperSize="9" scale="7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zoomScaleSheetLayoutView="100" zoomScalePageLayoutView="0" workbookViewId="0" topLeftCell="A1">
      <selection activeCell="C12" sqref="C12"/>
    </sheetView>
  </sheetViews>
  <sheetFormatPr defaultColWidth="9.140625" defaultRowHeight="15"/>
  <cols>
    <col min="2" max="2" width="45.7109375" style="0" customWidth="1"/>
    <col min="3" max="3" width="27.28125" style="0" customWidth="1"/>
    <col min="4" max="4" width="27.57421875" style="0" customWidth="1"/>
    <col min="5" max="5" width="22.57421875" style="0" customWidth="1"/>
    <col min="6" max="6" width="24.421875" style="0" customWidth="1"/>
  </cols>
  <sheetData>
    <row r="1" spans="1:4" ht="14.25">
      <c r="A1" t="str">
        <f>'4.1'!B2</f>
        <v>Теплоснабжающая организация: ООО "Строй-Альянс"</v>
      </c>
      <c r="D1" s="407" t="s">
        <v>1625</v>
      </c>
    </row>
    <row r="2" spans="1:6" ht="14.25">
      <c r="A2" s="1011" t="str">
        <f>'4.1'!B3</f>
        <v>Базовый период/Период регулирования:2016/2017-2019 г.г.</v>
      </c>
      <c r="B2" s="1011"/>
      <c r="C2" s="1398"/>
      <c r="D2" s="1" t="s">
        <v>678</v>
      </c>
      <c r="E2" s="1"/>
      <c r="F2" s="1"/>
    </row>
    <row r="4" spans="1:4" ht="30" customHeight="1">
      <c r="A4" s="2263" t="s">
        <v>741</v>
      </c>
      <c r="B4" s="2263"/>
      <c r="C4" s="2263"/>
      <c r="D4" s="2263"/>
    </row>
    <row r="6" spans="1:5" ht="48" customHeight="1">
      <c r="A6" s="158" t="s">
        <v>1008</v>
      </c>
      <c r="B6" s="158" t="s">
        <v>742</v>
      </c>
      <c r="C6" s="404" t="s">
        <v>85</v>
      </c>
      <c r="D6" s="404" t="s">
        <v>858</v>
      </c>
      <c r="E6" s="404" t="s">
        <v>86</v>
      </c>
    </row>
    <row r="7" spans="1:5" ht="14.25">
      <c r="A7" s="400">
        <v>1</v>
      </c>
      <c r="B7" s="400">
        <v>2</v>
      </c>
      <c r="C7" s="398">
        <v>4</v>
      </c>
      <c r="D7" s="398">
        <v>4</v>
      </c>
      <c r="E7" s="398">
        <v>4</v>
      </c>
    </row>
    <row r="8" spans="1:5" ht="14.25">
      <c r="A8" s="401" t="s">
        <v>1017</v>
      </c>
      <c r="B8" s="402" t="s">
        <v>743</v>
      </c>
      <c r="C8" s="1466">
        <f>'4.6 Смета'!I12</f>
        <v>1312.2199999999998</v>
      </c>
      <c r="D8" s="1466">
        <f>'4.6 Смета'!L12</f>
        <v>1783.034772</v>
      </c>
      <c r="E8" s="1466">
        <f>'4.6 Смета'!O12</f>
        <v>1891.0192286519998</v>
      </c>
    </row>
    <row r="9" spans="1:5" ht="14.25">
      <c r="A9" s="401" t="s">
        <v>1010</v>
      </c>
      <c r="B9" s="402" t="s">
        <v>744</v>
      </c>
      <c r="C9" s="1466">
        <f>'4.6 Смета'!I27</f>
        <v>0</v>
      </c>
      <c r="D9" s="1466">
        <f>'4.6 Смета'!L27</f>
        <v>0</v>
      </c>
      <c r="E9" s="1466">
        <f>'4.6 Смета'!O27</f>
        <v>0</v>
      </c>
    </row>
    <row r="10" spans="1:5" ht="14.25">
      <c r="A10" s="401" t="s">
        <v>1012</v>
      </c>
      <c r="B10" s="402" t="s">
        <v>745</v>
      </c>
      <c r="C10" s="1466">
        <f>'4.6 Смета'!I25</f>
        <v>6496.63936151856</v>
      </c>
      <c r="D10" s="1466">
        <f>'4.6 Смета'!L25</f>
        <v>6854.55452640208</v>
      </c>
      <c r="E10" s="1466">
        <f>'4.6 Смета'!O25</f>
        <v>7232.190425354193</v>
      </c>
    </row>
    <row r="11" spans="1:5" ht="15" customHeight="1">
      <c r="A11" s="401" t="s">
        <v>1018</v>
      </c>
      <c r="B11" s="402" t="s">
        <v>746</v>
      </c>
      <c r="C11" s="740">
        <f>'4.6 Смета'!I33</f>
        <v>527.568</v>
      </c>
      <c r="D11" s="740">
        <f>'4.6 Смета'!L33</f>
        <v>153.09751199999997</v>
      </c>
      <c r="E11" s="740">
        <f>'4.6 Смета'!O33</f>
        <v>162.13026520799997</v>
      </c>
    </row>
    <row r="12" spans="1:5" ht="43.5" customHeight="1">
      <c r="A12" s="401" t="s">
        <v>1019</v>
      </c>
      <c r="B12" s="402" t="s">
        <v>747</v>
      </c>
      <c r="C12" s="1467">
        <f>SUM(C13:C20)</f>
        <v>552.35</v>
      </c>
      <c r="D12" s="1467">
        <f>SUM(D13:D20)</f>
        <v>556.61049</v>
      </c>
      <c r="E12" s="1467">
        <f>SUM(E13:E20)</f>
        <v>665.576903982</v>
      </c>
    </row>
    <row r="13" spans="1:5" ht="14.25">
      <c r="A13" s="401" t="s">
        <v>1308</v>
      </c>
      <c r="B13" s="402" t="s">
        <v>151</v>
      </c>
      <c r="C13" s="739">
        <f>'4.6 Смета'!I51</f>
        <v>42.519999999999996</v>
      </c>
      <c r="D13" s="739">
        <f>'4.6 Смета'!L51</f>
        <v>45.028679999999994</v>
      </c>
      <c r="E13" s="739">
        <f>'4.6 Смета'!O51</f>
        <v>47.68537211999999</v>
      </c>
    </row>
    <row r="14" spans="1:5" ht="14.25">
      <c r="A14" s="401" t="s">
        <v>1309</v>
      </c>
      <c r="B14" s="402" t="s">
        <v>152</v>
      </c>
      <c r="C14" s="739">
        <f>'4.6 Смета'!I52</f>
        <v>34.016</v>
      </c>
      <c r="D14" s="739">
        <f>'4.6 Смета'!L52</f>
        <v>0</v>
      </c>
      <c r="E14" s="739">
        <f>'4.6 Смета'!O52</f>
        <v>36.022943999999995</v>
      </c>
    </row>
    <row r="15" spans="1:5" ht="14.25">
      <c r="A15" s="401" t="s">
        <v>1310</v>
      </c>
      <c r="B15" s="402" t="s">
        <v>153</v>
      </c>
      <c r="C15" s="739">
        <f>'4.6 Смета'!I53</f>
        <v>8.504</v>
      </c>
      <c r="D15" s="739">
        <f>'4.6 Смета'!L53</f>
        <v>9.005735999999999</v>
      </c>
      <c r="E15" s="739">
        <f>'4.6 Смета'!O53</f>
        <v>9.537074423999998</v>
      </c>
    </row>
    <row r="16" spans="1:5" ht="12.75" customHeight="1">
      <c r="A16" s="401" t="s">
        <v>748</v>
      </c>
      <c r="B16" s="402" t="s">
        <v>154</v>
      </c>
      <c r="C16" s="739">
        <f>'4.6 Смета'!I54</f>
        <v>4.252</v>
      </c>
      <c r="D16" s="739">
        <f>'4.6 Смета'!L54</f>
        <v>4.502867999999999</v>
      </c>
      <c r="E16" s="739">
        <f>'4.6 Смета'!O54</f>
        <v>4.768537211999999</v>
      </c>
    </row>
    <row r="17" spans="1:5" ht="14.25">
      <c r="A17" s="401" t="s">
        <v>749</v>
      </c>
      <c r="B17" s="402" t="s">
        <v>155</v>
      </c>
      <c r="C17" s="739">
        <f>'4.6 Смета'!I57</f>
        <v>14.882</v>
      </c>
      <c r="D17" s="739">
        <f>'4.6 Смета'!L57</f>
        <v>15.760037999999998</v>
      </c>
      <c r="E17" s="739">
        <f>'4.6 Смета'!O57</f>
        <v>16.689880241999997</v>
      </c>
    </row>
    <row r="18" spans="1:5" ht="14.25">
      <c r="A18" s="401" t="s">
        <v>1615</v>
      </c>
      <c r="B18" s="402" t="s">
        <v>1035</v>
      </c>
      <c r="C18" s="739">
        <f>'4.6 Смета'!I56</f>
        <v>127.56</v>
      </c>
      <c r="D18" s="739">
        <f>'4.6 Смета'!L56</f>
        <v>135.08603999999997</v>
      </c>
      <c r="E18" s="739">
        <f>'4.6 Смета'!O56</f>
        <v>143.05611635999998</v>
      </c>
    </row>
    <row r="19" spans="1:5" ht="14.25">
      <c r="A19" s="401" t="s">
        <v>988</v>
      </c>
      <c r="B19" s="402" t="s">
        <v>156</v>
      </c>
      <c r="C19" s="739">
        <f>'4.6 Смета'!I62</f>
        <v>0</v>
      </c>
      <c r="D19" s="739">
        <f>'4.6 Смета'!L62</f>
        <v>0</v>
      </c>
      <c r="E19" s="739">
        <f>'4.6 Смета'!O61</f>
        <v>31.77</v>
      </c>
    </row>
    <row r="20" spans="1:5" ht="14.25">
      <c r="A20" s="401" t="s">
        <v>157</v>
      </c>
      <c r="B20" s="402" t="s">
        <v>1036</v>
      </c>
      <c r="C20" s="739">
        <f>'4.6 Смета'!I58</f>
        <v>320.61600000000004</v>
      </c>
      <c r="D20" s="739">
        <f>'4.6 Смета'!L58</f>
        <v>347.22712800000005</v>
      </c>
      <c r="E20" s="739">
        <f>'4.6 Смета'!O58</f>
        <v>376.046979624</v>
      </c>
    </row>
    <row r="21" spans="1:5" ht="14.25">
      <c r="A21" s="401" t="s">
        <v>1020</v>
      </c>
      <c r="B21" s="402" t="s">
        <v>1616</v>
      </c>
      <c r="C21" s="740">
        <f>'4.6 Смета'!I81</f>
        <v>59.528</v>
      </c>
      <c r="D21" s="740">
        <f>'4.6 Смета'!L81</f>
        <v>63.04015199999999</v>
      </c>
      <c r="E21" s="740">
        <f>'4.6 Смета'!O81</f>
        <v>66.75952096799999</v>
      </c>
    </row>
    <row r="22" spans="1:5" ht="14.25">
      <c r="A22" s="401" t="s">
        <v>1023</v>
      </c>
      <c r="B22" s="402" t="s">
        <v>1617</v>
      </c>
      <c r="C22" s="740">
        <f>'4.6 Смета'!I82</f>
        <v>31.889999999999997</v>
      </c>
      <c r="D22" s="740">
        <f>'4.6 Смета'!L82</f>
        <v>33.77150999999999</v>
      </c>
      <c r="E22" s="740">
        <f>'4.6 Смета'!O82</f>
        <v>35.76402908999999</v>
      </c>
    </row>
    <row r="23" spans="1:5" ht="14.25">
      <c r="A23" s="401" t="s">
        <v>1024</v>
      </c>
      <c r="B23" s="402" t="s">
        <v>1618</v>
      </c>
      <c r="C23" s="1468"/>
      <c r="D23" s="1468"/>
      <c r="E23" s="1468"/>
    </row>
    <row r="24" spans="1:5" ht="14.25">
      <c r="A24" s="401" t="s">
        <v>1025</v>
      </c>
      <c r="B24" s="402" t="s">
        <v>1619</v>
      </c>
      <c r="C24" s="740"/>
      <c r="D24" s="1468"/>
      <c r="E24" s="1468"/>
    </row>
    <row r="25" spans="1:5" ht="14.25">
      <c r="A25" s="401" t="s">
        <v>1026</v>
      </c>
      <c r="B25" s="402" t="s">
        <v>1620</v>
      </c>
      <c r="C25" s="740">
        <f>C26+C27</f>
        <v>0</v>
      </c>
      <c r="D25" s="740">
        <f>D26+D27</f>
        <v>0</v>
      </c>
      <c r="E25" s="740">
        <f>E26+E27</f>
        <v>0</v>
      </c>
    </row>
    <row r="26" spans="1:5" ht="14.25">
      <c r="A26" s="401" t="s">
        <v>1621</v>
      </c>
      <c r="B26" s="403" t="s">
        <v>1741</v>
      </c>
      <c r="C26" s="739"/>
      <c r="D26" s="739"/>
      <c r="E26" s="739"/>
    </row>
    <row r="27" spans="1:5" ht="14.25">
      <c r="A27" s="401" t="s">
        <v>1622</v>
      </c>
      <c r="B27" s="403"/>
      <c r="C27" s="398"/>
      <c r="D27" s="398"/>
      <c r="E27" s="398"/>
    </row>
    <row r="28" spans="1:5" ht="14.25">
      <c r="A28" s="401" t="s">
        <v>1006</v>
      </c>
      <c r="B28" s="403"/>
      <c r="C28" s="398"/>
      <c r="D28" s="398"/>
      <c r="E28" s="398"/>
    </row>
    <row r="29" spans="1:5" ht="14.25">
      <c r="A29" s="401"/>
      <c r="B29" s="403" t="s">
        <v>1623</v>
      </c>
      <c r="C29" s="740">
        <f>SUM(C8:C12)+SUM(C21:C25)</f>
        <v>8980.19536151856</v>
      </c>
      <c r="D29" s="740">
        <f>SUM(D8:D12)+SUM(D21:D25)</f>
        <v>9444.108962402079</v>
      </c>
      <c r="E29" s="740">
        <f>SUM(E8:E12)+SUM(E21:E25)</f>
        <v>10053.440373254194</v>
      </c>
    </row>
    <row r="32" ht="14.25">
      <c r="B32" t="s">
        <v>857</v>
      </c>
    </row>
    <row r="34" ht="14.25">
      <c r="A34" t="s">
        <v>35</v>
      </c>
    </row>
    <row r="35" spans="1:4" ht="29.25" customHeight="1">
      <c r="A35" s="406" t="s">
        <v>637</v>
      </c>
      <c r="B35" s="2262" t="s">
        <v>1624</v>
      </c>
      <c r="C35" s="2262"/>
      <c r="D35" s="2262"/>
    </row>
  </sheetData>
  <sheetProtection/>
  <mergeCells count="2">
    <mergeCell ref="B35:D35"/>
    <mergeCell ref="A4:D4"/>
  </mergeCells>
  <printOptions/>
  <pageMargins left="0.7" right="0.7" top="0.75" bottom="0.75" header="0.3" footer="0.3"/>
  <pageSetup orientation="portrait" paperSize="9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DB25"/>
  <sheetViews>
    <sheetView zoomScaleSheetLayoutView="100" zoomScalePageLayoutView="0" workbookViewId="0" topLeftCell="A1">
      <selection activeCell="D5" sqref="D5:G5"/>
    </sheetView>
  </sheetViews>
  <sheetFormatPr defaultColWidth="9.140625" defaultRowHeight="15"/>
  <cols>
    <col min="1" max="1" width="3.28125" style="0" customWidth="1"/>
    <col min="2" max="2" width="39.7109375" style="0" customWidth="1"/>
    <col min="3" max="3" width="10.140625" style="0" customWidth="1"/>
  </cols>
  <sheetData>
    <row r="1" spans="1:9" ht="14.25">
      <c r="A1" t="str">
        <f>'4.1'!B2</f>
        <v>Теплоснабжающая организация: ООО "Строй-Альянс"</v>
      </c>
      <c r="F1" s="2268" t="s">
        <v>1638</v>
      </c>
      <c r="G1" s="2268"/>
      <c r="H1" s="1012"/>
      <c r="I1" s="508"/>
    </row>
    <row r="2" spans="1:9" ht="14.25">
      <c r="A2" s="1011" t="str">
        <f>'4.1'!B3</f>
        <v>Базовый период/Период регулирования:2016/2017-2019 г.г.</v>
      </c>
      <c r="B2" s="1011"/>
      <c r="C2" s="1011"/>
      <c r="F2" s="794"/>
      <c r="G2" s="794"/>
      <c r="H2" s="794"/>
      <c r="I2" s="794"/>
    </row>
    <row r="4" spans="1:7" ht="31.5" customHeight="1">
      <c r="A4" s="2267" t="s">
        <v>1589</v>
      </c>
      <c r="B4" s="2267"/>
      <c r="C4" s="2267"/>
      <c r="D4" s="2267"/>
      <c r="E4" s="2267"/>
      <c r="F4" s="2267"/>
      <c r="G4" s="2267"/>
    </row>
    <row r="5" spans="1:7" ht="15">
      <c r="A5" s="408"/>
      <c r="B5" s="408"/>
      <c r="C5" s="408"/>
      <c r="D5" s="1398"/>
      <c r="E5" s="1" t="s">
        <v>678</v>
      </c>
      <c r="F5" s="1"/>
      <c r="G5" s="1"/>
    </row>
    <row r="6" ht="14.25">
      <c r="B6" s="411" t="str">
        <f>'4.1'!B6</f>
        <v>Усть-Камчатское муниципальное образование</v>
      </c>
    </row>
    <row r="7" spans="1:7" ht="30" customHeight="1">
      <c r="A7" s="2266" t="s">
        <v>1626</v>
      </c>
      <c r="B7" s="2266" t="s">
        <v>1627</v>
      </c>
      <c r="C7" s="2265" t="s">
        <v>161</v>
      </c>
      <c r="D7" s="2265" t="s">
        <v>1628</v>
      </c>
      <c r="E7" s="2265"/>
      <c r="F7" s="2265"/>
      <c r="G7" s="2265"/>
    </row>
    <row r="8" spans="1:7" ht="15" customHeight="1">
      <c r="A8" s="2266"/>
      <c r="B8" s="2266"/>
      <c r="C8" s="2265"/>
      <c r="D8" s="412">
        <v>2017</v>
      </c>
      <c r="E8" s="412">
        <v>2018</v>
      </c>
      <c r="F8" s="412">
        <v>2019</v>
      </c>
      <c r="G8" s="412" t="s">
        <v>1629</v>
      </c>
    </row>
    <row r="9" spans="1:7" ht="14.25">
      <c r="A9" s="400">
        <v>1</v>
      </c>
      <c r="B9" s="400">
        <v>2</v>
      </c>
      <c r="C9" s="398">
        <v>3</v>
      </c>
      <c r="D9" s="400">
        <v>4</v>
      </c>
      <c r="E9" s="400">
        <v>5</v>
      </c>
      <c r="F9" s="398">
        <v>6</v>
      </c>
      <c r="G9" s="400">
        <v>7</v>
      </c>
    </row>
    <row r="10" spans="1:7" ht="30.75" customHeight="1">
      <c r="A10" s="401" t="s">
        <v>1017</v>
      </c>
      <c r="B10" s="402" t="s">
        <v>1630</v>
      </c>
      <c r="C10" s="396"/>
      <c r="D10" s="732">
        <v>1.063</v>
      </c>
      <c r="E10" s="732">
        <v>1.059</v>
      </c>
      <c r="F10" s="732">
        <v>1.059</v>
      </c>
      <c r="G10" s="732"/>
    </row>
    <row r="11" spans="1:7" ht="30" customHeight="1">
      <c r="A11" s="401" t="s">
        <v>1010</v>
      </c>
      <c r="B11" s="402" t="s">
        <v>1631</v>
      </c>
      <c r="C11" s="410" t="s">
        <v>1307</v>
      </c>
      <c r="D11" s="396"/>
      <c r="E11" s="396"/>
      <c r="F11" s="396"/>
      <c r="G11" s="396"/>
    </row>
    <row r="12" spans="1:7" ht="30.75" customHeight="1">
      <c r="A12" s="401" t="s">
        <v>1012</v>
      </c>
      <c r="B12" s="402" t="s">
        <v>1632</v>
      </c>
      <c r="C12" s="396"/>
      <c r="D12" s="396"/>
      <c r="E12" s="396"/>
      <c r="F12" s="396"/>
      <c r="G12" s="396"/>
    </row>
    <row r="13" spans="1:7" ht="60.75" customHeight="1">
      <c r="A13" s="401" t="s">
        <v>1014</v>
      </c>
      <c r="B13" s="402" t="s">
        <v>1633</v>
      </c>
      <c r="C13" s="410" t="s">
        <v>1634</v>
      </c>
      <c r="D13" s="396"/>
      <c r="E13" s="396"/>
      <c r="F13" s="396"/>
      <c r="G13" s="396"/>
    </row>
    <row r="14" spans="1:7" ht="30" customHeight="1">
      <c r="A14" s="401" t="s">
        <v>1015</v>
      </c>
      <c r="B14" s="402" t="s">
        <v>1635</v>
      </c>
      <c r="C14" s="410" t="s">
        <v>1312</v>
      </c>
      <c r="D14" s="810">
        <f>'3.1'!E57</f>
        <v>0</v>
      </c>
      <c r="E14" s="810">
        <f>'3.1'!F57</f>
        <v>0</v>
      </c>
      <c r="F14" s="810">
        <f>'3.1'!G57</f>
        <v>0</v>
      </c>
      <c r="G14" s="396"/>
    </row>
    <row r="15" spans="1:7" ht="30" customHeight="1">
      <c r="A15" s="401" t="s">
        <v>1018</v>
      </c>
      <c r="B15" s="402" t="s">
        <v>1636</v>
      </c>
      <c r="C15" s="410"/>
      <c r="D15" s="396"/>
      <c r="E15" s="396"/>
      <c r="F15" s="396"/>
      <c r="G15" s="396"/>
    </row>
    <row r="16" spans="1:7" ht="30.75" customHeight="1">
      <c r="A16" s="401" t="s">
        <v>1019</v>
      </c>
      <c r="B16" s="402" t="s">
        <v>1637</v>
      </c>
      <c r="C16" s="410" t="s">
        <v>1021</v>
      </c>
      <c r="D16" s="734">
        <f>'5.1'!C29</f>
        <v>8980.19536151856</v>
      </c>
      <c r="E16" s="734">
        <f>'5.1'!D29</f>
        <v>9444.108962402079</v>
      </c>
      <c r="F16" s="734">
        <f>'5.1'!E29</f>
        <v>10053.440373254194</v>
      </c>
      <c r="G16" s="396"/>
    </row>
    <row r="17" spans="1:7" ht="14.25">
      <c r="A17" s="433"/>
      <c r="B17" s="434"/>
      <c r="C17" s="130"/>
      <c r="D17" s="115"/>
      <c r="E17" s="115"/>
      <c r="F17" s="115"/>
      <c r="G17" s="115"/>
    </row>
    <row r="18" spans="1:7" ht="14.25">
      <c r="A18" s="433"/>
      <c r="B18" s="434"/>
      <c r="C18" s="130"/>
      <c r="D18" s="115"/>
      <c r="E18" s="115"/>
      <c r="F18" s="115"/>
      <c r="G18" s="115"/>
    </row>
    <row r="19" spans="1:7" ht="14.25" customHeight="1">
      <c r="A19" s="433"/>
      <c r="B19" s="434" t="s">
        <v>1187</v>
      </c>
      <c r="C19" s="2269" t="s">
        <v>1652</v>
      </c>
      <c r="D19" s="2269"/>
      <c r="E19" s="2269"/>
      <c r="F19" s="2269"/>
      <c r="G19" s="2269"/>
    </row>
    <row r="21" spans="1:105" ht="14.25" hidden="1">
      <c r="A21" s="413" t="s">
        <v>1639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</row>
    <row r="22" spans="1:105" ht="30" customHeight="1" hidden="1">
      <c r="A22" s="414"/>
      <c r="B22" s="2264" t="s">
        <v>540</v>
      </c>
      <c r="C22" s="2264"/>
      <c r="D22" s="2264"/>
      <c r="E22" s="2264"/>
      <c r="F22" s="2264"/>
      <c r="G22" s="2264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</row>
    <row r="23" spans="1:106" ht="45" customHeight="1" hidden="1">
      <c r="A23" s="414" t="s">
        <v>871</v>
      </c>
      <c r="B23" s="2264" t="s">
        <v>541</v>
      </c>
      <c r="C23" s="2264"/>
      <c r="D23" s="2264"/>
      <c r="E23" s="2264"/>
      <c r="F23" s="2264"/>
      <c r="G23" s="2264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</row>
    <row r="24" spans="1:106" ht="31.5" customHeight="1" hidden="1">
      <c r="A24" s="414" t="s">
        <v>872</v>
      </c>
      <c r="B24" s="2264" t="s">
        <v>542</v>
      </c>
      <c r="C24" s="2264"/>
      <c r="D24" s="2264"/>
      <c r="E24" s="2264"/>
      <c r="F24" s="2264"/>
      <c r="G24" s="2264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</row>
    <row r="25" spans="1:106" ht="46.5" customHeight="1" hidden="1">
      <c r="A25" s="414" t="s">
        <v>539</v>
      </c>
      <c r="B25" s="2264" t="s">
        <v>543</v>
      </c>
      <c r="C25" s="2264"/>
      <c r="D25" s="2264"/>
      <c r="E25" s="2264"/>
      <c r="F25" s="2264"/>
      <c r="G25" s="2264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</row>
  </sheetData>
  <sheetProtection/>
  <protectedRanges>
    <protectedRange password="CC01" sqref="H1:I1" name="Диапазон1_1"/>
  </protectedRanges>
  <mergeCells count="11">
    <mergeCell ref="A7:A8"/>
    <mergeCell ref="A4:G4"/>
    <mergeCell ref="F1:G1"/>
    <mergeCell ref="B22:G22"/>
    <mergeCell ref="C19:G19"/>
    <mergeCell ref="B25:G25"/>
    <mergeCell ref="D7:G7"/>
    <mergeCell ref="C7:C8"/>
    <mergeCell ref="B7:B8"/>
    <mergeCell ref="B23:G23"/>
    <mergeCell ref="B24:G24"/>
  </mergeCells>
  <printOptions horizontalCentered="1"/>
  <pageMargins left="1.1023622047244095" right="0.7086614173228347" top="0.7480314960629921" bottom="0.7480314960629921" header="0.31496062992125984" footer="0.31496062992125984"/>
  <pageSetup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EP35"/>
  <sheetViews>
    <sheetView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5.421875" style="0" customWidth="1"/>
    <col min="2" max="2" width="36.57421875" style="0" customWidth="1"/>
    <col min="3" max="3" width="13.140625" style="0" customWidth="1"/>
    <col min="4" max="4" width="12.28125" style="0" customWidth="1"/>
    <col min="5" max="6" width="12.57421875" style="0" customWidth="1"/>
    <col min="7" max="7" width="11.8515625" style="0" customWidth="1"/>
    <col min="8" max="8" width="13.28125" style="0" customWidth="1"/>
  </cols>
  <sheetData>
    <row r="1" spans="1:8" ht="14.25">
      <c r="A1" t="str">
        <f>'4.1'!B2</f>
        <v>Теплоснабжающая организация: ООО "Строй-Альянс"</v>
      </c>
      <c r="G1" s="2092" t="s">
        <v>902</v>
      </c>
      <c r="H1" s="2092"/>
    </row>
    <row r="2" spans="1:4" ht="14.25">
      <c r="A2" s="1011" t="str">
        <f>'4.1'!B3</f>
        <v>Базовый период/Период регулирования:2016/2017-2019 г.г.</v>
      </c>
      <c r="B2" s="1011"/>
      <c r="C2" s="1011"/>
      <c r="D2" s="1011"/>
    </row>
    <row r="3" spans="6:8" ht="14.25">
      <c r="F3" s="1399"/>
      <c r="G3" s="184" t="s">
        <v>679</v>
      </c>
      <c r="H3" s="1"/>
    </row>
    <row r="4" ht="17.25">
      <c r="A4" s="415" t="s">
        <v>1590</v>
      </c>
    </row>
    <row r="5" ht="17.25">
      <c r="A5" s="415"/>
    </row>
    <row r="6" spans="1:8" ht="14.25">
      <c r="A6" s="411" t="str">
        <f>'4.1'!B6</f>
        <v>Усть-Камчатское муниципальное образование</v>
      </c>
      <c r="H6" t="s">
        <v>895</v>
      </c>
    </row>
    <row r="7" spans="1:8" ht="14.25">
      <c r="A7" s="396"/>
      <c r="B7" s="736"/>
      <c r="C7" s="2270" t="s">
        <v>1007</v>
      </c>
      <c r="D7" s="2271"/>
      <c r="E7" s="2271"/>
      <c r="F7" s="2271"/>
      <c r="G7" s="2271"/>
      <c r="H7" s="2272"/>
    </row>
    <row r="8" spans="1:8" s="39" customFormat="1" ht="110.25">
      <c r="A8" s="158" t="s">
        <v>1626</v>
      </c>
      <c r="B8" s="158" t="s">
        <v>742</v>
      </c>
      <c r="C8" s="737" t="s">
        <v>544</v>
      </c>
      <c r="D8" s="737" t="s">
        <v>87</v>
      </c>
      <c r="E8" s="737" t="s">
        <v>545</v>
      </c>
      <c r="F8" s="737" t="s">
        <v>88</v>
      </c>
      <c r="G8" s="737" t="s">
        <v>546</v>
      </c>
      <c r="H8" s="737" t="s">
        <v>89</v>
      </c>
    </row>
    <row r="9" spans="1:8" s="39" customFormat="1" ht="14.25">
      <c r="A9" s="400">
        <v>1</v>
      </c>
      <c r="B9" s="400">
        <v>2</v>
      </c>
      <c r="C9" s="398">
        <v>3</v>
      </c>
      <c r="D9" s="400">
        <v>4</v>
      </c>
      <c r="E9" s="400">
        <v>5</v>
      </c>
      <c r="F9" s="398">
        <v>6</v>
      </c>
      <c r="G9" s="400">
        <v>7</v>
      </c>
      <c r="H9" s="400">
        <v>8</v>
      </c>
    </row>
    <row r="10" spans="1:8" ht="50.25" customHeight="1">
      <c r="A10" s="401" t="s">
        <v>1009</v>
      </c>
      <c r="B10" s="402" t="s">
        <v>896</v>
      </c>
      <c r="C10" s="1469"/>
      <c r="D10" s="1469"/>
      <c r="E10" s="1469"/>
      <c r="F10" s="1469"/>
      <c r="G10" s="1469"/>
      <c r="H10" s="1469"/>
    </row>
    <row r="11" spans="1:8" ht="14.25">
      <c r="A11" s="401" t="s">
        <v>145</v>
      </c>
      <c r="B11" s="402" t="s">
        <v>1619</v>
      </c>
      <c r="C11" s="1469"/>
      <c r="D11" s="735">
        <f>'4.6 Смета'!I80</f>
        <v>162</v>
      </c>
      <c r="E11" s="1469"/>
      <c r="F11" s="735">
        <f>'4.6 Смета'!L80</f>
        <v>162</v>
      </c>
      <c r="G11" s="1469"/>
      <c r="H11" s="735">
        <f>'4.6 Смета'!O80</f>
        <v>162</v>
      </c>
    </row>
    <row r="12" spans="1:8" ht="14.25">
      <c r="A12" s="401" t="s">
        <v>146</v>
      </c>
      <c r="B12" s="402" t="s">
        <v>547</v>
      </c>
      <c r="C12" s="1469"/>
      <c r="D12" s="1469"/>
      <c r="E12" s="1469"/>
      <c r="F12" s="1469"/>
      <c r="G12" s="1469"/>
      <c r="H12" s="1469"/>
    </row>
    <row r="13" spans="1:8" ht="41.25">
      <c r="A13" s="401" t="s">
        <v>631</v>
      </c>
      <c r="B13" s="402" t="s">
        <v>885</v>
      </c>
      <c r="C13" s="1469"/>
      <c r="D13" s="735">
        <f>SUM(D14:D16)</f>
        <v>0</v>
      </c>
      <c r="E13" s="735"/>
      <c r="F13" s="735">
        <f>SUM(F14:F16)</f>
        <v>0</v>
      </c>
      <c r="G13" s="735"/>
      <c r="H13" s="735">
        <f>SUM(H14:H16)</f>
        <v>0</v>
      </c>
    </row>
    <row r="14" spans="1:8" ht="96">
      <c r="A14" s="401" t="s">
        <v>917</v>
      </c>
      <c r="B14" s="402" t="s">
        <v>886</v>
      </c>
      <c r="C14" s="396"/>
      <c r="D14" s="396"/>
      <c r="E14" s="396"/>
      <c r="F14" s="396"/>
      <c r="G14" s="396"/>
      <c r="H14" s="396"/>
    </row>
    <row r="15" spans="1:8" ht="14.25">
      <c r="A15" s="401" t="s">
        <v>918</v>
      </c>
      <c r="B15" s="402" t="s">
        <v>887</v>
      </c>
      <c r="C15" s="396"/>
      <c r="D15" s="738"/>
      <c r="E15" s="396"/>
      <c r="F15" s="738"/>
      <c r="G15" s="396"/>
      <c r="H15" s="738"/>
    </row>
    <row r="16" spans="1:8" ht="14.25">
      <c r="A16" s="401" t="s">
        <v>888</v>
      </c>
      <c r="B16" s="402" t="s">
        <v>660</v>
      </c>
      <c r="C16" s="396"/>
      <c r="D16" s="396"/>
      <c r="E16" s="396"/>
      <c r="F16" s="396"/>
      <c r="G16" s="396"/>
      <c r="H16" s="396"/>
    </row>
    <row r="17" spans="1:8" ht="14.25">
      <c r="A17" s="401" t="s">
        <v>632</v>
      </c>
      <c r="B17" s="402" t="s">
        <v>889</v>
      </c>
      <c r="C17" s="1469"/>
      <c r="D17" s="735">
        <f>'4.6 Смета'!I26</f>
        <v>1916.685087178605</v>
      </c>
      <c r="E17" s="1469"/>
      <c r="F17" s="735">
        <f>'4.6 Смета'!L26</f>
        <v>2022.102766973428</v>
      </c>
      <c r="G17" s="1469"/>
      <c r="H17" s="735">
        <f>'4.6 Смета'!O26</f>
        <v>2133.3184191569667</v>
      </c>
    </row>
    <row r="18" spans="1:8" ht="15" customHeight="1">
      <c r="A18" s="401" t="s">
        <v>633</v>
      </c>
      <c r="B18" s="402" t="s">
        <v>890</v>
      </c>
      <c r="C18" s="1469"/>
      <c r="D18" s="735">
        <f>'4.6 Смета'!I100</f>
        <v>0</v>
      </c>
      <c r="E18" s="1469"/>
      <c r="F18" s="735">
        <f>'4.6 Смета'!L100</f>
        <v>0</v>
      </c>
      <c r="G18" s="1469"/>
      <c r="H18" s="735">
        <f>'4.6 Смета'!O100</f>
        <v>0</v>
      </c>
    </row>
    <row r="19" spans="1:8" ht="27">
      <c r="A19" s="401" t="s">
        <v>634</v>
      </c>
      <c r="B19" s="402" t="s">
        <v>891</v>
      </c>
      <c r="C19" s="1469"/>
      <c r="D19" s="735">
        <f>'4.6 Смета'!I24</f>
        <v>311</v>
      </c>
      <c r="E19" s="1469"/>
      <c r="F19" s="735">
        <f>'4.6 Смета'!L24</f>
        <v>205</v>
      </c>
      <c r="G19" s="1469"/>
      <c r="H19" s="735">
        <f>'4.6 Смета'!O24</f>
        <v>236</v>
      </c>
    </row>
    <row r="20" spans="1:8" ht="41.25">
      <c r="A20" s="401" t="s">
        <v>635</v>
      </c>
      <c r="B20" s="402" t="s">
        <v>892</v>
      </c>
      <c r="C20" s="1469"/>
      <c r="D20" s="1469"/>
      <c r="E20" s="1469"/>
      <c r="F20" s="1469"/>
      <c r="G20" s="1469"/>
      <c r="H20" s="1469"/>
    </row>
    <row r="21" spans="1:8" ht="14.25">
      <c r="A21" s="401" t="s">
        <v>212</v>
      </c>
      <c r="B21" s="402" t="s">
        <v>1620</v>
      </c>
      <c r="C21" s="1469"/>
      <c r="D21" s="735">
        <f>D22</f>
        <v>58.464999999999996</v>
      </c>
      <c r="E21" s="1469"/>
      <c r="F21" s="735">
        <f>F22</f>
        <v>61.91443499999999</v>
      </c>
      <c r="G21" s="1469"/>
      <c r="H21" s="735">
        <f>H22</f>
        <v>65.56738666499999</v>
      </c>
    </row>
    <row r="22" spans="1:8" ht="14.25">
      <c r="A22" s="401" t="s">
        <v>93</v>
      </c>
      <c r="B22" s="403" t="s">
        <v>1741</v>
      </c>
      <c r="C22" s="396"/>
      <c r="D22" s="734">
        <f>'4.6 Смета'!I103</f>
        <v>58.464999999999996</v>
      </c>
      <c r="E22" s="396"/>
      <c r="F22" s="734">
        <f>'4.6 Смета'!L103</f>
        <v>61.91443499999999</v>
      </c>
      <c r="G22" s="396"/>
      <c r="H22" s="734">
        <f>'4.6 Смета'!O103</f>
        <v>65.56738666499999</v>
      </c>
    </row>
    <row r="23" spans="1:8" ht="14.25">
      <c r="A23" s="401"/>
      <c r="B23" s="402" t="s">
        <v>893</v>
      </c>
      <c r="C23" s="734"/>
      <c r="D23" s="734">
        <f>SUM(D10:D13)+SUM(D17:D21)</f>
        <v>2448.150087178605</v>
      </c>
      <c r="E23" s="734"/>
      <c r="F23" s="734">
        <f>SUM(F10:F13)+SUM(F17:F21)</f>
        <v>2451.017201973428</v>
      </c>
      <c r="G23" s="734"/>
      <c r="H23" s="734">
        <f>SUM(H10:H13)+SUM(H17:H21)</f>
        <v>2596.8858058219666</v>
      </c>
    </row>
    <row r="24" spans="1:8" ht="14.25">
      <c r="A24" s="401" t="s">
        <v>1010</v>
      </c>
      <c r="B24" s="402" t="s">
        <v>1001</v>
      </c>
      <c r="C24" s="734"/>
      <c r="D24" s="734">
        <f>'4.6 Смета'!I114</f>
        <v>100</v>
      </c>
      <c r="E24" s="734"/>
      <c r="F24" s="734">
        <f>'4.6 Смета'!L114</f>
        <v>100</v>
      </c>
      <c r="G24" s="734"/>
      <c r="H24" s="734">
        <f>'4.6 Смета'!O114</f>
        <v>100</v>
      </c>
    </row>
    <row r="25" spans="1:8" ht="64.5" customHeight="1">
      <c r="A25" s="401" t="s">
        <v>1012</v>
      </c>
      <c r="B25" s="402" t="s">
        <v>897</v>
      </c>
      <c r="C25" s="734"/>
      <c r="D25" s="734"/>
      <c r="E25" s="734"/>
      <c r="F25" s="734"/>
      <c r="G25" s="734"/>
      <c r="H25" s="734"/>
    </row>
    <row r="26" spans="1:8" ht="15" customHeight="1">
      <c r="A26" s="401" t="s">
        <v>1018</v>
      </c>
      <c r="B26" s="1464" t="s">
        <v>894</v>
      </c>
      <c r="C26" s="735"/>
      <c r="D26" s="735">
        <f>SUM(D23:D25)</f>
        <v>2548.150087178605</v>
      </c>
      <c r="E26" s="735"/>
      <c r="F26" s="735">
        <f>SUM(F23:F25)</f>
        <v>2551.017201973428</v>
      </c>
      <c r="G26" s="735"/>
      <c r="H26" s="735">
        <f>SUM(H23:H25)</f>
        <v>2696.8858058219666</v>
      </c>
    </row>
    <row r="27" spans="1:8" ht="15" customHeight="1">
      <c r="A27" s="433"/>
      <c r="B27" s="434"/>
      <c r="C27" s="115"/>
      <c r="D27" s="115"/>
      <c r="E27" s="115"/>
      <c r="F27" s="115"/>
      <c r="G27" s="115"/>
      <c r="H27" s="115"/>
    </row>
    <row r="28" spans="1:8" ht="15" customHeight="1">
      <c r="A28" s="433"/>
      <c r="B28" s="434"/>
      <c r="C28" s="115"/>
      <c r="D28" s="115"/>
      <c r="E28" s="115"/>
      <c r="F28" s="115"/>
      <c r="G28" s="115"/>
      <c r="H28" s="115"/>
    </row>
    <row r="29" spans="1:8" ht="15" customHeight="1">
      <c r="A29" s="433"/>
      <c r="B29" s="2273" t="s">
        <v>1613</v>
      </c>
      <c r="C29" s="2273"/>
      <c r="D29" s="2273"/>
      <c r="E29" s="2273"/>
      <c r="F29" s="2273"/>
      <c r="G29" s="2273"/>
      <c r="H29" s="115"/>
    </row>
    <row r="31" ht="14.25">
      <c r="B31" t="s">
        <v>35</v>
      </c>
    </row>
    <row r="32" spans="1:146" ht="14.25">
      <c r="A32" s="405" t="s">
        <v>637</v>
      </c>
      <c r="B32" s="1951" t="s">
        <v>898</v>
      </c>
      <c r="C32" s="1951"/>
      <c r="D32" s="1951"/>
      <c r="E32" s="1951"/>
      <c r="F32" s="1951"/>
      <c r="G32" s="1951"/>
      <c r="H32" s="1951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</row>
    <row r="33" spans="1:146" ht="14.25">
      <c r="A33" s="405" t="s">
        <v>639</v>
      </c>
      <c r="B33" s="2145" t="s">
        <v>899</v>
      </c>
      <c r="C33" s="2145"/>
      <c r="D33" s="2145"/>
      <c r="E33" s="2145"/>
      <c r="F33" s="2145"/>
      <c r="G33" s="2145"/>
      <c r="H33" s="2145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</row>
    <row r="34" spans="1:146" ht="29.25" customHeight="1">
      <c r="A34" s="405" t="s">
        <v>640</v>
      </c>
      <c r="B34" s="1951" t="s">
        <v>900</v>
      </c>
      <c r="C34" s="1951"/>
      <c r="D34" s="1951"/>
      <c r="E34" s="1951"/>
      <c r="F34" s="1951"/>
      <c r="G34" s="1951"/>
      <c r="H34" s="1951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</row>
    <row r="35" spans="1:146" ht="30.75" customHeight="1">
      <c r="A35" s="405" t="s">
        <v>641</v>
      </c>
      <c r="B35" s="1951" t="s">
        <v>901</v>
      </c>
      <c r="C35" s="1951"/>
      <c r="D35" s="1951"/>
      <c r="E35" s="1951"/>
      <c r="F35" s="1951"/>
      <c r="G35" s="1951"/>
      <c r="H35" s="1951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</row>
  </sheetData>
  <sheetProtection/>
  <mergeCells count="7">
    <mergeCell ref="B34:H34"/>
    <mergeCell ref="B35:H35"/>
    <mergeCell ref="G1:H1"/>
    <mergeCell ref="B32:H32"/>
    <mergeCell ref="B33:H33"/>
    <mergeCell ref="C7:H7"/>
    <mergeCell ref="B29:G29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5"/>
  <sheetViews>
    <sheetView view="pageBreakPreview" zoomScale="85" zoomScaleSheetLayoutView="85" workbookViewId="0" topLeftCell="A1">
      <pane xSplit="3" ySplit="7" topLeftCell="D13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A1" sqref="A1"/>
    </sheetView>
  </sheetViews>
  <sheetFormatPr defaultColWidth="9.140625" defaultRowHeight="15" outlineLevelRow="1"/>
  <cols>
    <col min="1" max="1" width="7.421875" style="0" customWidth="1"/>
    <col min="2" max="2" width="49.28125" style="40" customWidth="1"/>
    <col min="3" max="3" width="12.140625" style="40" customWidth="1"/>
    <col min="4" max="4" width="16.7109375" style="39" customWidth="1"/>
    <col min="5" max="5" width="12.57421875" style="0" customWidth="1"/>
    <col min="6" max="6" width="12.8515625" style="0" customWidth="1"/>
    <col min="7" max="7" width="11.421875" style="0" customWidth="1"/>
  </cols>
  <sheetData>
    <row r="1" spans="1:10" ht="14.25">
      <c r="A1" s="1" t="s">
        <v>1143</v>
      </c>
      <c r="E1" s="194" t="s">
        <v>658</v>
      </c>
      <c r="F1" s="195"/>
      <c r="H1" s="1012"/>
      <c r="I1" s="508"/>
      <c r="J1" s="1638"/>
    </row>
    <row r="2" spans="1:10" ht="14.25">
      <c r="A2" s="1" t="s">
        <v>1150</v>
      </c>
      <c r="E2" s="39"/>
      <c r="H2" s="1639"/>
      <c r="I2" s="1639"/>
      <c r="J2" s="1639"/>
    </row>
    <row r="3" spans="5:10" ht="14.25">
      <c r="E3" s="39"/>
      <c r="H3" s="1639"/>
      <c r="I3" s="1639"/>
      <c r="J3" s="1639"/>
    </row>
    <row r="4" spans="1:10" ht="16.5">
      <c r="A4" s="2079" t="s">
        <v>659</v>
      </c>
      <c r="B4" s="2079"/>
      <c r="C4" s="2079"/>
      <c r="D4" s="2079"/>
      <c r="E4" s="2079"/>
      <c r="H4" s="1638"/>
      <c r="I4" s="1638"/>
      <c r="J4" s="1638"/>
    </row>
    <row r="5" spans="1:10" ht="14.25">
      <c r="A5" s="308" t="str">
        <f>'[6]Реестр'!A5</f>
        <v>Усть-Камчатское сельское поселение</v>
      </c>
      <c r="E5" s="39"/>
      <c r="H5" s="1638"/>
      <c r="I5" s="1638"/>
      <c r="J5" s="1638"/>
    </row>
    <row r="6" spans="1:10" ht="30" customHeight="1">
      <c r="A6" s="2042" t="s">
        <v>652</v>
      </c>
      <c r="B6" s="2040" t="s">
        <v>162</v>
      </c>
      <c r="C6" s="2040" t="s">
        <v>161</v>
      </c>
      <c r="D6" s="196" t="s">
        <v>1005</v>
      </c>
      <c r="E6" s="2047" t="s">
        <v>158</v>
      </c>
      <c r="F6" s="2047"/>
      <c r="G6" s="2047"/>
      <c r="H6" s="1637"/>
      <c r="I6" s="1637"/>
      <c r="J6" s="1637"/>
    </row>
    <row r="7" spans="1:10" ht="27">
      <c r="A7" s="2042"/>
      <c r="B7" s="2041"/>
      <c r="C7" s="2041"/>
      <c r="D7" s="196" t="s">
        <v>1151</v>
      </c>
      <c r="E7" s="197" t="s">
        <v>1567</v>
      </c>
      <c r="F7" s="197" t="s">
        <v>1568</v>
      </c>
      <c r="G7" s="197" t="s">
        <v>815</v>
      </c>
      <c r="H7" s="1638"/>
      <c r="I7" s="1638"/>
      <c r="J7" s="1638"/>
    </row>
    <row r="8" spans="1:10" ht="14.25">
      <c r="A8" s="197">
        <v>1</v>
      </c>
      <c r="B8" s="198">
        <v>2</v>
      </c>
      <c r="C8" s="198">
        <v>3</v>
      </c>
      <c r="D8" s="193">
        <v>4</v>
      </c>
      <c r="E8" s="193">
        <v>5</v>
      </c>
      <c r="F8" s="198">
        <v>6</v>
      </c>
      <c r="G8" s="545">
        <v>7</v>
      </c>
      <c r="H8" s="1637"/>
      <c r="I8" s="1637"/>
      <c r="J8" s="1637"/>
    </row>
    <row r="9" spans="1:10" ht="27.75">
      <c r="A9" s="149">
        <v>1</v>
      </c>
      <c r="B9" s="152" t="s">
        <v>163</v>
      </c>
      <c r="C9" s="196" t="s">
        <v>164</v>
      </c>
      <c r="D9" s="193"/>
      <c r="E9" s="193"/>
      <c r="F9" s="363"/>
      <c r="G9" s="363"/>
      <c r="H9" s="1638"/>
      <c r="I9" s="1638"/>
      <c r="J9" s="1638"/>
    </row>
    <row r="10" spans="1:10" ht="14.25">
      <c r="A10" s="199" t="s">
        <v>1009</v>
      </c>
      <c r="B10" s="200" t="s">
        <v>165</v>
      </c>
      <c r="C10" s="196" t="s">
        <v>164</v>
      </c>
      <c r="D10" s="193"/>
      <c r="E10" s="193"/>
      <c r="F10" s="363"/>
      <c r="G10" s="363"/>
      <c r="H10" s="1637"/>
      <c r="I10" s="1637"/>
      <c r="J10" s="1637"/>
    </row>
    <row r="11" spans="1:10" ht="14.25">
      <c r="A11" s="199" t="s">
        <v>627</v>
      </c>
      <c r="B11" s="201" t="s">
        <v>166</v>
      </c>
      <c r="C11" s="196" t="s">
        <v>164</v>
      </c>
      <c r="D11" s="193"/>
      <c r="E11" s="193"/>
      <c r="F11" s="363"/>
      <c r="G11" s="363"/>
      <c r="H11" s="1638"/>
      <c r="I11" s="1638"/>
      <c r="J11" s="1638"/>
    </row>
    <row r="12" spans="1:10" ht="14.25">
      <c r="A12" s="199" t="s">
        <v>626</v>
      </c>
      <c r="B12" s="201" t="s">
        <v>167</v>
      </c>
      <c r="C12" s="196" t="s">
        <v>164</v>
      </c>
      <c r="D12" s="193"/>
      <c r="E12" s="193"/>
      <c r="F12" s="363"/>
      <c r="G12" s="363"/>
      <c r="H12" s="1637"/>
      <c r="I12" s="1637"/>
      <c r="J12" s="1637"/>
    </row>
    <row r="13" spans="1:10" ht="14.25">
      <c r="A13" s="202" t="s">
        <v>628</v>
      </c>
      <c r="B13" s="201" t="s">
        <v>168</v>
      </c>
      <c r="C13" s="196" t="s">
        <v>164</v>
      </c>
      <c r="D13" s="193"/>
      <c r="E13" s="193"/>
      <c r="F13" s="363"/>
      <c r="G13" s="363"/>
      <c r="H13" s="1638"/>
      <c r="I13" s="1638"/>
      <c r="J13" s="1638"/>
    </row>
    <row r="14" spans="1:10" ht="14.25">
      <c r="A14" s="199" t="s">
        <v>169</v>
      </c>
      <c r="B14" s="201" t="s">
        <v>1345</v>
      </c>
      <c r="C14" s="196" t="s">
        <v>164</v>
      </c>
      <c r="D14" s="193"/>
      <c r="E14" s="193"/>
      <c r="F14" s="363"/>
      <c r="G14" s="363"/>
      <c r="H14" s="1637"/>
      <c r="I14" s="1637"/>
      <c r="J14" s="1637"/>
    </row>
    <row r="15" spans="1:10" ht="14.25">
      <c r="A15" s="199" t="s">
        <v>1346</v>
      </c>
      <c r="B15" s="201" t="s">
        <v>1347</v>
      </c>
      <c r="C15" s="196" t="s">
        <v>164</v>
      </c>
      <c r="D15" s="193"/>
      <c r="E15" s="193"/>
      <c r="F15" s="363"/>
      <c r="G15" s="363"/>
      <c r="H15" s="1638"/>
      <c r="I15" s="1638"/>
      <c r="J15" s="1638"/>
    </row>
    <row r="16" spans="1:10" ht="14.25">
      <c r="A16" s="202" t="s">
        <v>145</v>
      </c>
      <c r="B16" s="200" t="s">
        <v>170</v>
      </c>
      <c r="C16" s="196" t="s">
        <v>164</v>
      </c>
      <c r="D16" s="193"/>
      <c r="E16" s="193"/>
      <c r="F16" s="363"/>
      <c r="G16" s="363"/>
      <c r="H16" s="1637"/>
      <c r="I16" s="1637"/>
      <c r="J16" s="1637"/>
    </row>
    <row r="17" spans="1:10" ht="14.25">
      <c r="A17" s="203" t="s">
        <v>629</v>
      </c>
      <c r="B17" s="201" t="s">
        <v>171</v>
      </c>
      <c r="C17" s="196" t="s">
        <v>164</v>
      </c>
      <c r="D17" s="193"/>
      <c r="E17" s="193"/>
      <c r="F17" s="363"/>
      <c r="G17" s="363"/>
      <c r="H17" s="1638"/>
      <c r="I17" s="1638"/>
      <c r="J17" s="1638"/>
    </row>
    <row r="18" spans="1:10" ht="14.25">
      <c r="A18" s="204" t="s">
        <v>172</v>
      </c>
      <c r="B18" s="201" t="s">
        <v>166</v>
      </c>
      <c r="C18" s="196" t="s">
        <v>164</v>
      </c>
      <c r="D18" s="193">
        <v>0.39</v>
      </c>
      <c r="E18" s="193">
        <v>0.39</v>
      </c>
      <c r="F18" s="193">
        <v>0.39</v>
      </c>
      <c r="G18" s="193">
        <v>0.39</v>
      </c>
      <c r="H18" s="1637"/>
      <c r="I18" s="1637"/>
      <c r="J18" s="1637"/>
    </row>
    <row r="19" spans="1:10" ht="14.25">
      <c r="A19" s="205" t="s">
        <v>173</v>
      </c>
      <c r="B19" s="201" t="s">
        <v>167</v>
      </c>
      <c r="C19" s="196" t="s">
        <v>164</v>
      </c>
      <c r="D19" s="193"/>
      <c r="E19" s="193"/>
      <c r="F19" s="363"/>
      <c r="G19" s="363"/>
      <c r="H19" s="1638"/>
      <c r="I19" s="1638"/>
      <c r="J19" s="1638"/>
    </row>
    <row r="20" spans="1:10" ht="14.25">
      <c r="A20" s="204" t="s">
        <v>174</v>
      </c>
      <c r="B20" s="201" t="s">
        <v>168</v>
      </c>
      <c r="C20" s="196" t="s">
        <v>164</v>
      </c>
      <c r="D20" s="193"/>
      <c r="E20" s="193"/>
      <c r="F20" s="363"/>
      <c r="G20" s="363"/>
      <c r="H20" s="1637"/>
      <c r="I20" s="1637"/>
      <c r="J20" s="1637"/>
    </row>
    <row r="21" spans="1:10" ht="14.25">
      <c r="A21" s="199" t="s">
        <v>175</v>
      </c>
      <c r="B21" s="201" t="s">
        <v>1345</v>
      </c>
      <c r="C21" s="196" t="s">
        <v>164</v>
      </c>
      <c r="D21" s="193"/>
      <c r="E21" s="193"/>
      <c r="F21" s="363"/>
      <c r="G21" s="363"/>
      <c r="H21" s="1638"/>
      <c r="I21" s="1638"/>
      <c r="J21" s="1638"/>
    </row>
    <row r="22" spans="1:10" ht="14.25">
      <c r="A22" s="204" t="s">
        <v>176</v>
      </c>
      <c r="B22" s="201" t="s">
        <v>1347</v>
      </c>
      <c r="C22" s="196" t="s">
        <v>164</v>
      </c>
      <c r="D22" s="193"/>
      <c r="E22" s="193"/>
      <c r="F22" s="363"/>
      <c r="G22" s="363"/>
      <c r="H22" s="1637"/>
      <c r="I22" s="1637"/>
      <c r="J22" s="1637"/>
    </row>
    <row r="23" spans="1:10" ht="14.25">
      <c r="A23" s="199" t="s">
        <v>630</v>
      </c>
      <c r="B23" s="201" t="s">
        <v>177</v>
      </c>
      <c r="C23" s="196" t="s">
        <v>164</v>
      </c>
      <c r="D23" s="193"/>
      <c r="E23" s="193"/>
      <c r="F23" s="363"/>
      <c r="G23" s="363"/>
      <c r="H23" s="1638"/>
      <c r="I23" s="1638"/>
      <c r="J23" s="1638"/>
    </row>
    <row r="24" spans="1:10" ht="14.25">
      <c r="A24" s="206" t="s">
        <v>178</v>
      </c>
      <c r="B24" s="201" t="s">
        <v>166</v>
      </c>
      <c r="C24" s="196" t="s">
        <v>164</v>
      </c>
      <c r="D24" s="193"/>
      <c r="E24" s="193"/>
      <c r="F24" s="363"/>
      <c r="G24" s="363"/>
      <c r="H24" s="1637"/>
      <c r="I24" s="1637"/>
      <c r="J24" s="1637"/>
    </row>
    <row r="25" spans="1:10" ht="14.25">
      <c r="A25" s="199" t="s">
        <v>179</v>
      </c>
      <c r="B25" s="201" t="s">
        <v>167</v>
      </c>
      <c r="C25" s="196" t="s">
        <v>164</v>
      </c>
      <c r="D25" s="193"/>
      <c r="E25" s="193"/>
      <c r="F25" s="363"/>
      <c r="G25" s="363"/>
      <c r="H25" s="1638"/>
      <c r="I25" s="1638"/>
      <c r="J25" s="1638"/>
    </row>
    <row r="26" spans="1:10" ht="14.25">
      <c r="A26" s="206" t="s">
        <v>180</v>
      </c>
      <c r="B26" s="201" t="s">
        <v>168</v>
      </c>
      <c r="C26" s="196" t="s">
        <v>164</v>
      </c>
      <c r="D26" s="193"/>
      <c r="E26" s="193"/>
      <c r="F26" s="363"/>
      <c r="G26" s="363"/>
      <c r="H26" s="1637"/>
      <c r="I26" s="1637"/>
      <c r="J26" s="1637"/>
    </row>
    <row r="27" spans="1:10" ht="14.25">
      <c r="A27" s="199" t="s">
        <v>181</v>
      </c>
      <c r="B27" s="201" t="s">
        <v>1345</v>
      </c>
      <c r="C27" s="196" t="s">
        <v>164</v>
      </c>
      <c r="D27" s="193"/>
      <c r="E27" s="193"/>
      <c r="F27" s="363"/>
      <c r="G27" s="363"/>
      <c r="H27" s="1638"/>
      <c r="I27" s="1638"/>
      <c r="J27" s="1638"/>
    </row>
    <row r="28" spans="1:10" ht="14.25">
      <c r="A28" s="206" t="s">
        <v>182</v>
      </c>
      <c r="B28" s="201" t="s">
        <v>1347</v>
      </c>
      <c r="C28" s="196" t="s">
        <v>164</v>
      </c>
      <c r="D28" s="193"/>
      <c r="E28" s="193"/>
      <c r="F28" s="363"/>
      <c r="G28" s="363"/>
      <c r="H28" s="1637"/>
      <c r="I28" s="1637"/>
      <c r="J28" s="1637"/>
    </row>
    <row r="29" spans="1:10" ht="27.75">
      <c r="A29" s="151" t="s">
        <v>1010</v>
      </c>
      <c r="B29" s="152" t="s">
        <v>183</v>
      </c>
      <c r="C29" s="134"/>
      <c r="D29" s="193"/>
      <c r="E29" s="193"/>
      <c r="F29" s="363"/>
      <c r="G29" s="363"/>
      <c r="H29" s="1638"/>
      <c r="I29" s="1638"/>
      <c r="J29" s="1638"/>
    </row>
    <row r="30" spans="1:10" ht="14.25">
      <c r="A30" s="199" t="s">
        <v>1011</v>
      </c>
      <c r="B30" s="200" t="s">
        <v>184</v>
      </c>
      <c r="C30" s="196"/>
      <c r="D30" s="193"/>
      <c r="E30" s="193"/>
      <c r="F30" s="363"/>
      <c r="G30" s="363"/>
      <c r="H30" s="1637"/>
      <c r="I30" s="1637"/>
      <c r="J30" s="1637"/>
    </row>
    <row r="31" spans="1:10" ht="27.75">
      <c r="A31" s="202" t="s">
        <v>185</v>
      </c>
      <c r="B31" s="200" t="s">
        <v>186</v>
      </c>
      <c r="C31" s="196" t="s">
        <v>1312</v>
      </c>
      <c r="D31" s="193"/>
      <c r="E31" s="193"/>
      <c r="F31" s="363"/>
      <c r="G31" s="363"/>
      <c r="H31" s="1638"/>
      <c r="I31" s="1638"/>
      <c r="J31" s="1638"/>
    </row>
    <row r="32" spans="1:10" ht="15" customHeight="1" hidden="1">
      <c r="A32" s="206"/>
      <c r="B32" s="200"/>
      <c r="C32" s="196"/>
      <c r="D32" s="193"/>
      <c r="E32" s="193"/>
      <c r="F32" s="363"/>
      <c r="G32" s="363"/>
      <c r="H32" s="1637"/>
      <c r="I32" s="1637"/>
      <c r="J32" s="1637"/>
    </row>
    <row r="33" spans="1:10" ht="15" customHeight="1" hidden="1">
      <c r="A33" s="206"/>
      <c r="B33" s="200"/>
      <c r="C33" s="196"/>
      <c r="D33" s="193"/>
      <c r="E33" s="193"/>
      <c r="F33" s="363"/>
      <c r="G33" s="363"/>
      <c r="H33" s="1638"/>
      <c r="I33" s="1638"/>
      <c r="J33" s="1638"/>
    </row>
    <row r="34" spans="1:10" ht="15" customHeight="1" hidden="1">
      <c r="A34" s="206"/>
      <c r="B34" s="200"/>
      <c r="C34" s="196"/>
      <c r="D34" s="193"/>
      <c r="E34" s="193"/>
      <c r="F34" s="363"/>
      <c r="G34" s="363"/>
      <c r="H34" s="1637"/>
      <c r="I34" s="1637"/>
      <c r="J34" s="1637"/>
    </row>
    <row r="35" spans="1:10" ht="14.25">
      <c r="A35" s="205" t="s">
        <v>1006</v>
      </c>
      <c r="B35" s="200" t="s">
        <v>187</v>
      </c>
      <c r="C35" s="134"/>
      <c r="D35" s="193"/>
      <c r="E35" s="193"/>
      <c r="F35" s="363"/>
      <c r="G35" s="363"/>
      <c r="H35" s="1638"/>
      <c r="I35" s="1638"/>
      <c r="J35" s="1638"/>
    </row>
    <row r="36" spans="1:10" ht="27.75">
      <c r="A36" s="151" t="s">
        <v>1012</v>
      </c>
      <c r="B36" s="153" t="s">
        <v>188</v>
      </c>
      <c r="C36" s="203"/>
      <c r="D36" s="193"/>
      <c r="E36" s="193"/>
      <c r="F36" s="363"/>
      <c r="G36" s="363"/>
      <c r="H36" s="1637"/>
      <c r="I36" s="1637"/>
      <c r="J36" s="1637"/>
    </row>
    <row r="37" spans="1:10" ht="21" customHeight="1">
      <c r="A37" s="206" t="s">
        <v>1014</v>
      </c>
      <c r="B37" s="200" t="s">
        <v>1144</v>
      </c>
      <c r="C37" s="203"/>
      <c r="D37" s="1644" t="s">
        <v>1145</v>
      </c>
      <c r="E37" s="1644" t="s">
        <v>1145</v>
      </c>
      <c r="F37" s="1644" t="s">
        <v>1145</v>
      </c>
      <c r="G37" s="1644" t="s">
        <v>1145</v>
      </c>
      <c r="H37" s="1638"/>
      <c r="I37" s="1638"/>
      <c r="J37" s="1638"/>
    </row>
    <row r="38" spans="1:10" ht="27.75">
      <c r="A38" s="199" t="s">
        <v>189</v>
      </c>
      <c r="B38" s="200" t="s">
        <v>1569</v>
      </c>
      <c r="C38" s="196" t="s">
        <v>1312</v>
      </c>
      <c r="D38" s="1645">
        <v>0.2</v>
      </c>
      <c r="E38" s="1645">
        <v>0.2</v>
      </c>
      <c r="F38" s="1645">
        <v>0.2</v>
      </c>
      <c r="G38" s="1645">
        <v>0.2</v>
      </c>
      <c r="H38" s="1637"/>
      <c r="I38" s="1637"/>
      <c r="J38" s="1637"/>
    </row>
    <row r="39" spans="1:10" ht="27.75">
      <c r="A39" s="199" t="s">
        <v>1169</v>
      </c>
      <c r="B39" s="200" t="s">
        <v>1570</v>
      </c>
      <c r="C39" s="196" t="s">
        <v>1312</v>
      </c>
      <c r="D39" s="1645">
        <v>0.2</v>
      </c>
      <c r="E39" s="1645">
        <v>0.2</v>
      </c>
      <c r="F39" s="1645">
        <v>0.2</v>
      </c>
      <c r="G39" s="1645">
        <v>0.2</v>
      </c>
      <c r="H39" s="1638"/>
      <c r="I39" s="1638"/>
      <c r="J39" s="1638"/>
    </row>
    <row r="40" spans="1:10" ht="17.25" customHeight="1">
      <c r="A40" s="199" t="s">
        <v>372</v>
      </c>
      <c r="B40" s="200" t="s">
        <v>1571</v>
      </c>
      <c r="C40" s="196" t="s">
        <v>1312</v>
      </c>
      <c r="D40" s="1646"/>
      <c r="E40" s="1646"/>
      <c r="F40" s="1646"/>
      <c r="G40" s="1646"/>
      <c r="H40" s="1637"/>
      <c r="I40" s="1637"/>
      <c r="J40" s="1637"/>
    </row>
    <row r="41" spans="1:10" ht="27.75">
      <c r="A41" s="206"/>
      <c r="B41" s="200" t="s">
        <v>1146</v>
      </c>
      <c r="C41" s="203"/>
      <c r="D41" s="1644" t="s">
        <v>1145</v>
      </c>
      <c r="E41" s="1644" t="s">
        <v>1145</v>
      </c>
      <c r="F41" s="1644" t="s">
        <v>1145</v>
      </c>
      <c r="G41" s="1644" t="s">
        <v>1145</v>
      </c>
      <c r="H41" s="1638"/>
      <c r="I41" s="1638"/>
      <c r="J41" s="1638"/>
    </row>
    <row r="42" spans="1:10" ht="27.75">
      <c r="A42" s="199" t="s">
        <v>374</v>
      </c>
      <c r="B42" s="200" t="s">
        <v>722</v>
      </c>
      <c r="C42" s="196" t="s">
        <v>1312</v>
      </c>
      <c r="D42" s="1647">
        <v>0.2</v>
      </c>
      <c r="E42" s="1647">
        <v>0.2</v>
      </c>
      <c r="F42" s="1647">
        <v>0.2</v>
      </c>
      <c r="G42" s="1647">
        <v>0.2</v>
      </c>
      <c r="H42" s="1637"/>
      <c r="I42" s="1637"/>
      <c r="J42" s="1637"/>
    </row>
    <row r="43" spans="1:10" ht="27.75">
      <c r="A43" s="199" t="s">
        <v>376</v>
      </c>
      <c r="B43" s="200" t="s">
        <v>723</v>
      </c>
      <c r="C43" s="196" t="s">
        <v>1312</v>
      </c>
      <c r="D43" s="1647">
        <v>0.2</v>
      </c>
      <c r="E43" s="1647">
        <v>0.2</v>
      </c>
      <c r="F43" s="1647">
        <v>0.2</v>
      </c>
      <c r="G43" s="1647">
        <v>0.2</v>
      </c>
      <c r="H43" s="1638"/>
      <c r="I43" s="1638"/>
      <c r="J43" s="1638"/>
    </row>
    <row r="44" spans="1:10" ht="27.75">
      <c r="A44" s="206"/>
      <c r="B44" s="200" t="s">
        <v>1147</v>
      </c>
      <c r="C44" s="203"/>
      <c r="D44" s="1647"/>
      <c r="E44" s="1647"/>
      <c r="F44" s="1647"/>
      <c r="G44" s="1647"/>
      <c r="H44" s="1637"/>
      <c r="I44" s="1637"/>
      <c r="J44" s="1637"/>
    </row>
    <row r="45" spans="1:10" ht="27.75">
      <c r="A45" s="199" t="s">
        <v>1572</v>
      </c>
      <c r="B45" s="200" t="s">
        <v>1148</v>
      </c>
      <c r="C45" s="196" t="s">
        <v>1312</v>
      </c>
      <c r="D45" s="1647">
        <v>0.2</v>
      </c>
      <c r="E45" s="1647">
        <v>0.2</v>
      </c>
      <c r="F45" s="1647">
        <v>0.2</v>
      </c>
      <c r="G45" s="1647">
        <v>0.2</v>
      </c>
      <c r="H45" s="1638"/>
      <c r="I45" s="1638"/>
      <c r="J45" s="1638"/>
    </row>
    <row r="46" spans="1:10" ht="15" customHeight="1" hidden="1">
      <c r="A46" s="199" t="s">
        <v>1573</v>
      </c>
      <c r="B46" s="200" t="s">
        <v>1149</v>
      </c>
      <c r="C46" s="196" t="s">
        <v>1312</v>
      </c>
      <c r="D46" s="1647"/>
      <c r="E46" s="1647"/>
      <c r="F46" s="1647"/>
      <c r="G46" s="1647"/>
      <c r="H46" s="1637"/>
      <c r="I46" s="1637"/>
      <c r="J46" s="1637"/>
    </row>
    <row r="47" spans="1:10" ht="15" customHeight="1" hidden="1">
      <c r="A47" s="199" t="s">
        <v>1169</v>
      </c>
      <c r="B47" s="200" t="s">
        <v>371</v>
      </c>
      <c r="C47" s="154"/>
      <c r="D47" s="1648"/>
      <c r="E47" s="1648"/>
      <c r="F47" s="1649"/>
      <c r="G47" s="1649"/>
      <c r="H47" s="1638"/>
      <c r="I47" s="1638"/>
      <c r="J47" s="1638"/>
    </row>
    <row r="48" spans="1:10" ht="15" customHeight="1" hidden="1">
      <c r="A48" s="199" t="s">
        <v>372</v>
      </c>
      <c r="B48" s="200" t="s">
        <v>373</v>
      </c>
      <c r="C48" s="154"/>
      <c r="D48" s="1648"/>
      <c r="E48" s="1648"/>
      <c r="F48" s="1649"/>
      <c r="G48" s="1649"/>
      <c r="H48" s="1637"/>
      <c r="I48" s="1637"/>
      <c r="J48" s="1637"/>
    </row>
    <row r="49" spans="1:10" ht="15" customHeight="1" hidden="1">
      <c r="A49" s="199" t="s">
        <v>374</v>
      </c>
      <c r="B49" s="200" t="s">
        <v>375</v>
      </c>
      <c r="C49" s="154"/>
      <c r="D49" s="1648"/>
      <c r="E49" s="1648"/>
      <c r="F49" s="1649"/>
      <c r="G49" s="1649"/>
      <c r="H49" s="1638"/>
      <c r="I49" s="1638"/>
      <c r="J49" s="1638"/>
    </row>
    <row r="50" spans="1:10" ht="15" customHeight="1" hidden="1">
      <c r="A50" s="199" t="s">
        <v>376</v>
      </c>
      <c r="B50" s="200" t="s">
        <v>377</v>
      </c>
      <c r="C50" s="154"/>
      <c r="D50" s="1648"/>
      <c r="E50" s="1648"/>
      <c r="F50" s="1649"/>
      <c r="G50" s="1649"/>
      <c r="H50" s="1637"/>
      <c r="I50" s="1637"/>
      <c r="J50" s="1637"/>
    </row>
    <row r="51" spans="1:10" ht="14.25">
      <c r="A51" s="206" t="s">
        <v>1006</v>
      </c>
      <c r="B51" s="200" t="s">
        <v>187</v>
      </c>
      <c r="C51" s="196" t="s">
        <v>1312</v>
      </c>
      <c r="D51" s="1648"/>
      <c r="E51" s="1648"/>
      <c r="F51" s="1649"/>
      <c r="G51" s="1649"/>
      <c r="H51" s="1638"/>
      <c r="I51" s="1638"/>
      <c r="J51" s="1638"/>
    </row>
    <row r="52" spans="1:10" ht="27.75">
      <c r="A52" s="149">
        <v>4</v>
      </c>
      <c r="B52" s="153" t="s">
        <v>190</v>
      </c>
      <c r="C52" s="196" t="s">
        <v>1312</v>
      </c>
      <c r="D52" s="1648"/>
      <c r="E52" s="1648"/>
      <c r="F52" s="1649"/>
      <c r="G52" s="1649"/>
      <c r="H52" s="1637"/>
      <c r="I52" s="1637"/>
      <c r="J52" s="1637"/>
    </row>
    <row r="53" spans="1:10" ht="14.25">
      <c r="A53" s="205" t="s">
        <v>602</v>
      </c>
      <c r="B53" s="207" t="s">
        <v>191</v>
      </c>
      <c r="C53" s="196" t="s">
        <v>1312</v>
      </c>
      <c r="D53" s="1648"/>
      <c r="E53" s="1648"/>
      <c r="F53" s="1649"/>
      <c r="G53" s="1649"/>
      <c r="H53" s="1638"/>
      <c r="I53" s="1638"/>
      <c r="J53" s="1638"/>
    </row>
    <row r="54" spans="1:10" ht="14.25">
      <c r="A54" s="199" t="s">
        <v>604</v>
      </c>
      <c r="B54" s="208" t="s">
        <v>192</v>
      </c>
      <c r="C54" s="203"/>
      <c r="D54" s="1648"/>
      <c r="E54" s="1648"/>
      <c r="F54" s="1649"/>
      <c r="G54" s="1649"/>
      <c r="H54" s="1637"/>
      <c r="I54" s="1637"/>
      <c r="J54" s="1637"/>
    </row>
    <row r="55" spans="1:10" ht="14.25">
      <c r="A55" s="199" t="s">
        <v>606</v>
      </c>
      <c r="B55" s="1636" t="s">
        <v>193</v>
      </c>
      <c r="C55" s="134" t="s">
        <v>1312</v>
      </c>
      <c r="D55" s="1650">
        <f>D38+D39+D40+D42+D43+D45+D46</f>
        <v>1</v>
      </c>
      <c r="E55" s="1650">
        <f>E38+E39+E40+E42+E43+E45+E46</f>
        <v>1</v>
      </c>
      <c r="F55" s="1650">
        <f>F38+F39+F40+F42+F43+F45+F46</f>
        <v>1</v>
      </c>
      <c r="G55" s="1650">
        <f>G38+G39+G40+G42+G43+G45+G46</f>
        <v>1</v>
      </c>
      <c r="H55" s="1638"/>
      <c r="I55" s="1638"/>
      <c r="J55" s="1638"/>
    </row>
    <row r="56" spans="1:10" ht="14.25">
      <c r="A56" s="202" t="s">
        <v>613</v>
      </c>
      <c r="B56" s="208" t="s">
        <v>194</v>
      </c>
      <c r="C56" s="196" t="s">
        <v>1312</v>
      </c>
      <c r="D56" s="193"/>
      <c r="E56" s="193"/>
      <c r="F56" s="363"/>
      <c r="G56" s="363"/>
      <c r="H56" s="1637"/>
      <c r="I56" s="1637"/>
      <c r="J56" s="1637"/>
    </row>
    <row r="57" spans="1:10" ht="14.25">
      <c r="A57" s="2046" t="s">
        <v>1357</v>
      </c>
      <c r="B57" s="2046"/>
      <c r="C57" s="2046"/>
      <c r="D57" s="2046"/>
      <c r="E57" s="2046"/>
      <c r="H57" s="1638"/>
      <c r="I57" s="1638"/>
      <c r="J57" s="1638"/>
    </row>
    <row r="58" spans="5:10" ht="14.25">
      <c r="E58" s="39"/>
      <c r="H58" s="1637"/>
      <c r="I58" s="1637"/>
      <c r="J58" s="1637"/>
    </row>
    <row r="59" spans="5:10" ht="30.75" customHeight="1" hidden="1" outlineLevel="1">
      <c r="E59" s="39"/>
      <c r="H59" s="1639"/>
      <c r="I59" s="1639"/>
      <c r="J59" s="1639"/>
    </row>
    <row r="60" spans="1:10" ht="14.25" collapsed="1">
      <c r="A60" s="195"/>
      <c r="B60" s="195"/>
      <c r="C60" s="195"/>
      <c r="D60" s="195"/>
      <c r="E60" s="195"/>
      <c r="H60" s="1639"/>
      <c r="I60" s="1639"/>
      <c r="J60" s="1639"/>
    </row>
    <row r="61" spans="1:10" ht="14.25">
      <c r="A61" s="195" t="s">
        <v>1494</v>
      </c>
      <c r="B61" s="195"/>
      <c r="C61" s="195"/>
      <c r="D61" s="195"/>
      <c r="E61" s="195"/>
      <c r="H61" s="1639"/>
      <c r="I61" s="1639"/>
      <c r="J61" s="1639"/>
    </row>
    <row r="62" spans="1:10" ht="14.25">
      <c r="A62" s="1642"/>
      <c r="B62" s="1642"/>
      <c r="C62" s="1642"/>
      <c r="D62" s="1642"/>
      <c r="E62" s="1637"/>
      <c r="F62" s="1637"/>
      <c r="G62" s="1637"/>
      <c r="H62" s="1637"/>
      <c r="I62" s="1637"/>
      <c r="J62" s="1637"/>
    </row>
    <row r="63" spans="1:10" ht="14.25">
      <c r="A63" s="1643"/>
      <c r="B63" s="1643"/>
      <c r="C63" s="1643"/>
      <c r="D63" s="1643"/>
      <c r="E63" s="1638"/>
      <c r="F63" s="1638"/>
      <c r="G63" s="1638"/>
      <c r="H63" s="1638"/>
      <c r="I63" s="1638"/>
      <c r="J63" s="1638"/>
    </row>
    <row r="64" spans="1:10" ht="14.25">
      <c r="A64" s="1638"/>
      <c r="B64" s="1640"/>
      <c r="C64" s="1640"/>
      <c r="D64" s="1641"/>
      <c r="E64" s="1638"/>
      <c r="F64" s="1638"/>
      <c r="G64" s="1638"/>
      <c r="H64" s="1638"/>
      <c r="I64" s="1638"/>
      <c r="J64" s="1638"/>
    </row>
    <row r="65" spans="1:10" ht="14.25">
      <c r="A65" s="1638"/>
      <c r="B65" s="1640"/>
      <c r="C65" s="1640"/>
      <c r="D65" s="1641"/>
      <c r="E65" s="1638"/>
      <c r="F65" s="1638"/>
      <c r="G65" s="1638"/>
      <c r="H65" s="1638"/>
      <c r="I65" s="1638"/>
      <c r="J65" s="1638"/>
    </row>
  </sheetData>
  <sheetProtection/>
  <protectedRanges>
    <protectedRange password="CC01" sqref="H1:I1" name="Диапазон1_1"/>
  </protectedRanges>
  <mergeCells count="6">
    <mergeCell ref="A4:E4"/>
    <mergeCell ref="A57:E57"/>
    <mergeCell ref="E6:G6"/>
    <mergeCell ref="C6:C7"/>
    <mergeCell ref="A6:A7"/>
    <mergeCell ref="B6:B7"/>
  </mergeCells>
  <printOptions/>
  <pageMargins left="0.7480314960629921" right="0.2755905511811024" top="0.7480314960629921" bottom="0.3937007874015748" header="0.31496062992125984" footer="0.31496062992125984"/>
  <pageSetup fitToHeight="1" fitToWidth="1"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EQ22"/>
  <sheetViews>
    <sheetView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4.140625" style="0" customWidth="1"/>
    <col min="2" max="2" width="23.00390625" style="0" customWidth="1"/>
    <col min="3" max="3" width="15.8515625" style="0" hidden="1" customWidth="1"/>
    <col min="4" max="4" width="15.00390625" style="0" customWidth="1"/>
    <col min="5" max="5" width="13.7109375" style="0" customWidth="1"/>
    <col min="6" max="7" width="14.28125" style="0" customWidth="1"/>
    <col min="8" max="8" width="12.00390625" style="0" customWidth="1"/>
  </cols>
  <sheetData>
    <row r="1" spans="1:8" ht="14.25">
      <c r="A1" s="1011" t="str">
        <f>'4.1'!B2</f>
        <v>Теплоснабжающая организация: ООО "Строй-Альянс"</v>
      </c>
      <c r="B1" s="1011"/>
      <c r="C1" s="1011"/>
      <c r="D1" s="1011"/>
      <c r="E1" s="1011"/>
      <c r="G1" s="2275" t="s">
        <v>905</v>
      </c>
      <c r="H1" s="2275"/>
    </row>
    <row r="2" spans="1:8" ht="14.25">
      <c r="A2" s="1011" t="str">
        <f>'4.1'!B3</f>
        <v>Базовый период/Период регулирования:2016/2017-2019 г.г.</v>
      </c>
      <c r="B2" s="1011"/>
      <c r="C2" s="1011"/>
      <c r="D2" s="1011"/>
      <c r="E2" s="1011"/>
      <c r="F2" s="1397"/>
      <c r="G2" s="1" t="s">
        <v>677</v>
      </c>
      <c r="H2" s="537"/>
    </row>
    <row r="4" spans="1:8" ht="35.25" customHeight="1">
      <c r="A4" s="2276" t="s">
        <v>903</v>
      </c>
      <c r="B4" s="2276"/>
      <c r="C4" s="2276"/>
      <c r="D4" s="2276"/>
      <c r="E4" s="2276"/>
      <c r="F4" s="2276"/>
      <c r="G4" s="2276"/>
      <c r="H4" s="2276"/>
    </row>
    <row r="6" ht="14.25">
      <c r="B6" s="411" t="str">
        <f>'4.1'!B6</f>
        <v>Усть-Камчатское муниципальное образование</v>
      </c>
    </row>
    <row r="7" spans="1:11" s="39" customFormat="1" ht="14.25">
      <c r="A7" s="2279" t="s">
        <v>1384</v>
      </c>
      <c r="B7" s="2277" t="s">
        <v>681</v>
      </c>
      <c r="C7" s="2119" t="s">
        <v>1007</v>
      </c>
      <c r="D7" s="2120"/>
      <c r="E7" s="2120"/>
      <c r="F7" s="2120"/>
      <c r="G7" s="2120"/>
      <c r="H7" s="2121"/>
      <c r="I7" s="720"/>
      <c r="J7" s="720"/>
      <c r="K7" s="720"/>
    </row>
    <row r="8" spans="1:8" ht="96">
      <c r="A8" s="2280"/>
      <c r="B8" s="2278"/>
      <c r="C8" s="733" t="s">
        <v>47</v>
      </c>
      <c r="D8" s="733" t="s">
        <v>90</v>
      </c>
      <c r="E8" s="733" t="s">
        <v>1385</v>
      </c>
      <c r="F8" s="733" t="s">
        <v>91</v>
      </c>
      <c r="G8" s="733" t="s">
        <v>239</v>
      </c>
      <c r="H8" s="733" t="s">
        <v>92</v>
      </c>
    </row>
    <row r="9" spans="1:8" s="39" customFormat="1" ht="14.25">
      <c r="A9" s="400">
        <v>1</v>
      </c>
      <c r="B9" s="400">
        <v>2</v>
      </c>
      <c r="C9" s="398">
        <v>3</v>
      </c>
      <c r="D9" s="400">
        <v>4</v>
      </c>
      <c r="E9" s="400">
        <v>5</v>
      </c>
      <c r="F9" s="398">
        <v>6</v>
      </c>
      <c r="G9" s="400">
        <v>7</v>
      </c>
      <c r="H9" s="400">
        <v>8</v>
      </c>
    </row>
    <row r="10" spans="1:8" ht="14.25">
      <c r="A10" s="409" t="s">
        <v>1017</v>
      </c>
      <c r="B10" s="403" t="s">
        <v>240</v>
      </c>
      <c r="C10" s="734"/>
      <c r="D10" s="734">
        <f>'4.4'!H133</f>
        <v>15026.263472087468</v>
      </c>
      <c r="E10" s="396"/>
      <c r="F10" s="734">
        <f>'4.4'!K133</f>
        <v>15954.181122628968</v>
      </c>
      <c r="G10" s="396"/>
      <c r="H10" s="734">
        <f>'4.4'!N133</f>
        <v>16939.410737105092</v>
      </c>
    </row>
    <row r="11" spans="1:8" ht="27">
      <c r="A11" s="409" t="s">
        <v>1010</v>
      </c>
      <c r="B11" s="402" t="s">
        <v>241</v>
      </c>
      <c r="C11" s="734"/>
      <c r="D11" s="734">
        <f>'4.6 Смета'!I21</f>
        <v>910.1253779844799</v>
      </c>
      <c r="E11" s="396"/>
      <c r="F11" s="734">
        <f>'4.6 Смета'!L21</f>
        <v>993.702</v>
      </c>
      <c r="G11" s="396"/>
      <c r="H11" s="734">
        <f>'4.6 Смета'!O21</f>
        <v>1076.179</v>
      </c>
    </row>
    <row r="12" spans="1:8" ht="27">
      <c r="A12" s="409" t="s">
        <v>1012</v>
      </c>
      <c r="B12" s="402" t="s">
        <v>242</v>
      </c>
      <c r="C12" s="396"/>
      <c r="D12" s="396"/>
      <c r="E12" s="396"/>
      <c r="F12" s="396"/>
      <c r="G12" s="396"/>
      <c r="H12" s="396"/>
    </row>
    <row r="13" spans="1:8" ht="27">
      <c r="A13" s="409" t="s">
        <v>1018</v>
      </c>
      <c r="B13" s="402" t="s">
        <v>243</v>
      </c>
      <c r="C13" s="734"/>
      <c r="D13" s="734">
        <f>'4.6 Смета'!I22</f>
        <v>258.2187408</v>
      </c>
      <c r="E13" s="396"/>
      <c r="F13" s="734">
        <f>'4.6 Смета'!L22</f>
        <v>276.6338027856</v>
      </c>
      <c r="G13" s="396"/>
      <c r="H13" s="734">
        <f>'4.6 Смета'!O22</f>
        <v>295.16826757223515</v>
      </c>
    </row>
    <row r="14" spans="1:8" ht="27">
      <c r="A14" s="409" t="s">
        <v>1019</v>
      </c>
      <c r="B14" s="402" t="s">
        <v>244</v>
      </c>
      <c r="C14" s="734"/>
      <c r="D14" s="734"/>
      <c r="E14" s="396"/>
      <c r="F14" s="734"/>
      <c r="G14" s="396"/>
      <c r="H14" s="734"/>
    </row>
    <row r="15" spans="1:8" ht="14.25">
      <c r="A15" s="409" t="s">
        <v>1020</v>
      </c>
      <c r="B15" s="417" t="s">
        <v>893</v>
      </c>
      <c r="C15" s="735"/>
      <c r="D15" s="735">
        <f>SUM(D10:D14)</f>
        <v>16194.607590871947</v>
      </c>
      <c r="E15" s="735">
        <f>SUM(E10:E14)</f>
        <v>0</v>
      </c>
      <c r="F15" s="735">
        <f>SUM(F10:F14)</f>
        <v>17224.51692541457</v>
      </c>
      <c r="G15" s="735">
        <f>SUM(G10:G14)</f>
        <v>0</v>
      </c>
      <c r="H15" s="735">
        <f>SUM(H10:H14)</f>
        <v>18310.75800467733</v>
      </c>
    </row>
    <row r="17" ht="14.25">
      <c r="B17" t="s">
        <v>1404</v>
      </c>
    </row>
    <row r="19" ht="14.25" hidden="1">
      <c r="B19" t="s">
        <v>35</v>
      </c>
    </row>
    <row r="20" spans="1:147" ht="14.25" hidden="1">
      <c r="A20" s="405" t="s">
        <v>637</v>
      </c>
      <c r="B20" s="2274" t="s">
        <v>898</v>
      </c>
      <c r="C20" s="2274"/>
      <c r="D20" s="2274"/>
      <c r="E20" s="2274"/>
      <c r="F20" s="2274"/>
      <c r="G20" s="2274"/>
      <c r="H20" s="2274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</row>
    <row r="21" spans="1:147" ht="30" customHeight="1" hidden="1">
      <c r="A21" s="405" t="s">
        <v>639</v>
      </c>
      <c r="B21" s="1951" t="s">
        <v>245</v>
      </c>
      <c r="C21" s="1951"/>
      <c r="D21" s="1951"/>
      <c r="E21" s="1951"/>
      <c r="F21" s="1951"/>
      <c r="G21" s="1951"/>
      <c r="H21" s="1951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</row>
    <row r="22" spans="1:147" ht="14.25" hidden="1">
      <c r="A22" s="405" t="s">
        <v>640</v>
      </c>
      <c r="B22" s="2274" t="s">
        <v>904</v>
      </c>
      <c r="C22" s="2274"/>
      <c r="D22" s="2274"/>
      <c r="E22" s="2274"/>
      <c r="F22" s="2274"/>
      <c r="G22" s="2274"/>
      <c r="H22" s="2274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</row>
  </sheetData>
  <sheetProtection/>
  <mergeCells count="8">
    <mergeCell ref="B20:H20"/>
    <mergeCell ref="B21:H21"/>
    <mergeCell ref="B22:H22"/>
    <mergeCell ref="G1:H1"/>
    <mergeCell ref="A4:H4"/>
    <mergeCell ref="B7:B8"/>
    <mergeCell ref="A7:A8"/>
    <mergeCell ref="C7:H7"/>
  </mergeCells>
  <printOptions/>
  <pageMargins left="0.7" right="0.7" top="0.75" bottom="0.75" header="0.3" footer="0.3"/>
  <pageSetup orientation="portrait" paperSize="9" scale="90" r:id="rId1"/>
  <colBreaks count="1" manualBreakCount="1">
    <brk id="8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.57421875" style="0" customWidth="1"/>
    <col min="2" max="2" width="61.00390625" style="0" customWidth="1"/>
    <col min="3" max="3" width="12.00390625" style="0" customWidth="1"/>
  </cols>
  <sheetData>
    <row r="1" spans="1:8" ht="14.25">
      <c r="A1" s="1011" t="str">
        <f>'4.1'!B2</f>
        <v>Теплоснабжающая организация: ООО "Строй-Альянс"</v>
      </c>
      <c r="B1" s="1011"/>
      <c r="G1" s="2275" t="s">
        <v>1337</v>
      </c>
      <c r="H1" s="2275"/>
    </row>
    <row r="2" spans="1:2" ht="14.25">
      <c r="A2" s="1011" t="str">
        <f>'4.1'!B3</f>
        <v>Базовый период/Период регулирования:2016/2017-2019 г.г.</v>
      </c>
      <c r="B2" s="1011"/>
    </row>
    <row r="4" ht="14.25">
      <c r="A4" t="s">
        <v>1591</v>
      </c>
    </row>
    <row r="6" ht="14.25">
      <c r="A6" s="411" t="str">
        <f>'4.1'!B6</f>
        <v>Усть-Камчатское муниципальное образование</v>
      </c>
    </row>
    <row r="7" spans="1:8" s="419" customFormat="1" ht="30.75" customHeight="1">
      <c r="A7" s="157" t="s">
        <v>1384</v>
      </c>
      <c r="B7" s="157" t="s">
        <v>1016</v>
      </c>
      <c r="C7" s="404" t="s">
        <v>161</v>
      </c>
      <c r="D7" s="404">
        <v>2017</v>
      </c>
      <c r="E7" s="404">
        <v>2018</v>
      </c>
      <c r="F7" s="404">
        <v>2019</v>
      </c>
      <c r="G7" s="404" t="s">
        <v>906</v>
      </c>
      <c r="H7" s="404" t="s">
        <v>906</v>
      </c>
    </row>
    <row r="8" spans="1:8" s="418" customFormat="1" ht="13.5" customHeight="1">
      <c r="A8" s="397">
        <v>1</v>
      </c>
      <c r="B8" s="400">
        <v>1</v>
      </c>
      <c r="C8" s="422">
        <v>2</v>
      </c>
      <c r="D8" s="400">
        <v>3</v>
      </c>
      <c r="E8" s="400">
        <v>4</v>
      </c>
      <c r="F8" s="422">
        <v>5</v>
      </c>
      <c r="G8" s="400">
        <v>6</v>
      </c>
      <c r="H8" s="400">
        <v>7</v>
      </c>
    </row>
    <row r="9" spans="1:8" s="113" customFormat="1" ht="14.25" customHeight="1">
      <c r="A9" s="423" t="s">
        <v>1017</v>
      </c>
      <c r="B9" s="420" t="s">
        <v>907</v>
      </c>
      <c r="C9" s="404" t="s">
        <v>1021</v>
      </c>
      <c r="D9" s="421"/>
      <c r="E9" s="421"/>
      <c r="F9" s="421"/>
      <c r="G9" s="421"/>
      <c r="H9" s="421"/>
    </row>
    <row r="10" spans="1:8" s="113" customFormat="1" ht="14.25" customHeight="1">
      <c r="A10" s="423" t="s">
        <v>1010</v>
      </c>
      <c r="B10" s="394" t="s">
        <v>908</v>
      </c>
      <c r="C10" s="404" t="s">
        <v>1021</v>
      </c>
      <c r="D10" s="421"/>
      <c r="E10" s="421"/>
      <c r="F10" s="421"/>
      <c r="G10" s="421"/>
      <c r="H10" s="421"/>
    </row>
    <row r="11" spans="1:8" s="113" customFormat="1" ht="14.25" customHeight="1">
      <c r="A11" s="423" t="s">
        <v>1012</v>
      </c>
      <c r="B11" s="394" t="s">
        <v>909</v>
      </c>
      <c r="C11" s="404" t="s">
        <v>1021</v>
      </c>
      <c r="D11" s="421"/>
      <c r="E11" s="421"/>
      <c r="F11" s="421"/>
      <c r="G11" s="421"/>
      <c r="H11" s="421"/>
    </row>
    <row r="12" spans="1:8" s="113" customFormat="1" ht="14.25" customHeight="1">
      <c r="A12" s="423" t="s">
        <v>1018</v>
      </c>
      <c r="B12" s="394" t="s">
        <v>910</v>
      </c>
      <c r="C12" s="404" t="s">
        <v>1021</v>
      </c>
      <c r="D12" s="421"/>
      <c r="E12" s="421"/>
      <c r="F12" s="421"/>
      <c r="G12" s="421"/>
      <c r="H12" s="421"/>
    </row>
    <row r="13" spans="1:8" s="113" customFormat="1" ht="14.25" customHeight="1">
      <c r="A13" s="423" t="s">
        <v>1019</v>
      </c>
      <c r="B13" s="394" t="s">
        <v>911</v>
      </c>
      <c r="C13" s="404"/>
      <c r="D13" s="421"/>
      <c r="E13" s="421"/>
      <c r="F13" s="421"/>
      <c r="G13" s="421"/>
      <c r="H13" s="421"/>
    </row>
    <row r="14" spans="1:8" s="113" customFormat="1" ht="14.25" customHeight="1">
      <c r="A14" s="423" t="s">
        <v>1020</v>
      </c>
      <c r="B14" s="394" t="s">
        <v>24</v>
      </c>
      <c r="C14" s="404"/>
      <c r="D14" s="416" t="s">
        <v>1555</v>
      </c>
      <c r="E14" s="416"/>
      <c r="F14" s="416"/>
      <c r="G14" s="416"/>
      <c r="H14" s="416" t="s">
        <v>1555</v>
      </c>
    </row>
    <row r="15" spans="1:8" s="113" customFormat="1" ht="14.25" customHeight="1">
      <c r="A15" s="423" t="s">
        <v>1023</v>
      </c>
      <c r="B15" s="394" t="s">
        <v>912</v>
      </c>
      <c r="C15" s="404"/>
      <c r="D15" s="416" t="s">
        <v>1555</v>
      </c>
      <c r="E15" s="416"/>
      <c r="F15" s="416"/>
      <c r="G15" s="416"/>
      <c r="H15" s="416"/>
    </row>
    <row r="16" spans="1:8" s="113" customFormat="1" ht="30" customHeight="1">
      <c r="A16" s="423" t="s">
        <v>1024</v>
      </c>
      <c r="B16" s="394" t="s">
        <v>913</v>
      </c>
      <c r="C16" s="404" t="s">
        <v>1021</v>
      </c>
      <c r="D16" s="416" t="s">
        <v>1555</v>
      </c>
      <c r="E16" s="416" t="s">
        <v>1555</v>
      </c>
      <c r="F16" s="416" t="s">
        <v>1555</v>
      </c>
      <c r="G16" s="416" t="s">
        <v>1555</v>
      </c>
      <c r="H16" s="416"/>
    </row>
    <row r="18" spans="2:5" ht="14.25">
      <c r="B18" s="741" t="s">
        <v>267</v>
      </c>
      <c r="D18" s="742"/>
      <c r="E18" s="742"/>
    </row>
    <row r="20" ht="14.25">
      <c r="B20" t="s">
        <v>35</v>
      </c>
    </row>
    <row r="21" spans="1:7" ht="14.25">
      <c r="A21" s="424" t="s">
        <v>637</v>
      </c>
      <c r="B21" s="113" t="s">
        <v>1391</v>
      </c>
      <c r="C21" s="113"/>
      <c r="D21" s="113"/>
      <c r="E21" s="113"/>
      <c r="F21" s="113"/>
      <c r="G21" s="113"/>
    </row>
    <row r="22" spans="1:7" ht="14.25">
      <c r="A22" s="424" t="s">
        <v>639</v>
      </c>
      <c r="B22" s="113" t="s">
        <v>1348</v>
      </c>
      <c r="C22" s="113"/>
      <c r="D22" s="113"/>
      <c r="E22" s="113"/>
      <c r="F22" s="113"/>
      <c r="G22" s="113"/>
    </row>
    <row r="23" spans="1:7" ht="14.25">
      <c r="A23" s="424" t="s">
        <v>640</v>
      </c>
      <c r="B23" s="113" t="s">
        <v>1349</v>
      </c>
      <c r="C23" s="113"/>
      <c r="D23" s="113"/>
      <c r="E23" s="113"/>
      <c r="F23" s="113"/>
      <c r="G23" s="113"/>
    </row>
    <row r="24" spans="1:7" ht="14.25">
      <c r="A24" s="424" t="s">
        <v>641</v>
      </c>
      <c r="B24" s="113" t="s">
        <v>1350</v>
      </c>
      <c r="C24" s="113"/>
      <c r="D24" s="113"/>
      <c r="E24" s="113"/>
      <c r="F24" s="113"/>
      <c r="G24" s="113"/>
    </row>
    <row r="25" spans="2:7" ht="14.25">
      <c r="B25" s="113" t="s">
        <v>1351</v>
      </c>
      <c r="C25" s="113"/>
      <c r="D25" s="113"/>
      <c r="E25" s="113"/>
      <c r="F25" s="113"/>
      <c r="G25" s="113"/>
    </row>
    <row r="26" spans="2:7" ht="14.25">
      <c r="B26" s="113" t="s">
        <v>1352</v>
      </c>
      <c r="C26" s="113"/>
      <c r="D26" s="113"/>
      <c r="E26" s="113"/>
      <c r="F26" s="113"/>
      <c r="G26" s="113"/>
    </row>
    <row r="27" spans="2:7" ht="14.25">
      <c r="B27" s="113" t="s">
        <v>1353</v>
      </c>
      <c r="C27" s="113"/>
      <c r="D27" s="113"/>
      <c r="E27" s="113"/>
      <c r="F27" s="113"/>
      <c r="G27" s="113"/>
    </row>
    <row r="28" spans="2:7" ht="14.25">
      <c r="B28" s="113" t="s">
        <v>1354</v>
      </c>
      <c r="C28" s="113"/>
      <c r="D28" s="113"/>
      <c r="E28" s="113"/>
      <c r="F28" s="113"/>
      <c r="G28" s="113"/>
    </row>
    <row r="29" spans="1:7" ht="14.25">
      <c r="A29" t="s">
        <v>642</v>
      </c>
      <c r="B29" s="113" t="s">
        <v>1286</v>
      </c>
      <c r="C29" s="113"/>
      <c r="D29" s="113"/>
      <c r="E29" s="113"/>
      <c r="F29" s="113"/>
      <c r="G29" s="113"/>
    </row>
    <row r="30" spans="2:7" ht="14.25">
      <c r="B30" s="113" t="s">
        <v>1287</v>
      </c>
      <c r="C30" s="113"/>
      <c r="D30" s="113"/>
      <c r="E30" s="113"/>
      <c r="F30" s="113"/>
      <c r="G30" s="113"/>
    </row>
    <row r="31" spans="2:7" ht="14.25">
      <c r="B31" s="113" t="s">
        <v>1288</v>
      </c>
      <c r="C31" s="113"/>
      <c r="D31" s="113"/>
      <c r="E31" s="113"/>
      <c r="F31" s="113"/>
      <c r="G31" s="113"/>
    </row>
    <row r="32" spans="1:7" ht="14.25">
      <c r="A32" t="s">
        <v>643</v>
      </c>
      <c r="B32" s="113" t="s">
        <v>1289</v>
      </c>
      <c r="C32" s="113"/>
      <c r="D32" s="113"/>
      <c r="E32" s="113"/>
      <c r="F32" s="113"/>
      <c r="G32" s="113"/>
    </row>
    <row r="33" spans="2:7" ht="14.25">
      <c r="B33" s="113" t="s">
        <v>1290</v>
      </c>
      <c r="C33" s="113"/>
      <c r="D33" s="113"/>
      <c r="E33" s="113"/>
      <c r="F33" s="113"/>
      <c r="G33" s="113"/>
    </row>
    <row r="34" spans="1:7" ht="14.25">
      <c r="A34" t="s">
        <v>644</v>
      </c>
      <c r="B34" s="113" t="s">
        <v>1291</v>
      </c>
      <c r="C34" s="113"/>
      <c r="D34" s="113"/>
      <c r="E34" s="113"/>
      <c r="F34" s="113"/>
      <c r="G34" s="113"/>
    </row>
    <row r="35" spans="2:7" ht="14.25">
      <c r="B35" s="113" t="s">
        <v>1292</v>
      </c>
      <c r="C35" s="113"/>
      <c r="D35" s="113"/>
      <c r="E35" s="113"/>
      <c r="F35" s="113"/>
      <c r="G35" s="113"/>
    </row>
    <row r="36" spans="2:7" ht="15.75">
      <c r="B36" s="113" t="s">
        <v>1334</v>
      </c>
      <c r="C36" s="113"/>
      <c r="D36" s="113"/>
      <c r="E36" s="113"/>
      <c r="F36" s="113"/>
      <c r="G36" s="113"/>
    </row>
    <row r="37" spans="2:7" ht="14.25">
      <c r="B37" s="113" t="s">
        <v>1335</v>
      </c>
      <c r="C37" s="113"/>
      <c r="D37" s="113"/>
      <c r="E37" s="113"/>
      <c r="F37" s="113"/>
      <c r="G37" s="113"/>
    </row>
    <row r="38" spans="2:7" ht="15.75">
      <c r="B38" s="114" t="s">
        <v>1336</v>
      </c>
      <c r="C38" s="114"/>
      <c r="D38" s="114"/>
      <c r="E38" s="114"/>
      <c r="F38" s="114"/>
      <c r="G38" s="114"/>
    </row>
  </sheetData>
  <sheetProtection/>
  <mergeCells count="1">
    <mergeCell ref="G1:H1"/>
  </mergeCells>
  <printOptions/>
  <pageMargins left="0.7" right="0.7" top="0.75" bottom="0.75" header="0.3" footer="0.3"/>
  <pageSetup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EY39"/>
  <sheetViews>
    <sheetView zoomScaleSheetLayoutView="100" zoomScalePageLayoutView="0" workbookViewId="0" topLeftCell="A1">
      <selection activeCell="C39" sqref="C39:G39"/>
    </sheetView>
  </sheetViews>
  <sheetFormatPr defaultColWidth="9.140625" defaultRowHeight="15"/>
  <cols>
    <col min="1" max="1" width="4.57421875" style="0" customWidth="1"/>
    <col min="2" max="2" width="54.57421875" style="0" customWidth="1"/>
    <col min="3" max="3" width="15.140625" style="0" customWidth="1"/>
  </cols>
  <sheetData>
    <row r="1" spans="1:10" ht="14.25">
      <c r="A1" t="str">
        <f>'4.1'!B2</f>
        <v>Теплоснабжающая организация: ООО "Строй-Альянс"</v>
      </c>
      <c r="G1" s="2275" t="s">
        <v>953</v>
      </c>
      <c r="H1" s="2275"/>
      <c r="I1" s="506"/>
      <c r="J1" s="505"/>
    </row>
    <row r="2" spans="1:2" ht="14.25">
      <c r="A2" s="1011" t="str">
        <f>'4.1'!B3</f>
        <v>Базовый период/Период регулирования:2016/2017-2019 г.г.</v>
      </c>
      <c r="B2" s="1011"/>
    </row>
    <row r="4" spans="1:8" ht="37.5" customHeight="1">
      <c r="A4" s="2283" t="s">
        <v>1592</v>
      </c>
      <c r="B4" s="2283"/>
      <c r="C4" s="2283"/>
      <c r="D4" s="2283"/>
      <c r="E4" s="2283"/>
      <c r="F4" s="2283"/>
      <c r="G4" s="2283"/>
      <c r="H4" s="2283"/>
    </row>
    <row r="6" ht="14.25">
      <c r="A6" s="411" t="str">
        <f>'4.1'!B6</f>
        <v>Усть-Камчатское муниципальное образование</v>
      </c>
    </row>
    <row r="7" spans="1:8" s="419" customFormat="1" ht="29.25" customHeight="1">
      <c r="A7" s="157" t="s">
        <v>1626</v>
      </c>
      <c r="B7" s="158" t="s">
        <v>1016</v>
      </c>
      <c r="C7" s="404" t="s">
        <v>161</v>
      </c>
      <c r="D7" s="404">
        <v>2017</v>
      </c>
      <c r="E7" s="404">
        <v>2018</v>
      </c>
      <c r="F7" s="404">
        <v>2019</v>
      </c>
      <c r="G7" s="404" t="s">
        <v>1338</v>
      </c>
      <c r="H7" s="404" t="s">
        <v>906</v>
      </c>
    </row>
    <row r="8" spans="1:8" s="418" customFormat="1" ht="13.5">
      <c r="A8" s="397">
        <v>1</v>
      </c>
      <c r="B8" s="400">
        <v>2</v>
      </c>
      <c r="C8" s="398">
        <v>3</v>
      </c>
      <c r="D8" s="398">
        <v>4</v>
      </c>
      <c r="E8" s="398">
        <v>5</v>
      </c>
      <c r="F8" s="398">
        <v>6</v>
      </c>
      <c r="G8" s="398">
        <v>7</v>
      </c>
      <c r="H8" s="398">
        <v>8</v>
      </c>
    </row>
    <row r="9" spans="1:8" s="113" customFormat="1" ht="13.5">
      <c r="A9" s="423" t="s">
        <v>1017</v>
      </c>
      <c r="B9" s="428" t="s">
        <v>1775</v>
      </c>
      <c r="C9" s="416" t="s">
        <v>1780</v>
      </c>
      <c r="D9" s="421">
        <v>181.9</v>
      </c>
      <c r="E9" s="421">
        <v>181.9</v>
      </c>
      <c r="F9" s="421">
        <v>181.9</v>
      </c>
      <c r="G9" s="421"/>
      <c r="H9" s="421"/>
    </row>
    <row r="10" spans="1:8" s="113" customFormat="1" ht="15" customHeight="1">
      <c r="A10" s="423" t="s">
        <v>1010</v>
      </c>
      <c r="B10" s="399" t="s">
        <v>1776</v>
      </c>
      <c r="C10" s="416" t="s">
        <v>1780</v>
      </c>
      <c r="D10" s="421">
        <v>181.9</v>
      </c>
      <c r="E10" s="421">
        <v>181.9</v>
      </c>
      <c r="F10" s="421">
        <v>181.9</v>
      </c>
      <c r="G10" s="421"/>
      <c r="H10" s="421"/>
    </row>
    <row r="11" spans="1:8" s="113" customFormat="1" ht="28.5" customHeight="1">
      <c r="A11" s="423" t="s">
        <v>1012</v>
      </c>
      <c r="B11" s="399" t="s">
        <v>1777</v>
      </c>
      <c r="C11" s="416" t="s">
        <v>1339</v>
      </c>
      <c r="D11" s="504">
        <f>'4.1'!AJ14</f>
        <v>2.529</v>
      </c>
      <c r="E11" s="504">
        <f>D11</f>
        <v>2.529</v>
      </c>
      <c r="F11" s="504">
        <f>E11</f>
        <v>2.529</v>
      </c>
      <c r="G11" s="421"/>
      <c r="H11" s="421"/>
    </row>
    <row r="12" spans="1:8" s="113" customFormat="1" ht="28.5" customHeight="1">
      <c r="A12" s="423" t="s">
        <v>1018</v>
      </c>
      <c r="B12" s="399" t="s">
        <v>1778</v>
      </c>
      <c r="C12" s="416" t="s">
        <v>1506</v>
      </c>
      <c r="D12" s="421"/>
      <c r="E12" s="421"/>
      <c r="F12" s="421"/>
      <c r="G12" s="421"/>
      <c r="H12" s="421"/>
    </row>
    <row r="13" spans="1:8" s="113" customFormat="1" ht="15" customHeight="1">
      <c r="A13" s="423" t="s">
        <v>1019</v>
      </c>
      <c r="B13" s="399" t="s">
        <v>1779</v>
      </c>
      <c r="C13" s="416" t="s">
        <v>1507</v>
      </c>
      <c r="D13" s="421"/>
      <c r="E13" s="421"/>
      <c r="F13" s="421"/>
      <c r="G13" s="421"/>
      <c r="H13" s="421"/>
    </row>
    <row r="14" spans="1:8" s="113" customFormat="1" ht="15" customHeight="1">
      <c r="A14" s="423" t="s">
        <v>1020</v>
      </c>
      <c r="B14" s="399" t="s">
        <v>1340</v>
      </c>
      <c r="C14" s="416" t="s">
        <v>1021</v>
      </c>
      <c r="D14" s="421"/>
      <c r="E14" s="421"/>
      <c r="F14" s="421"/>
      <c r="G14" s="421"/>
      <c r="H14" s="421"/>
    </row>
    <row r="15" spans="1:8" s="113" customFormat="1" ht="15" customHeight="1">
      <c r="A15" s="423" t="s">
        <v>1023</v>
      </c>
      <c r="B15" s="399" t="s">
        <v>1341</v>
      </c>
      <c r="C15" s="404"/>
      <c r="D15" s="421"/>
      <c r="E15" s="421"/>
      <c r="F15" s="421"/>
      <c r="G15" s="421"/>
      <c r="H15" s="421"/>
    </row>
    <row r="16" spans="1:8" s="113" customFormat="1" ht="15" customHeight="1">
      <c r="A16" s="423" t="s">
        <v>1024</v>
      </c>
      <c r="B16" s="399" t="s">
        <v>24</v>
      </c>
      <c r="C16" s="404"/>
      <c r="D16" s="421"/>
      <c r="E16" s="421"/>
      <c r="F16" s="421"/>
      <c r="G16" s="421"/>
      <c r="H16" s="421"/>
    </row>
    <row r="17" spans="1:8" s="113" customFormat="1" ht="48" customHeight="1">
      <c r="A17" s="423" t="s">
        <v>1025</v>
      </c>
      <c r="B17" s="399" t="s">
        <v>1342</v>
      </c>
      <c r="C17" s="404"/>
      <c r="D17" s="421"/>
      <c r="E17" s="421"/>
      <c r="F17" s="421"/>
      <c r="G17" s="421"/>
      <c r="H17" s="421"/>
    </row>
    <row r="18" spans="1:8" s="113" customFormat="1" ht="28.5" customHeight="1">
      <c r="A18" s="423" t="s">
        <v>1026</v>
      </c>
      <c r="B18" s="399" t="s">
        <v>1343</v>
      </c>
      <c r="C18" s="416" t="s">
        <v>1021</v>
      </c>
      <c r="D18" s="421"/>
      <c r="E18" s="421"/>
      <c r="F18" s="421"/>
      <c r="G18" s="421"/>
      <c r="H18" s="421"/>
    </row>
    <row r="19" s="113" customFormat="1" ht="12.75" customHeight="1"/>
    <row r="20" s="113" customFormat="1" ht="12.75" customHeight="1"/>
    <row r="21" s="113" customFormat="1" ht="12.75" customHeight="1"/>
    <row r="22" s="113" customFormat="1" ht="12.75" customHeight="1"/>
    <row r="23" s="141" customFormat="1" ht="12" hidden="1">
      <c r="B23" s="141" t="s">
        <v>35</v>
      </c>
    </row>
    <row r="24" spans="1:5" s="141" customFormat="1" ht="12" hidden="1">
      <c r="A24" s="141" t="s">
        <v>637</v>
      </c>
      <c r="B24" s="141" t="s">
        <v>1344</v>
      </c>
      <c r="D24" s="2282"/>
      <c r="E24" s="2282"/>
    </row>
    <row r="25" spans="1:5" s="141" customFormat="1" ht="12" hidden="1">
      <c r="A25" s="141" t="s">
        <v>639</v>
      </c>
      <c r="B25" s="141" t="s">
        <v>1344</v>
      </c>
      <c r="D25" s="2282"/>
      <c r="E25" s="2282"/>
    </row>
    <row r="26" spans="1:155" s="425" customFormat="1" ht="25.5" customHeight="1" hidden="1">
      <c r="A26" s="425" t="s">
        <v>640</v>
      </c>
      <c r="B26" s="2281" t="s">
        <v>1429</v>
      </c>
      <c r="C26" s="2281"/>
      <c r="D26" s="2281"/>
      <c r="E26" s="2281"/>
      <c r="F26" s="2281"/>
      <c r="G26" s="2281"/>
      <c r="H26" s="2281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G26" s="427"/>
      <c r="BH26" s="427"/>
      <c r="BI26" s="427"/>
      <c r="BJ26" s="427"/>
      <c r="BK26" s="427"/>
      <c r="BL26" s="427"/>
      <c r="BM26" s="427"/>
      <c r="BN26" s="427"/>
      <c r="BO26" s="427"/>
      <c r="BP26" s="427"/>
      <c r="BQ26" s="427"/>
      <c r="BR26" s="427"/>
      <c r="BS26" s="427"/>
      <c r="BT26" s="427"/>
      <c r="BU26" s="427"/>
      <c r="BV26" s="427"/>
      <c r="BW26" s="427"/>
      <c r="BX26" s="427"/>
      <c r="BY26" s="427"/>
      <c r="BZ26" s="427"/>
      <c r="CA26" s="427"/>
      <c r="CB26" s="427"/>
      <c r="CC26" s="427"/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427"/>
      <c r="CO26" s="427"/>
      <c r="CP26" s="427"/>
      <c r="CQ26" s="427"/>
      <c r="CR26" s="427"/>
      <c r="CS26" s="427"/>
      <c r="CT26" s="427"/>
      <c r="CU26" s="427"/>
      <c r="CV26" s="427"/>
      <c r="CW26" s="427"/>
      <c r="CX26" s="427"/>
      <c r="CY26" s="427"/>
      <c r="CZ26" s="427"/>
      <c r="DA26" s="427"/>
      <c r="DB26" s="427"/>
      <c r="DC26" s="427"/>
      <c r="DD26" s="427"/>
      <c r="DE26" s="427"/>
      <c r="DF26" s="427"/>
      <c r="DG26" s="427"/>
      <c r="DH26" s="427"/>
      <c r="DI26" s="427"/>
      <c r="DJ26" s="427"/>
      <c r="DK26" s="427"/>
      <c r="DL26" s="427"/>
      <c r="DM26" s="427"/>
      <c r="DN26" s="427"/>
      <c r="DO26" s="427"/>
      <c r="DP26" s="427"/>
      <c r="DQ26" s="427"/>
      <c r="DR26" s="427"/>
      <c r="DS26" s="427"/>
      <c r="DT26" s="427"/>
      <c r="DU26" s="427"/>
      <c r="DV26" s="427"/>
      <c r="DW26" s="427"/>
      <c r="DX26" s="427"/>
      <c r="DY26" s="427"/>
      <c r="DZ26" s="427"/>
      <c r="EA26" s="427"/>
      <c r="EB26" s="427"/>
      <c r="EC26" s="427"/>
      <c r="ED26" s="427"/>
      <c r="EE26" s="427"/>
      <c r="EF26" s="427"/>
      <c r="EG26" s="427"/>
      <c r="EH26" s="427"/>
      <c r="EI26" s="427"/>
      <c r="EJ26" s="427"/>
      <c r="EK26" s="427"/>
      <c r="EL26" s="427"/>
      <c r="EM26" s="427"/>
      <c r="EN26" s="427"/>
      <c r="EO26" s="427"/>
      <c r="EP26" s="427"/>
      <c r="EQ26" s="427"/>
      <c r="ER26" s="427"/>
      <c r="ES26" s="427"/>
      <c r="ET26" s="427"/>
      <c r="EU26" s="427"/>
      <c r="EV26" s="427"/>
      <c r="EW26" s="427"/>
      <c r="EX26" s="427"/>
      <c r="EY26" s="427"/>
    </row>
    <row r="27" spans="1:5" s="141" customFormat="1" ht="12" hidden="1">
      <c r="A27" s="141">
        <v>4</v>
      </c>
      <c r="B27" s="141" t="s">
        <v>1783</v>
      </c>
      <c r="D27" s="143"/>
      <c r="E27" s="143"/>
    </row>
    <row r="28" spans="1:155" s="425" customFormat="1" ht="25.5" customHeight="1" hidden="1">
      <c r="A28" s="425" t="s">
        <v>642</v>
      </c>
      <c r="B28" s="2281" t="s">
        <v>367</v>
      </c>
      <c r="C28" s="2281"/>
      <c r="D28" s="2281"/>
      <c r="E28" s="2281"/>
      <c r="F28" s="2281"/>
      <c r="G28" s="2281"/>
      <c r="H28" s="2281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7"/>
      <c r="AV28" s="427"/>
      <c r="AW28" s="427"/>
      <c r="AX28" s="427"/>
      <c r="AY28" s="427"/>
      <c r="AZ28" s="427"/>
      <c r="BA28" s="427"/>
      <c r="BB28" s="427"/>
      <c r="BC28" s="427"/>
      <c r="BD28" s="427"/>
      <c r="BE28" s="427"/>
      <c r="BF28" s="427"/>
      <c r="BG28" s="427"/>
      <c r="BH28" s="427"/>
      <c r="BI28" s="427"/>
      <c r="BJ28" s="427"/>
      <c r="BK28" s="427"/>
      <c r="BL28" s="427"/>
      <c r="BM28" s="427"/>
      <c r="BN28" s="427"/>
      <c r="BO28" s="427"/>
      <c r="BP28" s="427"/>
      <c r="BQ28" s="427"/>
      <c r="BR28" s="427"/>
      <c r="BS28" s="427"/>
      <c r="BT28" s="427"/>
      <c r="BU28" s="427"/>
      <c r="BV28" s="427"/>
      <c r="BW28" s="427"/>
      <c r="BX28" s="427"/>
      <c r="BY28" s="427"/>
      <c r="BZ28" s="427"/>
      <c r="CA28" s="427"/>
      <c r="CB28" s="427"/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O28" s="427"/>
      <c r="CP28" s="427"/>
      <c r="CQ28" s="427"/>
      <c r="CR28" s="427"/>
      <c r="CS28" s="427"/>
      <c r="CT28" s="427"/>
      <c r="CU28" s="427"/>
      <c r="CV28" s="427"/>
      <c r="CW28" s="427"/>
      <c r="CX28" s="427"/>
      <c r="CY28" s="427"/>
      <c r="CZ28" s="427"/>
      <c r="DA28" s="427"/>
      <c r="DB28" s="427"/>
      <c r="DC28" s="427"/>
      <c r="DD28" s="427"/>
      <c r="DE28" s="427"/>
      <c r="DF28" s="427"/>
      <c r="DG28" s="427"/>
      <c r="DH28" s="427"/>
      <c r="DI28" s="427"/>
      <c r="DJ28" s="427"/>
      <c r="DK28" s="427"/>
      <c r="DL28" s="427"/>
      <c r="DM28" s="427"/>
      <c r="DN28" s="427"/>
      <c r="DO28" s="427"/>
      <c r="DP28" s="427"/>
      <c r="DQ28" s="427"/>
      <c r="DR28" s="427"/>
      <c r="DS28" s="427"/>
      <c r="DT28" s="427"/>
      <c r="DU28" s="427"/>
      <c r="DV28" s="427"/>
      <c r="DW28" s="427"/>
      <c r="DX28" s="427"/>
      <c r="DY28" s="427"/>
      <c r="DZ28" s="427"/>
      <c r="EA28" s="427"/>
      <c r="EB28" s="427"/>
      <c r="EC28" s="427"/>
      <c r="ED28" s="427"/>
      <c r="EE28" s="427"/>
      <c r="EF28" s="427"/>
      <c r="EG28" s="427"/>
      <c r="EH28" s="427"/>
      <c r="EI28" s="427"/>
      <c r="EJ28" s="427"/>
      <c r="EK28" s="427"/>
      <c r="EL28" s="427"/>
      <c r="EM28" s="427"/>
      <c r="EN28" s="427"/>
      <c r="EO28" s="427"/>
      <c r="EP28" s="427"/>
      <c r="EQ28" s="427"/>
      <c r="ER28" s="427"/>
      <c r="ES28" s="427"/>
      <c r="ET28" s="427"/>
      <c r="EU28" s="427"/>
      <c r="EV28" s="427"/>
      <c r="EW28" s="427"/>
      <c r="EX28" s="427"/>
      <c r="EY28" s="427"/>
    </row>
    <row r="29" spans="1:5" s="141" customFormat="1" ht="12" hidden="1">
      <c r="A29" s="141" t="s">
        <v>643</v>
      </c>
      <c r="B29" s="141" t="s">
        <v>945</v>
      </c>
      <c r="D29" s="2282"/>
      <c r="E29" s="2282"/>
    </row>
    <row r="30" spans="2:5" s="141" customFormat="1" ht="12" hidden="1">
      <c r="B30" s="141" t="s">
        <v>946</v>
      </c>
      <c r="D30" s="2282"/>
      <c r="E30" s="2282"/>
    </row>
    <row r="31" spans="2:5" s="141" customFormat="1" ht="12" hidden="1">
      <c r="B31" s="141" t="s">
        <v>947</v>
      </c>
      <c r="D31" s="2282"/>
      <c r="E31" s="2282"/>
    </row>
    <row r="32" spans="1:5" s="141" customFormat="1" ht="12" hidden="1">
      <c r="A32" s="141" t="s">
        <v>644</v>
      </c>
      <c r="B32" s="141" t="s">
        <v>948</v>
      </c>
      <c r="D32" s="2282"/>
      <c r="E32" s="2282"/>
    </row>
    <row r="33" spans="2:5" s="141" customFormat="1" ht="12" hidden="1">
      <c r="B33" s="141" t="s">
        <v>949</v>
      </c>
      <c r="D33" s="2282"/>
      <c r="E33" s="2282"/>
    </row>
    <row r="34" spans="1:5" s="141" customFormat="1" ht="12" hidden="1">
      <c r="A34" s="141" t="s">
        <v>645</v>
      </c>
      <c r="B34" s="141" t="s">
        <v>950</v>
      </c>
      <c r="D34" s="2282"/>
      <c r="E34" s="2282"/>
    </row>
    <row r="35" s="141" customFormat="1" ht="12" hidden="1">
      <c r="B35" s="141" t="s">
        <v>1292</v>
      </c>
    </row>
    <row r="36" s="426" customFormat="1" ht="14.25" customHeight="1" hidden="1">
      <c r="B36" s="426" t="s">
        <v>951</v>
      </c>
    </row>
    <row r="37" s="141" customFormat="1" ht="12" hidden="1">
      <c r="B37" s="141" t="s">
        <v>1335</v>
      </c>
    </row>
    <row r="38" s="426" customFormat="1" ht="14.25" customHeight="1" hidden="1">
      <c r="B38" s="426" t="s">
        <v>952</v>
      </c>
    </row>
    <row r="39" spans="2:7" ht="14.25">
      <c r="B39" s="1013" t="s">
        <v>1043</v>
      </c>
      <c r="C39" s="2275"/>
      <c r="D39" s="2275"/>
      <c r="E39" s="2275"/>
      <c r="F39" s="2275"/>
      <c r="G39" s="2275"/>
    </row>
  </sheetData>
  <sheetProtection/>
  <protectedRanges>
    <protectedRange password="CC01" sqref="I1:J1" name="Диапазон1_1"/>
  </protectedRanges>
  <mergeCells count="13">
    <mergeCell ref="C39:G39"/>
    <mergeCell ref="D33:E33"/>
    <mergeCell ref="D34:E34"/>
    <mergeCell ref="D29:E29"/>
    <mergeCell ref="D30:E30"/>
    <mergeCell ref="D31:E31"/>
    <mergeCell ref="D32:E32"/>
    <mergeCell ref="B28:H28"/>
    <mergeCell ref="G1:H1"/>
    <mergeCell ref="D24:E24"/>
    <mergeCell ref="D25:E25"/>
    <mergeCell ref="B26:H26"/>
    <mergeCell ref="A4:H4"/>
  </mergeCells>
  <printOptions horizontalCentered="1"/>
  <pageMargins left="0.9055118110236221" right="0.7086614173228347" top="0.7480314960629921" bottom="0.7480314960629921" header="0.31496062992125984" footer="0.31496062992125984"/>
  <pageSetup orientation="portrait" paperSize="9" scale="67" r:id="rId1"/>
  <colBreaks count="1" manualBreakCount="1">
    <brk id="9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ES38"/>
  <sheetViews>
    <sheetView zoomScaleSheetLayoutView="100" zoomScalePageLayoutView="0" workbookViewId="0" topLeftCell="A10">
      <selection activeCell="C11" sqref="C11"/>
    </sheetView>
  </sheetViews>
  <sheetFormatPr defaultColWidth="9.140625" defaultRowHeight="15"/>
  <cols>
    <col min="1" max="1" width="5.57421875" style="0" customWidth="1"/>
    <col min="2" max="2" width="52.28125" style="0" customWidth="1"/>
    <col min="3" max="3" width="10.28125" style="0" customWidth="1"/>
  </cols>
  <sheetData>
    <row r="1" spans="1:8" ht="14.25">
      <c r="A1" t="str">
        <f>'4.1'!B2</f>
        <v>Теплоснабжающая организация: ООО "Строй-Альянс"</v>
      </c>
      <c r="G1" s="2275" t="s">
        <v>568</v>
      </c>
      <c r="H1" s="2275"/>
    </row>
    <row r="2" spans="1:2" ht="14.25">
      <c r="A2" s="1011" t="str">
        <f>'4.1'!B3</f>
        <v>Базовый период/Период регулирования:2016/2017-2019 г.г.</v>
      </c>
      <c r="B2" s="1011"/>
    </row>
    <row r="4" spans="1:8" ht="69" customHeight="1">
      <c r="A4" s="2284" t="s">
        <v>558</v>
      </c>
      <c r="B4" s="2284"/>
      <c r="C4" s="2284"/>
      <c r="D4" s="2284"/>
      <c r="E4" s="2284"/>
      <c r="F4" s="2284"/>
      <c r="G4" s="2284"/>
      <c r="H4" s="2284"/>
    </row>
    <row r="6" ht="14.25">
      <c r="A6" s="411" t="str">
        <f>'4.1'!B6</f>
        <v>Усть-Камчатское муниципальное образование</v>
      </c>
    </row>
    <row r="7" spans="1:8" s="419" customFormat="1" ht="39" customHeight="1">
      <c r="A7" s="158" t="s">
        <v>1626</v>
      </c>
      <c r="B7" s="158" t="s">
        <v>1016</v>
      </c>
      <c r="C7" s="404" t="s">
        <v>161</v>
      </c>
      <c r="D7" s="404">
        <v>2017</v>
      </c>
      <c r="E7" s="404">
        <v>2018</v>
      </c>
      <c r="F7" s="404">
        <v>2019</v>
      </c>
      <c r="G7" s="404" t="s">
        <v>1338</v>
      </c>
      <c r="H7" s="404" t="s">
        <v>906</v>
      </c>
    </row>
    <row r="8" spans="1:8" s="418" customFormat="1" ht="13.5" customHeight="1">
      <c r="A8" s="400">
        <v>1</v>
      </c>
      <c r="B8" s="400">
        <v>2</v>
      </c>
      <c r="C8" s="398">
        <v>3</v>
      </c>
      <c r="D8" s="398">
        <v>4</v>
      </c>
      <c r="E8" s="398">
        <v>5</v>
      </c>
      <c r="F8" s="398">
        <v>6</v>
      </c>
      <c r="G8" s="398">
        <v>7</v>
      </c>
      <c r="H8" s="398">
        <v>8</v>
      </c>
    </row>
    <row r="9" spans="1:8" s="113" customFormat="1" ht="27">
      <c r="A9" s="167" t="s">
        <v>1017</v>
      </c>
      <c r="B9" s="399" t="s">
        <v>559</v>
      </c>
      <c r="C9" s="395"/>
      <c r="D9" s="421"/>
      <c r="E9" s="421"/>
      <c r="F9" s="421"/>
      <c r="G9" s="421"/>
      <c r="H9" s="421"/>
    </row>
    <row r="10" spans="1:8" s="113" customFormat="1" ht="27">
      <c r="A10" s="167" t="s">
        <v>1010</v>
      </c>
      <c r="B10" s="399" t="s">
        <v>560</v>
      </c>
      <c r="C10" s="395" t="s">
        <v>1339</v>
      </c>
      <c r="D10" s="421">
        <f>'4.1'!AJ30</f>
        <v>2.367</v>
      </c>
      <c r="E10" s="421">
        <f>'4.1'!BM30</f>
        <v>2.367</v>
      </c>
      <c r="F10" s="421">
        <f>'4.1'!CP30</f>
        <v>2.367</v>
      </c>
      <c r="G10" s="421"/>
      <c r="H10" s="421"/>
    </row>
    <row r="11" spans="1:8" s="113" customFormat="1" ht="27">
      <c r="A11" s="167" t="s">
        <v>1012</v>
      </c>
      <c r="B11" s="399" t="s">
        <v>561</v>
      </c>
      <c r="C11" s="395"/>
      <c r="D11" s="421"/>
      <c r="E11" s="421"/>
      <c r="F11" s="421"/>
      <c r="G11" s="421"/>
      <c r="H11" s="421"/>
    </row>
    <row r="12" spans="1:8" s="113" customFormat="1" ht="13.5">
      <c r="A12" s="167" t="s">
        <v>1018</v>
      </c>
      <c r="B12" s="399" t="s">
        <v>562</v>
      </c>
      <c r="C12" s="395"/>
      <c r="D12" s="421"/>
      <c r="E12" s="421"/>
      <c r="F12" s="421"/>
      <c r="G12" s="421"/>
      <c r="H12" s="421"/>
    </row>
    <row r="13" spans="1:8" s="113" customFormat="1" ht="27">
      <c r="A13" s="167" t="s">
        <v>1019</v>
      </c>
      <c r="B13" s="399" t="s">
        <v>563</v>
      </c>
      <c r="C13" s="395"/>
      <c r="D13" s="421"/>
      <c r="E13" s="421"/>
      <c r="F13" s="421"/>
      <c r="G13" s="421"/>
      <c r="H13" s="421"/>
    </row>
    <row r="14" spans="1:8" s="113" customFormat="1" ht="17.25" customHeight="1">
      <c r="A14" s="167" t="s">
        <v>1020</v>
      </c>
      <c r="B14" s="399" t="s">
        <v>564</v>
      </c>
      <c r="C14" s="395" t="s">
        <v>1021</v>
      </c>
      <c r="D14" s="421"/>
      <c r="E14" s="421"/>
      <c r="F14" s="421"/>
      <c r="G14" s="421"/>
      <c r="H14" s="421"/>
    </row>
    <row r="15" spans="1:8" s="113" customFormat="1" ht="17.25" customHeight="1">
      <c r="A15" s="167" t="s">
        <v>1023</v>
      </c>
      <c r="B15" s="399" t="s">
        <v>565</v>
      </c>
      <c r="C15" s="395" t="s">
        <v>1021</v>
      </c>
      <c r="D15" s="421"/>
      <c r="E15" s="421"/>
      <c r="F15" s="421"/>
      <c r="G15" s="421"/>
      <c r="H15" s="421"/>
    </row>
    <row r="16" spans="1:8" s="113" customFormat="1" ht="13.5">
      <c r="A16" s="167" t="s">
        <v>1024</v>
      </c>
      <c r="B16" s="399" t="s">
        <v>1341</v>
      </c>
      <c r="C16" s="395"/>
      <c r="D16" s="421"/>
      <c r="E16" s="421"/>
      <c r="F16" s="421"/>
      <c r="G16" s="421"/>
      <c r="H16" s="421"/>
    </row>
    <row r="17" spans="1:8" s="113" customFormat="1" ht="13.5">
      <c r="A17" s="167" t="s">
        <v>1025</v>
      </c>
      <c r="B17" s="399" t="s">
        <v>24</v>
      </c>
      <c r="C17" s="395"/>
      <c r="D17" s="421"/>
      <c r="E17" s="421"/>
      <c r="F17" s="421"/>
      <c r="G17" s="421"/>
      <c r="H17" s="421"/>
    </row>
    <row r="18" spans="1:8" s="113" customFormat="1" ht="27">
      <c r="A18" s="167" t="s">
        <v>1026</v>
      </c>
      <c r="B18" s="399" t="s">
        <v>566</v>
      </c>
      <c r="C18" s="395" t="s">
        <v>1021</v>
      </c>
      <c r="D18" s="421"/>
      <c r="E18" s="421"/>
      <c r="F18" s="421"/>
      <c r="G18" s="421"/>
      <c r="H18" s="421"/>
    </row>
    <row r="19" spans="1:8" s="113" customFormat="1" ht="41.25">
      <c r="A19" s="167" t="s">
        <v>1027</v>
      </c>
      <c r="B19" s="399" t="s">
        <v>567</v>
      </c>
      <c r="C19" s="395" t="s">
        <v>1021</v>
      </c>
      <c r="D19" s="421"/>
      <c r="E19" s="421"/>
      <c r="F19" s="421"/>
      <c r="G19" s="421"/>
      <c r="H19" s="421"/>
    </row>
    <row r="22" spans="2:4" ht="27">
      <c r="B22" s="741" t="s">
        <v>1367</v>
      </c>
      <c r="D22" s="742"/>
    </row>
    <row r="24" ht="14.25">
      <c r="B24" t="s">
        <v>35</v>
      </c>
    </row>
    <row r="25" spans="1:149" ht="14.25">
      <c r="A25" s="424" t="s">
        <v>637</v>
      </c>
      <c r="B25" s="141" t="s">
        <v>1391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</row>
    <row r="26" spans="1:149" ht="14.25">
      <c r="A26" s="424" t="s">
        <v>639</v>
      </c>
      <c r="B26" s="141" t="s">
        <v>1421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</row>
    <row r="27" spans="1:149" ht="14.25">
      <c r="A27" s="424" t="s">
        <v>640</v>
      </c>
      <c r="B27" s="141" t="s">
        <v>1422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</row>
    <row r="28" spans="1:149" ht="39.75" customHeight="1">
      <c r="A28" s="424" t="s">
        <v>641</v>
      </c>
      <c r="B28" s="2281" t="s">
        <v>1423</v>
      </c>
      <c r="C28" s="2281"/>
      <c r="D28" s="2281"/>
      <c r="E28" s="2281"/>
      <c r="F28" s="2281"/>
      <c r="G28" s="2281"/>
      <c r="H28" s="2281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7"/>
      <c r="AV28" s="427"/>
      <c r="AW28" s="427"/>
      <c r="AX28" s="427"/>
      <c r="AY28" s="427"/>
      <c r="AZ28" s="427"/>
      <c r="BA28" s="427"/>
      <c r="BB28" s="427"/>
      <c r="BC28" s="427"/>
      <c r="BD28" s="427"/>
      <c r="BE28" s="427"/>
      <c r="BF28" s="427"/>
      <c r="BG28" s="427"/>
      <c r="BH28" s="427"/>
      <c r="BI28" s="427"/>
      <c r="BJ28" s="427"/>
      <c r="BK28" s="427"/>
      <c r="BL28" s="427"/>
      <c r="BM28" s="427"/>
      <c r="BN28" s="427"/>
      <c r="BO28" s="427"/>
      <c r="BP28" s="427"/>
      <c r="BQ28" s="427"/>
      <c r="BR28" s="427"/>
      <c r="BS28" s="427"/>
      <c r="BT28" s="427"/>
      <c r="BU28" s="427"/>
      <c r="BV28" s="427"/>
      <c r="BW28" s="427"/>
      <c r="BX28" s="427"/>
      <c r="BY28" s="427"/>
      <c r="BZ28" s="427"/>
      <c r="CA28" s="427"/>
      <c r="CB28" s="427"/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O28" s="427"/>
      <c r="CP28" s="427"/>
      <c r="CQ28" s="427"/>
      <c r="CR28" s="427"/>
      <c r="CS28" s="427"/>
      <c r="CT28" s="427"/>
      <c r="CU28" s="427"/>
      <c r="CV28" s="427"/>
      <c r="CW28" s="427"/>
      <c r="CX28" s="427"/>
      <c r="CY28" s="427"/>
      <c r="CZ28" s="427"/>
      <c r="DA28" s="427"/>
      <c r="DB28" s="427"/>
      <c r="DC28" s="427"/>
      <c r="DD28" s="427"/>
      <c r="DE28" s="427"/>
      <c r="DF28" s="427"/>
      <c r="DG28" s="427"/>
      <c r="DH28" s="427"/>
      <c r="DI28" s="427"/>
      <c r="DJ28" s="427"/>
      <c r="DK28" s="427"/>
      <c r="DL28" s="427"/>
      <c r="DM28" s="427"/>
      <c r="DN28" s="427"/>
      <c r="DO28" s="427"/>
      <c r="DP28" s="427"/>
      <c r="DQ28" s="427"/>
      <c r="DR28" s="427"/>
      <c r="DS28" s="427"/>
      <c r="DT28" s="427"/>
      <c r="DU28" s="427"/>
      <c r="DV28" s="427"/>
      <c r="DW28" s="427"/>
      <c r="DX28" s="427"/>
      <c r="DY28" s="427"/>
      <c r="DZ28" s="427"/>
      <c r="EA28" s="427"/>
      <c r="EB28" s="427"/>
      <c r="EC28" s="427"/>
      <c r="ED28" s="427"/>
      <c r="EE28" s="427"/>
      <c r="EF28" s="427"/>
      <c r="EG28" s="427"/>
      <c r="EH28" s="427"/>
      <c r="EI28" s="427"/>
      <c r="EJ28" s="427"/>
      <c r="EK28" s="427"/>
      <c r="EL28" s="427"/>
      <c r="EM28" s="427"/>
      <c r="EN28" s="427"/>
      <c r="EO28" s="427"/>
      <c r="EP28" s="427"/>
      <c r="EQ28" s="427"/>
      <c r="ER28" s="427"/>
      <c r="ES28" s="427"/>
    </row>
    <row r="29" spans="1:149" ht="14.25">
      <c r="A29" s="424" t="s">
        <v>642</v>
      </c>
      <c r="B29" s="141" t="s">
        <v>954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</row>
    <row r="30" spans="2:149" ht="14.25">
      <c r="B30" s="141" t="s">
        <v>955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</row>
    <row r="31" spans="2:149" ht="14.25">
      <c r="B31" s="141" t="s">
        <v>956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</row>
    <row r="32" spans="1:149" ht="14.25">
      <c r="A32" s="424" t="s">
        <v>643</v>
      </c>
      <c r="B32" s="141" t="s">
        <v>957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</row>
    <row r="33" spans="2:149" ht="14.25">
      <c r="B33" s="141" t="s">
        <v>958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</row>
    <row r="34" spans="1:149" ht="14.25">
      <c r="A34" s="39" t="s">
        <v>644</v>
      </c>
      <c r="B34" s="141" t="s">
        <v>959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</row>
    <row r="35" spans="2:149" ht="14.25">
      <c r="B35" s="141" t="s">
        <v>1292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</row>
    <row r="36" spans="2:149" ht="14.25">
      <c r="B36" s="426" t="s">
        <v>519</v>
      </c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  <c r="DD36" s="426"/>
      <c r="DE36" s="426"/>
      <c r="DF36" s="426"/>
      <c r="DG36" s="426"/>
      <c r="DH36" s="426"/>
      <c r="DI36" s="426"/>
      <c r="DJ36" s="426"/>
      <c r="DK36" s="426"/>
      <c r="DL36" s="426"/>
      <c r="DM36" s="426"/>
      <c r="DN36" s="426"/>
      <c r="DO36" s="426"/>
      <c r="DP36" s="426"/>
      <c r="DQ36" s="426"/>
      <c r="DR36" s="426"/>
      <c r="DS36" s="426"/>
      <c r="DT36" s="426"/>
      <c r="DU36" s="426"/>
      <c r="DV36" s="426"/>
      <c r="DW36" s="426"/>
      <c r="DX36" s="426"/>
      <c r="DY36" s="426"/>
      <c r="DZ36" s="426"/>
      <c r="EA36" s="426"/>
      <c r="EB36" s="426"/>
      <c r="EC36" s="426"/>
      <c r="ED36" s="426"/>
      <c r="EE36" s="426"/>
      <c r="EF36" s="426"/>
      <c r="EG36" s="426"/>
      <c r="EH36" s="426"/>
      <c r="EI36" s="426"/>
      <c r="EJ36" s="426"/>
      <c r="EK36" s="426"/>
      <c r="EL36" s="426"/>
      <c r="EM36" s="426"/>
      <c r="EN36" s="426"/>
      <c r="EO36" s="426"/>
      <c r="EP36" s="426"/>
      <c r="EQ36" s="426"/>
      <c r="ER36" s="426"/>
      <c r="ES36" s="426"/>
    </row>
    <row r="37" spans="2:149" ht="14.25">
      <c r="B37" s="141" t="s">
        <v>1335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</row>
    <row r="38" spans="2:149" ht="14.25">
      <c r="B38" s="426" t="s">
        <v>520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  <c r="CR38" s="426"/>
      <c r="CS38" s="426"/>
      <c r="CT38" s="426"/>
      <c r="CU38" s="426"/>
      <c r="CV38" s="426"/>
      <c r="CW38" s="426"/>
      <c r="CX38" s="426"/>
      <c r="CY38" s="426"/>
      <c r="CZ38" s="426"/>
      <c r="DA38" s="426"/>
      <c r="DB38" s="426"/>
      <c r="DC38" s="426"/>
      <c r="DD38" s="426"/>
      <c r="DE38" s="426"/>
      <c r="DF38" s="426"/>
      <c r="DG38" s="426"/>
      <c r="DH38" s="426"/>
      <c r="DI38" s="426"/>
      <c r="DJ38" s="426"/>
      <c r="DK38" s="426"/>
      <c r="DL38" s="426"/>
      <c r="DM38" s="426"/>
      <c r="DN38" s="426"/>
      <c r="DO38" s="426"/>
      <c r="DP38" s="426"/>
      <c r="DQ38" s="426"/>
      <c r="DR38" s="426"/>
      <c r="DS38" s="426"/>
      <c r="DT38" s="426"/>
      <c r="DU38" s="426"/>
      <c r="DV38" s="426"/>
      <c r="DW38" s="426"/>
      <c r="DX38" s="426"/>
      <c r="DY38" s="426"/>
      <c r="DZ38" s="426"/>
      <c r="EA38" s="426"/>
      <c r="EB38" s="426"/>
      <c r="EC38" s="426"/>
      <c r="ED38" s="426"/>
      <c r="EE38" s="426"/>
      <c r="EF38" s="426"/>
      <c r="EG38" s="426"/>
      <c r="EH38" s="426"/>
      <c r="EI38" s="426"/>
      <c r="EJ38" s="426"/>
      <c r="EK38" s="426"/>
      <c r="EL38" s="426"/>
      <c r="EM38" s="426"/>
      <c r="EN38" s="426"/>
      <c r="EO38" s="426"/>
      <c r="EP38" s="426"/>
      <c r="EQ38" s="426"/>
      <c r="ER38" s="426"/>
      <c r="ES38" s="426"/>
    </row>
  </sheetData>
  <sheetProtection/>
  <mergeCells count="3">
    <mergeCell ref="A4:H4"/>
    <mergeCell ref="G1:H1"/>
    <mergeCell ref="B28:H28"/>
  </mergeCells>
  <printOptions/>
  <pageMargins left="0.7" right="0.7" top="0.75" bottom="0.75" header="0.3" footer="0.3"/>
  <pageSetup orientation="portrait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BK36"/>
  <sheetViews>
    <sheetView zoomScalePageLayoutView="0" workbookViewId="0" topLeftCell="A16">
      <selection activeCell="F19" sqref="F19"/>
    </sheetView>
  </sheetViews>
  <sheetFormatPr defaultColWidth="9.140625" defaultRowHeight="15"/>
  <cols>
    <col min="1" max="1" width="3.00390625" style="0" customWidth="1"/>
    <col min="2" max="2" width="40.28125" style="0" customWidth="1"/>
    <col min="3" max="3" width="11.8515625" style="0" customWidth="1"/>
    <col min="4" max="4" width="13.140625" style="0" customWidth="1"/>
    <col min="5" max="5" width="12.28125" style="0" customWidth="1"/>
    <col min="6" max="6" width="12.00390625" style="0" customWidth="1"/>
    <col min="7" max="7" width="12.7109375" style="0" customWidth="1"/>
    <col min="8" max="8" width="14.00390625" style="0" customWidth="1"/>
  </cols>
  <sheetData>
    <row r="1" spans="1:8" ht="14.25">
      <c r="A1" t="str">
        <f>'4.1'!B2</f>
        <v>Теплоснабжающая организация: ООО "Строй-Альянс"</v>
      </c>
      <c r="G1" s="2275" t="s">
        <v>1786</v>
      </c>
      <c r="H1" s="2275"/>
    </row>
    <row r="2" spans="1:3" ht="14.25">
      <c r="A2" s="1011" t="str">
        <f>'4.1'!B3</f>
        <v>Базовый период/Период регулирования:2016/2017-2019 г.г.</v>
      </c>
      <c r="B2" s="1011"/>
      <c r="C2" s="1011"/>
    </row>
    <row r="4" ht="17.25">
      <c r="A4" s="415" t="s">
        <v>1578</v>
      </c>
    </row>
    <row r="6" ht="14.25">
      <c r="A6" s="411" t="str">
        <f>'4.1'!B6</f>
        <v>Усть-Камчатское муниципальное образование</v>
      </c>
    </row>
    <row r="7" spans="1:8" s="114" customFormat="1" ht="13.5" customHeight="1">
      <c r="A7" s="2266" t="s">
        <v>1626</v>
      </c>
      <c r="B7" s="2285" t="s">
        <v>742</v>
      </c>
      <c r="C7" s="2286" t="s">
        <v>1007</v>
      </c>
      <c r="D7" s="2287"/>
      <c r="E7" s="2287"/>
      <c r="F7" s="2287"/>
      <c r="G7" s="2287"/>
      <c r="H7" s="2288"/>
    </row>
    <row r="8" spans="1:8" s="419" customFormat="1" ht="89.25" customHeight="1">
      <c r="A8" s="2266"/>
      <c r="B8" s="2266"/>
      <c r="C8" s="733" t="s">
        <v>521</v>
      </c>
      <c r="D8" s="733" t="s">
        <v>1653</v>
      </c>
      <c r="E8" s="733" t="s">
        <v>522</v>
      </c>
      <c r="F8" s="733" t="s">
        <v>1654</v>
      </c>
      <c r="G8" s="733" t="s">
        <v>859</v>
      </c>
      <c r="H8" s="733" t="s">
        <v>1655</v>
      </c>
    </row>
    <row r="9" spans="1:8" s="418" customFormat="1" ht="13.5" customHeight="1">
      <c r="A9" s="400">
        <v>1</v>
      </c>
      <c r="B9" s="400">
        <v>2</v>
      </c>
      <c r="C9" s="398">
        <v>3</v>
      </c>
      <c r="D9" s="398">
        <v>4</v>
      </c>
      <c r="E9" s="398">
        <v>5</v>
      </c>
      <c r="F9" s="398">
        <v>6</v>
      </c>
      <c r="G9" s="398" t="s">
        <v>523</v>
      </c>
      <c r="H9" s="398" t="s">
        <v>854</v>
      </c>
    </row>
    <row r="10" spans="1:8" s="113" customFormat="1" ht="13.5">
      <c r="A10" s="401" t="s">
        <v>1017</v>
      </c>
      <c r="B10" s="402" t="s">
        <v>524</v>
      </c>
      <c r="C10" s="398"/>
      <c r="D10" s="739">
        <f>'5.1'!C29</f>
        <v>8980.19536151856</v>
      </c>
      <c r="E10" s="398"/>
      <c r="F10" s="739">
        <f>'5.1'!D29</f>
        <v>9444.108962402079</v>
      </c>
      <c r="G10" s="398"/>
      <c r="H10" s="739">
        <f>'5.1'!E29</f>
        <v>10053.440373254194</v>
      </c>
    </row>
    <row r="11" spans="1:8" s="113" customFormat="1" ht="15" customHeight="1">
      <c r="A11" s="401" t="s">
        <v>1010</v>
      </c>
      <c r="B11" s="403" t="s">
        <v>525</v>
      </c>
      <c r="C11" s="398"/>
      <c r="D11" s="739">
        <f>'5.3'!D26</f>
        <v>2548.150087178605</v>
      </c>
      <c r="E11" s="398"/>
      <c r="F11" s="739">
        <f>'5.3'!F26</f>
        <v>2551.017201973428</v>
      </c>
      <c r="G11" s="398"/>
      <c r="H11" s="739">
        <f>'5.3'!H26</f>
        <v>2696.8858058219666</v>
      </c>
    </row>
    <row r="12" spans="1:8" s="113" customFormat="1" ht="45" customHeight="1">
      <c r="A12" s="401" t="s">
        <v>1012</v>
      </c>
      <c r="B12" s="402" t="s">
        <v>530</v>
      </c>
      <c r="C12" s="398"/>
      <c r="D12" s="739">
        <f>'5.4'!D15</f>
        <v>16194.607590871947</v>
      </c>
      <c r="E12" s="398"/>
      <c r="F12" s="739">
        <f>'5.4'!F15</f>
        <v>17224.51692541457</v>
      </c>
      <c r="G12" s="398"/>
      <c r="H12" s="739">
        <f>'5.4'!H15</f>
        <v>18310.75800467733</v>
      </c>
    </row>
    <row r="13" spans="1:8" s="113" customFormat="1" ht="15" customHeight="1">
      <c r="A13" s="401" t="s">
        <v>1018</v>
      </c>
      <c r="B13" s="402" t="s">
        <v>1456</v>
      </c>
      <c r="C13" s="398"/>
      <c r="D13" s="398"/>
      <c r="E13" s="398"/>
      <c r="F13" s="398"/>
      <c r="G13" s="398"/>
      <c r="H13" s="398"/>
    </row>
    <row r="14" spans="1:8" s="113" customFormat="1" ht="41.25">
      <c r="A14" s="401" t="s">
        <v>1019</v>
      </c>
      <c r="B14" s="402" t="s">
        <v>526</v>
      </c>
      <c r="C14" s="398"/>
      <c r="D14" s="398"/>
      <c r="E14" s="398"/>
      <c r="F14" s="398"/>
      <c r="G14" s="398"/>
      <c r="H14" s="398"/>
    </row>
    <row r="15" spans="1:8" s="113" customFormat="1" ht="54.75">
      <c r="A15" s="401" t="s">
        <v>1020</v>
      </c>
      <c r="B15" s="402" t="s">
        <v>527</v>
      </c>
      <c r="C15" s="398"/>
      <c r="D15" s="398"/>
      <c r="E15" s="398"/>
      <c r="F15" s="398"/>
      <c r="G15" s="398"/>
      <c r="H15" s="398"/>
    </row>
    <row r="16" spans="1:8" s="113" customFormat="1" ht="60" customHeight="1">
      <c r="A16" s="401" t="s">
        <v>1023</v>
      </c>
      <c r="B16" s="402" t="s">
        <v>531</v>
      </c>
      <c r="C16" s="398"/>
      <c r="D16" s="398"/>
      <c r="E16" s="398"/>
      <c r="F16" s="398"/>
      <c r="G16" s="398"/>
      <c r="H16" s="398"/>
    </row>
    <row r="17" spans="1:8" s="113" customFormat="1" ht="45" customHeight="1">
      <c r="A17" s="401" t="s">
        <v>1024</v>
      </c>
      <c r="B17" s="402" t="s">
        <v>532</v>
      </c>
      <c r="C17" s="398"/>
      <c r="D17" s="398"/>
      <c r="E17" s="398"/>
      <c r="F17" s="398"/>
      <c r="G17" s="398"/>
      <c r="H17" s="398"/>
    </row>
    <row r="18" spans="1:8" s="113" customFormat="1" ht="174" customHeight="1">
      <c r="A18" s="401" t="s">
        <v>1025</v>
      </c>
      <c r="B18" s="402" t="s">
        <v>1740</v>
      </c>
      <c r="C18" s="398"/>
      <c r="D18" s="398"/>
      <c r="E18" s="398"/>
      <c r="F18" s="398"/>
      <c r="G18" s="398"/>
      <c r="H18" s="398"/>
    </row>
    <row r="19" spans="1:8" s="113" customFormat="1" ht="13.5">
      <c r="A19" s="401" t="s">
        <v>1026</v>
      </c>
      <c r="B19" s="402" t="s">
        <v>528</v>
      </c>
      <c r="C19" s="398"/>
      <c r="D19" s="740">
        <f>SUM(D10:D18)</f>
        <v>27722.95303956911</v>
      </c>
      <c r="E19" s="1468"/>
      <c r="F19" s="740">
        <f>SUM(F10:F18)</f>
        <v>29219.643089790075</v>
      </c>
      <c r="G19" s="1468"/>
      <c r="H19" s="740">
        <f>SUM(H10:H18)</f>
        <v>31061.08418375349</v>
      </c>
    </row>
    <row r="20" spans="1:8" s="113" customFormat="1" ht="15" customHeight="1">
      <c r="A20" s="401" t="s">
        <v>1027</v>
      </c>
      <c r="B20" s="403" t="s">
        <v>529</v>
      </c>
      <c r="C20" s="398"/>
      <c r="D20" s="398"/>
      <c r="E20" s="398"/>
      <c r="F20" s="398"/>
      <c r="G20" s="398"/>
      <c r="H20" s="398"/>
    </row>
    <row r="22" ht="14.25">
      <c r="C22" t="s">
        <v>268</v>
      </c>
    </row>
    <row r="25" ht="14.25">
      <c r="B25" s="429" t="s">
        <v>35</v>
      </c>
    </row>
    <row r="26" spans="1:63" ht="14.25">
      <c r="A26" s="431" t="s">
        <v>637</v>
      </c>
      <c r="B26" s="113" t="s">
        <v>898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</row>
    <row r="27" spans="1:63" ht="14.25">
      <c r="A27" s="431" t="s">
        <v>639</v>
      </c>
      <c r="B27" s="113" t="s">
        <v>552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</row>
    <row r="28" spans="1:63" ht="14.25">
      <c r="A28" s="431" t="s">
        <v>640</v>
      </c>
      <c r="B28" s="113" t="s">
        <v>553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</row>
    <row r="29" spans="1:63" ht="14.25">
      <c r="A29" s="431" t="s">
        <v>641</v>
      </c>
      <c r="B29" s="113" t="s">
        <v>554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430"/>
      <c r="BB29" s="430"/>
      <c r="BC29" s="430"/>
      <c r="BD29" s="430"/>
      <c r="BE29" s="430"/>
      <c r="BF29" s="430"/>
      <c r="BG29" s="430"/>
      <c r="BH29" s="430"/>
      <c r="BI29" s="430"/>
      <c r="BJ29" s="430"/>
      <c r="BK29" s="430"/>
    </row>
    <row r="30" spans="1:63" ht="14.25">
      <c r="A30" s="431" t="s">
        <v>642</v>
      </c>
      <c r="B30" s="113" t="s">
        <v>555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</row>
    <row r="31" spans="1:63" ht="14.25">
      <c r="A31" s="431" t="s">
        <v>643</v>
      </c>
      <c r="B31" s="113" t="s">
        <v>556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</row>
    <row r="32" spans="1:63" ht="14.25">
      <c r="A32" s="407"/>
      <c r="B32" s="113" t="s">
        <v>557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</row>
    <row r="33" spans="1:63" ht="14.25">
      <c r="A33" s="407"/>
      <c r="B33" s="113" t="s">
        <v>533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</row>
    <row r="34" spans="1:63" ht="14.25">
      <c r="A34" s="407"/>
      <c r="B34" s="113" t="s">
        <v>534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</row>
    <row r="35" spans="1:63" ht="14.25">
      <c r="A35" s="407" t="s">
        <v>644</v>
      </c>
      <c r="B35" s="113" t="s">
        <v>535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</row>
    <row r="36" spans="1:63" ht="14.25">
      <c r="A36" s="407" t="s">
        <v>645</v>
      </c>
      <c r="B36" s="113" t="s">
        <v>1785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</row>
  </sheetData>
  <sheetProtection/>
  <mergeCells count="4">
    <mergeCell ref="G1:H1"/>
    <mergeCell ref="B7:B8"/>
    <mergeCell ref="A7:A8"/>
    <mergeCell ref="C7:H7"/>
  </mergeCells>
  <printOptions/>
  <pageMargins left="0.7" right="0.7" top="0.75" bottom="0.75" header="0.3" footer="0.3"/>
  <pageSetup orientation="portrait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Y49"/>
  <sheetViews>
    <sheetView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1" sqref="B11"/>
    </sheetView>
  </sheetViews>
  <sheetFormatPr defaultColWidth="9.140625" defaultRowHeight="15" outlineLevelRow="1" outlineLevelCol="1"/>
  <cols>
    <col min="1" max="1" width="6.28125" style="1" customWidth="1"/>
    <col min="2" max="2" width="30.140625" style="1" customWidth="1"/>
    <col min="3" max="9" width="11.8515625" style="1" customWidth="1"/>
    <col min="10" max="26" width="11.140625" style="1" customWidth="1"/>
    <col min="27" max="38" width="11.140625" style="1" customWidth="1" outlineLevel="1"/>
    <col min="39" max="16384" width="9.140625" style="1" customWidth="1"/>
  </cols>
  <sheetData>
    <row r="1" spans="1:38" ht="15" customHeight="1">
      <c r="A1" s="52" t="s">
        <v>1280</v>
      </c>
      <c r="B1" s="52"/>
      <c r="C1" s="52"/>
      <c r="D1" s="52"/>
      <c r="E1" s="52"/>
      <c r="F1" s="52"/>
      <c r="G1" s="52"/>
      <c r="H1" s="37"/>
      <c r="I1" s="64"/>
      <c r="J1" s="64"/>
      <c r="Z1" s="2" t="s">
        <v>1170</v>
      </c>
      <c r="AB1" s="52"/>
      <c r="AC1" s="64"/>
      <c r="AH1" s="2"/>
      <c r="AL1" s="52"/>
    </row>
    <row r="2" spans="1:10" ht="12.75">
      <c r="A2" s="52" t="s">
        <v>657</v>
      </c>
      <c r="B2" s="52"/>
      <c r="C2" s="52"/>
      <c r="D2" s="52"/>
      <c r="E2" s="52"/>
      <c r="F2" s="52"/>
      <c r="G2" s="52"/>
      <c r="H2" s="37"/>
      <c r="I2" s="37"/>
      <c r="J2" s="37"/>
    </row>
    <row r="4" spans="1:38" ht="16.5" customHeight="1">
      <c r="A4" s="131" t="s">
        <v>1171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</row>
    <row r="6" spans="1:38" ht="12.75">
      <c r="A6" s="2006" t="s">
        <v>1008</v>
      </c>
      <c r="B6" s="2029" t="s">
        <v>1016</v>
      </c>
      <c r="C6" s="2141" t="s">
        <v>1005</v>
      </c>
      <c r="D6" s="2142"/>
      <c r="E6" s="2142"/>
      <c r="F6" s="2142"/>
      <c r="G6" s="2142"/>
      <c r="H6" s="2142"/>
      <c r="I6" s="2142"/>
      <c r="J6" s="2142"/>
      <c r="K6" s="2142"/>
      <c r="L6" s="2142"/>
      <c r="M6" s="2142"/>
      <c r="N6" s="2142"/>
      <c r="O6" s="2141" t="s">
        <v>1007</v>
      </c>
      <c r="P6" s="2142"/>
      <c r="Q6" s="2142"/>
      <c r="R6" s="2142"/>
      <c r="S6" s="2142"/>
      <c r="T6" s="2142"/>
      <c r="U6" s="2142"/>
      <c r="V6" s="2142"/>
      <c r="W6" s="2142"/>
      <c r="X6" s="2142"/>
      <c r="Y6" s="2142"/>
      <c r="Z6" s="2142"/>
      <c r="AA6" s="2142"/>
      <c r="AB6" s="2142"/>
      <c r="AC6" s="2142"/>
      <c r="AD6" s="2142"/>
      <c r="AE6" s="2142"/>
      <c r="AF6" s="2142"/>
      <c r="AG6" s="2142"/>
      <c r="AH6" s="2142"/>
      <c r="AI6" s="2142"/>
      <c r="AJ6" s="2142"/>
      <c r="AK6" s="2142"/>
      <c r="AL6" s="2143"/>
    </row>
    <row r="7" spans="1:38" ht="12.75" customHeight="1">
      <c r="A7" s="2007"/>
      <c r="B7" s="2010"/>
      <c r="C7" s="2029" t="s">
        <v>704</v>
      </c>
      <c r="D7" s="2030"/>
      <c r="E7" s="2030"/>
      <c r="F7" s="2030"/>
      <c r="G7" s="2029" t="s">
        <v>705</v>
      </c>
      <c r="H7" s="2030"/>
      <c r="I7" s="2030"/>
      <c r="J7" s="2030"/>
      <c r="K7" s="2029" t="s">
        <v>706</v>
      </c>
      <c r="L7" s="2030"/>
      <c r="M7" s="2030"/>
      <c r="N7" s="2030"/>
      <c r="O7" s="2024" t="s">
        <v>159</v>
      </c>
      <c r="P7" s="2025"/>
      <c r="Q7" s="2025"/>
      <c r="R7" s="2025"/>
      <c r="S7" s="2025"/>
      <c r="T7" s="2025"/>
      <c r="U7" s="2025"/>
      <c r="V7" s="2025"/>
      <c r="W7" s="2025"/>
      <c r="X7" s="2025"/>
      <c r="Y7" s="2025"/>
      <c r="Z7" s="2026"/>
      <c r="AA7" s="2024" t="s">
        <v>197</v>
      </c>
      <c r="AB7" s="2025"/>
      <c r="AC7" s="2025"/>
      <c r="AD7" s="2025"/>
      <c r="AE7" s="2025"/>
      <c r="AF7" s="2025"/>
      <c r="AG7" s="2025"/>
      <c r="AH7" s="2025"/>
      <c r="AI7" s="2025"/>
      <c r="AJ7" s="2025"/>
      <c r="AK7" s="2025"/>
      <c r="AL7" s="2026"/>
    </row>
    <row r="8" spans="1:38" ht="12.75" customHeight="1">
      <c r="A8" s="2007"/>
      <c r="B8" s="2010"/>
      <c r="C8" s="2021"/>
      <c r="D8" s="2022"/>
      <c r="E8" s="2022"/>
      <c r="F8" s="2022"/>
      <c r="G8" s="2021"/>
      <c r="H8" s="2022"/>
      <c r="I8" s="2022"/>
      <c r="J8" s="2022"/>
      <c r="K8" s="2021"/>
      <c r="L8" s="2022"/>
      <c r="M8" s="2022"/>
      <c r="N8" s="2022"/>
      <c r="O8" s="2024" t="s">
        <v>142</v>
      </c>
      <c r="P8" s="2025"/>
      <c r="Q8" s="2025"/>
      <c r="R8" s="2026"/>
      <c r="S8" s="2024" t="s">
        <v>707</v>
      </c>
      <c r="T8" s="2025"/>
      <c r="U8" s="2025"/>
      <c r="V8" s="2025"/>
      <c r="W8" s="2024" t="s">
        <v>708</v>
      </c>
      <c r="X8" s="2025"/>
      <c r="Y8" s="2025"/>
      <c r="Z8" s="2025"/>
      <c r="AA8" s="2024" t="s">
        <v>142</v>
      </c>
      <c r="AB8" s="2025"/>
      <c r="AC8" s="2025"/>
      <c r="AD8" s="2026"/>
      <c r="AE8" s="2024" t="s">
        <v>707</v>
      </c>
      <c r="AF8" s="2025"/>
      <c r="AG8" s="2025"/>
      <c r="AH8" s="2025"/>
      <c r="AI8" s="2024" t="s">
        <v>708</v>
      </c>
      <c r="AJ8" s="2025"/>
      <c r="AK8" s="2025"/>
      <c r="AL8" s="2025"/>
    </row>
    <row r="9" spans="1:38" ht="105">
      <c r="A9" s="2003"/>
      <c r="B9" s="2021"/>
      <c r="C9" s="43" t="s">
        <v>1172</v>
      </c>
      <c r="D9" s="43" t="s">
        <v>1688</v>
      </c>
      <c r="E9" s="43" t="s">
        <v>1173</v>
      </c>
      <c r="F9" s="43" t="s">
        <v>1437</v>
      </c>
      <c r="G9" s="43" t="s">
        <v>1172</v>
      </c>
      <c r="H9" s="43" t="s">
        <v>1688</v>
      </c>
      <c r="I9" s="43" t="s">
        <v>1173</v>
      </c>
      <c r="J9" s="43" t="s">
        <v>1437</v>
      </c>
      <c r="K9" s="43" t="s">
        <v>1172</v>
      </c>
      <c r="L9" s="43" t="s">
        <v>1688</v>
      </c>
      <c r="M9" s="43" t="s">
        <v>1173</v>
      </c>
      <c r="N9" s="43" t="s">
        <v>1437</v>
      </c>
      <c r="O9" s="43" t="s">
        <v>1172</v>
      </c>
      <c r="P9" s="43" t="s">
        <v>1688</v>
      </c>
      <c r="Q9" s="43" t="s">
        <v>1173</v>
      </c>
      <c r="R9" s="43" t="s">
        <v>1437</v>
      </c>
      <c r="S9" s="43" t="s">
        <v>1172</v>
      </c>
      <c r="T9" s="43" t="s">
        <v>1688</v>
      </c>
      <c r="U9" s="43" t="s">
        <v>1173</v>
      </c>
      <c r="V9" s="43" t="s">
        <v>1437</v>
      </c>
      <c r="W9" s="43" t="s">
        <v>1172</v>
      </c>
      <c r="X9" s="43" t="s">
        <v>1688</v>
      </c>
      <c r="Y9" s="43" t="s">
        <v>1173</v>
      </c>
      <c r="Z9" s="43" t="s">
        <v>1437</v>
      </c>
      <c r="AA9" s="43" t="s">
        <v>1172</v>
      </c>
      <c r="AB9" s="43" t="s">
        <v>1688</v>
      </c>
      <c r="AC9" s="43" t="s">
        <v>1173</v>
      </c>
      <c r="AD9" s="43" t="s">
        <v>1437</v>
      </c>
      <c r="AE9" s="43" t="s">
        <v>1172</v>
      </c>
      <c r="AF9" s="43" t="s">
        <v>1688</v>
      </c>
      <c r="AG9" s="43" t="s">
        <v>1173</v>
      </c>
      <c r="AH9" s="43" t="s">
        <v>1437</v>
      </c>
      <c r="AI9" s="43" t="s">
        <v>1172</v>
      </c>
      <c r="AJ9" s="43" t="s">
        <v>1688</v>
      </c>
      <c r="AK9" s="43" t="s">
        <v>1173</v>
      </c>
      <c r="AL9" s="43" t="s">
        <v>1437</v>
      </c>
    </row>
    <row r="10" spans="1:38" ht="12.75">
      <c r="A10" s="43">
        <v>1</v>
      </c>
      <c r="B10" s="49">
        <v>2</v>
      </c>
      <c r="C10" s="43">
        <v>3</v>
      </c>
      <c r="D10" s="43">
        <v>4</v>
      </c>
      <c r="E10" s="49">
        <v>5</v>
      </c>
      <c r="F10" s="43">
        <v>6</v>
      </c>
      <c r="G10" s="43">
        <v>7</v>
      </c>
      <c r="H10" s="49">
        <v>8</v>
      </c>
      <c r="I10" s="43">
        <v>9</v>
      </c>
      <c r="J10" s="43">
        <v>10</v>
      </c>
      <c r="K10" s="49">
        <v>11</v>
      </c>
      <c r="L10" s="43">
        <v>12</v>
      </c>
      <c r="M10" s="43">
        <v>13</v>
      </c>
      <c r="N10" s="49">
        <v>14</v>
      </c>
      <c r="O10" s="43">
        <v>15</v>
      </c>
      <c r="P10" s="43">
        <v>16</v>
      </c>
      <c r="Q10" s="49">
        <v>17</v>
      </c>
      <c r="R10" s="43">
        <v>18</v>
      </c>
      <c r="S10" s="43">
        <v>19</v>
      </c>
      <c r="T10" s="49">
        <v>20</v>
      </c>
      <c r="U10" s="43">
        <v>21</v>
      </c>
      <c r="V10" s="43">
        <v>22</v>
      </c>
      <c r="W10" s="49">
        <v>23</v>
      </c>
      <c r="X10" s="43">
        <v>24</v>
      </c>
      <c r="Y10" s="43">
        <v>25</v>
      </c>
      <c r="Z10" s="49">
        <v>26</v>
      </c>
      <c r="AA10" s="43">
        <v>27</v>
      </c>
      <c r="AB10" s="43">
        <v>28</v>
      </c>
      <c r="AC10" s="49">
        <v>29</v>
      </c>
      <c r="AD10" s="43">
        <v>30</v>
      </c>
      <c r="AE10" s="43">
        <v>31</v>
      </c>
      <c r="AF10" s="49">
        <v>32</v>
      </c>
      <c r="AG10" s="43">
        <v>33</v>
      </c>
      <c r="AH10" s="43">
        <v>34</v>
      </c>
      <c r="AI10" s="49">
        <v>35</v>
      </c>
      <c r="AJ10" s="43">
        <v>36</v>
      </c>
      <c r="AK10" s="43">
        <v>37</v>
      </c>
      <c r="AL10" s="49">
        <v>38</v>
      </c>
    </row>
    <row r="11" spans="1:38" ht="12.75">
      <c r="A11" s="47" t="s">
        <v>1017</v>
      </c>
      <c r="B11" s="26" t="s">
        <v>1174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38" ht="52.5">
      <c r="A12" s="30" t="s">
        <v>1009</v>
      </c>
      <c r="B12" s="77" t="s">
        <v>1163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38" ht="26.25">
      <c r="A13" s="30" t="s">
        <v>627</v>
      </c>
      <c r="B13" s="77" t="s">
        <v>1698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 ht="12.75">
      <c r="A14" s="30"/>
      <c r="B14" s="61" t="s">
        <v>664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2.75">
      <c r="A15" s="30"/>
      <c r="B15" s="61" t="s">
        <v>665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ht="52.5">
      <c r="A16" s="30" t="s">
        <v>145</v>
      </c>
      <c r="B16" s="77" t="s">
        <v>1165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ht="66">
      <c r="A17" s="30" t="s">
        <v>629</v>
      </c>
      <c r="B17" s="77" t="s">
        <v>1166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1:38" ht="12.75">
      <c r="A18" s="30"/>
      <c r="B18" s="61" t="s">
        <v>664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1:38" ht="12.75">
      <c r="A19" s="30"/>
      <c r="B19" s="61" t="s">
        <v>665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1:38" ht="66">
      <c r="A20" s="30" t="s">
        <v>630</v>
      </c>
      <c r="B20" s="77" t="s">
        <v>1168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1:38" ht="12.75">
      <c r="A21" s="30"/>
      <c r="B21" s="61" t="s">
        <v>664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1:38" ht="12.75">
      <c r="A22" s="30"/>
      <c r="B22" s="61" t="s">
        <v>665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1:38" ht="12.75">
      <c r="A23" s="30"/>
      <c r="B23" s="61" t="s">
        <v>1006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38" ht="12.75">
      <c r="A24" s="47" t="s">
        <v>854</v>
      </c>
      <c r="B24" s="88" t="s">
        <v>1175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1:38" ht="12.75">
      <c r="A25" s="30"/>
      <c r="B25" s="77" t="s">
        <v>1006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1:38" ht="52.5">
      <c r="A26" s="30" t="s">
        <v>725</v>
      </c>
      <c r="B26" s="21" t="s">
        <v>1699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1:38" ht="52.5">
      <c r="A27" s="30" t="s">
        <v>1176</v>
      </c>
      <c r="B27" s="77" t="s">
        <v>1163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ht="12.75">
      <c r="A28" s="30" t="s">
        <v>1177</v>
      </c>
      <c r="B28" s="61" t="s">
        <v>664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ht="12.75">
      <c r="A29" s="30" t="s">
        <v>1178</v>
      </c>
      <c r="B29" s="77" t="s">
        <v>665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1:38" ht="52.5">
      <c r="A30" s="30" t="s">
        <v>1179</v>
      </c>
      <c r="B30" s="77" t="s">
        <v>1165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1:38" ht="66">
      <c r="A31" s="30" t="s">
        <v>1180</v>
      </c>
      <c r="B31" s="77" t="s">
        <v>1166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1:38" ht="12.75">
      <c r="A32" s="30"/>
      <c r="B32" s="6" t="s">
        <v>664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1:38" ht="12.75">
      <c r="A33" s="30"/>
      <c r="B33" s="77" t="s">
        <v>665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ht="66">
      <c r="A34" s="30" t="s">
        <v>1181</v>
      </c>
      <c r="B34" s="77" t="s">
        <v>1168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 ht="12.75">
      <c r="A35" s="30"/>
      <c r="B35" s="61" t="s">
        <v>664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8" ht="12.75">
      <c r="A36" s="30"/>
      <c r="B36" s="61" t="s">
        <v>665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27"/>
      <c r="AE36" s="27"/>
      <c r="AF36" s="27"/>
      <c r="AG36" s="27"/>
      <c r="AH36" s="27"/>
      <c r="AI36" s="27"/>
      <c r="AJ36" s="27"/>
      <c r="AK36" s="27"/>
      <c r="AL36" s="27"/>
    </row>
    <row r="37" ht="13.5" hidden="1" outlineLevel="1">
      <c r="A37" s="113" t="s">
        <v>35</v>
      </c>
    </row>
    <row r="38" spans="1:155" ht="13.5" hidden="1" outlineLevel="1">
      <c r="A38" s="115" t="s">
        <v>637</v>
      </c>
      <c r="B38" s="1956" t="s">
        <v>691</v>
      </c>
      <c r="C38" s="1956"/>
      <c r="D38" s="1956"/>
      <c r="E38" s="1956"/>
      <c r="F38" s="1956"/>
      <c r="G38" s="1956"/>
      <c r="H38" s="1956"/>
      <c r="I38" s="1956"/>
      <c r="J38" s="1956"/>
      <c r="K38" s="1956"/>
      <c r="L38" s="1956"/>
      <c r="M38" s="1956"/>
      <c r="N38" s="1956"/>
      <c r="O38" s="1956"/>
      <c r="P38" s="1956"/>
      <c r="Q38" s="1956"/>
      <c r="R38" s="1956"/>
      <c r="S38" s="1956"/>
      <c r="T38" s="1956"/>
      <c r="U38" s="1956"/>
      <c r="V38" s="1956"/>
      <c r="W38" s="1956"/>
      <c r="X38" s="1956"/>
      <c r="Y38" s="1956"/>
      <c r="Z38" s="1956"/>
      <c r="AA38" s="1956"/>
      <c r="AB38" s="1956"/>
      <c r="AC38" s="1956"/>
      <c r="AD38" s="1956"/>
      <c r="AE38" s="1956"/>
      <c r="AF38" s="1956"/>
      <c r="AG38" s="1956"/>
      <c r="AH38" s="1956"/>
      <c r="AI38" s="1956"/>
      <c r="AJ38" s="1956"/>
      <c r="AK38" s="1956"/>
      <c r="AL38" s="1956"/>
      <c r="AM38" s="1956"/>
      <c r="AN38" s="1956"/>
      <c r="AO38" s="1956"/>
      <c r="AP38" s="1956"/>
      <c r="AQ38" s="1956"/>
      <c r="AR38" s="1956"/>
      <c r="AS38" s="1956"/>
      <c r="AT38" s="1956"/>
      <c r="AU38" s="1956"/>
      <c r="AV38" s="1956"/>
      <c r="AW38" s="1956"/>
      <c r="AX38" s="1956"/>
      <c r="AY38" s="1956"/>
      <c r="AZ38" s="1956"/>
      <c r="BA38" s="1956"/>
      <c r="BB38" s="1956"/>
      <c r="BC38" s="1956"/>
      <c r="BD38" s="1956"/>
      <c r="BE38" s="1956"/>
      <c r="BF38" s="1956"/>
      <c r="BG38" s="1956"/>
      <c r="BH38" s="1956"/>
      <c r="BI38" s="1956"/>
      <c r="BJ38" s="1956"/>
      <c r="BK38" s="1956"/>
      <c r="BL38" s="1956"/>
      <c r="BM38" s="1956"/>
      <c r="BN38" s="1956"/>
      <c r="BO38" s="1956"/>
      <c r="BP38" s="1956"/>
      <c r="BQ38" s="1956"/>
      <c r="BR38" s="1956"/>
      <c r="BS38" s="1956"/>
      <c r="BT38" s="1956"/>
      <c r="BU38" s="1956"/>
      <c r="BV38" s="1956"/>
      <c r="BW38" s="1956"/>
      <c r="BX38" s="1956"/>
      <c r="BY38" s="1956"/>
      <c r="BZ38" s="1956"/>
      <c r="CA38" s="1956"/>
      <c r="CB38" s="1956"/>
      <c r="CC38" s="1956"/>
      <c r="CD38" s="1956"/>
      <c r="CE38" s="1956"/>
      <c r="CF38" s="1956"/>
      <c r="CG38" s="1956"/>
      <c r="CH38" s="1956"/>
      <c r="CI38" s="1956"/>
      <c r="CJ38" s="1956"/>
      <c r="CK38" s="1956"/>
      <c r="CL38" s="1956"/>
      <c r="CM38" s="1956"/>
      <c r="CN38" s="1956"/>
      <c r="CO38" s="1956"/>
      <c r="CP38" s="1956"/>
      <c r="CQ38" s="1956"/>
      <c r="CR38" s="1956"/>
      <c r="CS38" s="1956"/>
      <c r="CT38" s="1956"/>
      <c r="CU38" s="1956"/>
      <c r="CV38" s="1956"/>
      <c r="CW38" s="1956"/>
      <c r="CX38" s="1956"/>
      <c r="CY38" s="1956"/>
      <c r="CZ38" s="1956"/>
      <c r="DA38" s="1956"/>
      <c r="DB38" s="1956"/>
      <c r="DC38" s="1956"/>
      <c r="DD38" s="1956"/>
      <c r="DE38" s="1956"/>
      <c r="DF38" s="1956"/>
      <c r="DG38" s="1956"/>
      <c r="DH38" s="1956"/>
      <c r="DI38" s="1956"/>
      <c r="DJ38" s="1956"/>
      <c r="DK38" s="1956"/>
      <c r="DL38" s="1956"/>
      <c r="DM38" s="1956"/>
      <c r="DN38" s="1956"/>
      <c r="DO38" s="1956"/>
      <c r="DP38" s="1956"/>
      <c r="DQ38" s="1956"/>
      <c r="DR38" s="1956"/>
      <c r="DS38" s="1956"/>
      <c r="DT38" s="1956"/>
      <c r="DU38" s="1956"/>
      <c r="DV38" s="1956"/>
      <c r="DW38" s="1956"/>
      <c r="DX38" s="1956"/>
      <c r="DY38" s="1956"/>
      <c r="DZ38" s="1956"/>
      <c r="EA38" s="1956"/>
      <c r="EB38" s="1956"/>
      <c r="EC38" s="1956"/>
      <c r="ED38" s="1956"/>
      <c r="EE38" s="1956"/>
      <c r="EF38" s="1956"/>
      <c r="EG38" s="1956"/>
      <c r="EH38" s="1956"/>
      <c r="EI38" s="1956"/>
      <c r="EJ38" s="1956"/>
      <c r="EK38" s="1956"/>
      <c r="EL38" s="1956"/>
      <c r="EM38" s="1956"/>
      <c r="EN38" s="1956"/>
      <c r="EO38" s="1956"/>
      <c r="EP38" s="1956"/>
      <c r="EQ38" s="1956"/>
      <c r="ER38" s="1956"/>
      <c r="ES38" s="1956"/>
      <c r="ET38" s="1956"/>
      <c r="EU38" s="1956"/>
      <c r="EV38" s="1956"/>
      <c r="EW38" s="1956"/>
      <c r="EX38" s="1956"/>
      <c r="EY38" s="1956"/>
    </row>
    <row r="39" spans="1:155" ht="13.5" hidden="1" outlineLevel="1">
      <c r="A39" s="115" t="s">
        <v>639</v>
      </c>
      <c r="B39" s="1956" t="s">
        <v>692</v>
      </c>
      <c r="C39" s="1956"/>
      <c r="D39" s="1956"/>
      <c r="E39" s="1956"/>
      <c r="F39" s="1956"/>
      <c r="G39" s="1956"/>
      <c r="H39" s="1956"/>
      <c r="I39" s="1956"/>
      <c r="J39" s="1956"/>
      <c r="K39" s="1956"/>
      <c r="L39" s="1956"/>
      <c r="M39" s="1956"/>
      <c r="N39" s="1956"/>
      <c r="O39" s="1956"/>
      <c r="P39" s="1956"/>
      <c r="Q39" s="1956"/>
      <c r="R39" s="1956"/>
      <c r="S39" s="1956"/>
      <c r="T39" s="1956"/>
      <c r="U39" s="1956"/>
      <c r="V39" s="1956"/>
      <c r="W39" s="1956"/>
      <c r="X39" s="1956"/>
      <c r="Y39" s="1956"/>
      <c r="Z39" s="1956"/>
      <c r="AA39" s="1956"/>
      <c r="AB39" s="1956"/>
      <c r="AC39" s="1956"/>
      <c r="AD39" s="1956"/>
      <c r="AE39" s="1956"/>
      <c r="AF39" s="1956"/>
      <c r="AG39" s="1956"/>
      <c r="AH39" s="1956"/>
      <c r="AI39" s="1956"/>
      <c r="AJ39" s="1956"/>
      <c r="AK39" s="1956"/>
      <c r="AL39" s="1956"/>
      <c r="AM39" s="1956"/>
      <c r="AN39" s="1956"/>
      <c r="AO39" s="1956"/>
      <c r="AP39" s="1956"/>
      <c r="AQ39" s="1956"/>
      <c r="AR39" s="1956"/>
      <c r="AS39" s="1956"/>
      <c r="AT39" s="1956"/>
      <c r="AU39" s="1956"/>
      <c r="AV39" s="1956"/>
      <c r="AW39" s="1956"/>
      <c r="AX39" s="1956"/>
      <c r="AY39" s="1956"/>
      <c r="AZ39" s="1956"/>
      <c r="BA39" s="1956"/>
      <c r="BB39" s="1956"/>
      <c r="BC39" s="1956"/>
      <c r="BD39" s="1956"/>
      <c r="BE39" s="1956"/>
      <c r="BF39" s="1956"/>
      <c r="BG39" s="1956"/>
      <c r="BH39" s="1956"/>
      <c r="BI39" s="1956"/>
      <c r="BJ39" s="1956"/>
      <c r="BK39" s="1956"/>
      <c r="BL39" s="1956"/>
      <c r="BM39" s="1956"/>
      <c r="BN39" s="1956"/>
      <c r="BO39" s="1956"/>
      <c r="BP39" s="1956"/>
      <c r="BQ39" s="1956"/>
      <c r="BR39" s="1956"/>
      <c r="BS39" s="1956"/>
      <c r="BT39" s="1956"/>
      <c r="BU39" s="1956"/>
      <c r="BV39" s="1956"/>
      <c r="BW39" s="1956"/>
      <c r="BX39" s="1956"/>
      <c r="BY39" s="1956"/>
      <c r="BZ39" s="1956"/>
      <c r="CA39" s="1956"/>
      <c r="CB39" s="1956"/>
      <c r="CC39" s="1956"/>
      <c r="CD39" s="1956"/>
      <c r="CE39" s="1956"/>
      <c r="CF39" s="1956"/>
      <c r="CG39" s="1956"/>
      <c r="CH39" s="1956"/>
      <c r="CI39" s="1956"/>
      <c r="CJ39" s="1956"/>
      <c r="CK39" s="1956"/>
      <c r="CL39" s="1956"/>
      <c r="CM39" s="1956"/>
      <c r="CN39" s="1956"/>
      <c r="CO39" s="1956"/>
      <c r="CP39" s="1956"/>
      <c r="CQ39" s="1956"/>
      <c r="CR39" s="1956"/>
      <c r="CS39" s="1956"/>
      <c r="CT39" s="1956"/>
      <c r="CU39" s="1956"/>
      <c r="CV39" s="1956"/>
      <c r="CW39" s="1956"/>
      <c r="CX39" s="1956"/>
      <c r="CY39" s="1956"/>
      <c r="CZ39" s="1956"/>
      <c r="DA39" s="1956"/>
      <c r="DB39" s="1956"/>
      <c r="DC39" s="1956"/>
      <c r="DD39" s="1956"/>
      <c r="DE39" s="1956"/>
      <c r="DF39" s="1956"/>
      <c r="DG39" s="1956"/>
      <c r="DH39" s="1956"/>
      <c r="DI39" s="1956"/>
      <c r="DJ39" s="1956"/>
      <c r="DK39" s="1956"/>
      <c r="DL39" s="1956"/>
      <c r="DM39" s="1956"/>
      <c r="DN39" s="1956"/>
      <c r="DO39" s="1956"/>
      <c r="DP39" s="1956"/>
      <c r="DQ39" s="1956"/>
      <c r="DR39" s="1956"/>
      <c r="DS39" s="1956"/>
      <c r="DT39" s="1956"/>
      <c r="DU39" s="1956"/>
      <c r="DV39" s="1956"/>
      <c r="DW39" s="1956"/>
      <c r="DX39" s="1956"/>
      <c r="DY39" s="1956"/>
      <c r="DZ39" s="1956"/>
      <c r="EA39" s="1956"/>
      <c r="EB39" s="1956"/>
      <c r="EC39" s="1956"/>
      <c r="ED39" s="1956"/>
      <c r="EE39" s="1956"/>
      <c r="EF39" s="1956"/>
      <c r="EG39" s="1956"/>
      <c r="EH39" s="1956"/>
      <c r="EI39" s="1956"/>
      <c r="EJ39" s="1956"/>
      <c r="EK39" s="1956"/>
      <c r="EL39" s="1956"/>
      <c r="EM39" s="1956"/>
      <c r="EN39" s="1956"/>
      <c r="EO39" s="1956"/>
      <c r="EP39" s="1956"/>
      <c r="EQ39" s="1956"/>
      <c r="ER39" s="1956"/>
      <c r="ES39" s="1956"/>
      <c r="ET39" s="1956"/>
      <c r="EU39" s="1956"/>
      <c r="EV39" s="1956"/>
      <c r="EW39" s="1956"/>
      <c r="EX39" s="1956"/>
      <c r="EY39" s="1956"/>
    </row>
    <row r="40" spans="1:155" ht="13.5" hidden="1" outlineLevel="1">
      <c r="A40" s="115" t="s">
        <v>640</v>
      </c>
      <c r="B40" s="1956" t="s">
        <v>693</v>
      </c>
      <c r="C40" s="1956"/>
      <c r="D40" s="1956"/>
      <c r="E40" s="1956"/>
      <c r="F40" s="1956"/>
      <c r="G40" s="1956"/>
      <c r="H40" s="1956"/>
      <c r="I40" s="1956"/>
      <c r="J40" s="1956"/>
      <c r="K40" s="1956"/>
      <c r="L40" s="1956"/>
      <c r="M40" s="1956"/>
      <c r="N40" s="1956"/>
      <c r="O40" s="1956"/>
      <c r="P40" s="1956"/>
      <c r="Q40" s="1956"/>
      <c r="R40" s="1956"/>
      <c r="S40" s="1956"/>
      <c r="T40" s="1956"/>
      <c r="U40" s="1956"/>
      <c r="V40" s="1956"/>
      <c r="W40" s="1956"/>
      <c r="X40" s="1956"/>
      <c r="Y40" s="1956"/>
      <c r="Z40" s="1956"/>
      <c r="AA40" s="1956"/>
      <c r="AB40" s="1956"/>
      <c r="AC40" s="1956"/>
      <c r="AD40" s="1956"/>
      <c r="AE40" s="1956"/>
      <c r="AF40" s="1956"/>
      <c r="AG40" s="1956"/>
      <c r="AH40" s="1956"/>
      <c r="AI40" s="1956"/>
      <c r="AJ40" s="1956"/>
      <c r="AK40" s="1956"/>
      <c r="AL40" s="1956"/>
      <c r="AM40" s="1956"/>
      <c r="AN40" s="1956"/>
      <c r="AO40" s="1956"/>
      <c r="AP40" s="1956"/>
      <c r="AQ40" s="1956"/>
      <c r="AR40" s="1956"/>
      <c r="AS40" s="1956"/>
      <c r="AT40" s="1956"/>
      <c r="AU40" s="1956"/>
      <c r="AV40" s="1956"/>
      <c r="AW40" s="1956"/>
      <c r="AX40" s="1956"/>
      <c r="AY40" s="1956"/>
      <c r="AZ40" s="1956"/>
      <c r="BA40" s="1956"/>
      <c r="BB40" s="1956"/>
      <c r="BC40" s="1956"/>
      <c r="BD40" s="1956"/>
      <c r="BE40" s="1956"/>
      <c r="BF40" s="1956"/>
      <c r="BG40" s="1956"/>
      <c r="BH40" s="1956"/>
      <c r="BI40" s="1956"/>
      <c r="BJ40" s="1956"/>
      <c r="BK40" s="1956"/>
      <c r="BL40" s="1956"/>
      <c r="BM40" s="1956"/>
      <c r="BN40" s="1956"/>
      <c r="BO40" s="1956"/>
      <c r="BP40" s="1956"/>
      <c r="BQ40" s="1956"/>
      <c r="BR40" s="1956"/>
      <c r="BS40" s="1956"/>
      <c r="BT40" s="1956"/>
      <c r="BU40" s="1956"/>
      <c r="BV40" s="1956"/>
      <c r="BW40" s="1956"/>
      <c r="BX40" s="1956"/>
      <c r="BY40" s="1956"/>
      <c r="BZ40" s="1956"/>
      <c r="CA40" s="1956"/>
      <c r="CB40" s="1956"/>
      <c r="CC40" s="1956"/>
      <c r="CD40" s="1956"/>
      <c r="CE40" s="1956"/>
      <c r="CF40" s="1956"/>
      <c r="CG40" s="1956"/>
      <c r="CH40" s="1956"/>
      <c r="CI40" s="1956"/>
      <c r="CJ40" s="1956"/>
      <c r="CK40" s="1956"/>
      <c r="CL40" s="1956"/>
      <c r="CM40" s="1956"/>
      <c r="CN40" s="1956"/>
      <c r="CO40" s="1956"/>
      <c r="CP40" s="1956"/>
      <c r="CQ40" s="1956"/>
      <c r="CR40" s="1956"/>
      <c r="CS40" s="1956"/>
      <c r="CT40" s="1956"/>
      <c r="CU40" s="1956"/>
      <c r="CV40" s="1956"/>
      <c r="CW40" s="1956"/>
      <c r="CX40" s="1956"/>
      <c r="CY40" s="1956"/>
      <c r="CZ40" s="1956"/>
      <c r="DA40" s="1956"/>
      <c r="DB40" s="1956"/>
      <c r="DC40" s="1956"/>
      <c r="DD40" s="1956"/>
      <c r="DE40" s="1956"/>
      <c r="DF40" s="1956"/>
      <c r="DG40" s="1956"/>
      <c r="DH40" s="1956"/>
      <c r="DI40" s="1956"/>
      <c r="DJ40" s="1956"/>
      <c r="DK40" s="1956"/>
      <c r="DL40" s="1956"/>
      <c r="DM40" s="1956"/>
      <c r="DN40" s="1956"/>
      <c r="DO40" s="1956"/>
      <c r="DP40" s="1956"/>
      <c r="DQ40" s="1956"/>
      <c r="DR40" s="1956"/>
      <c r="DS40" s="1956"/>
      <c r="DT40" s="1956"/>
      <c r="DU40" s="1956"/>
      <c r="DV40" s="1956"/>
      <c r="DW40" s="1956"/>
      <c r="DX40" s="1956"/>
      <c r="DY40" s="1956"/>
      <c r="DZ40" s="1956"/>
      <c r="EA40" s="1956"/>
      <c r="EB40" s="1956"/>
      <c r="EC40" s="1956"/>
      <c r="ED40" s="1956"/>
      <c r="EE40" s="1956"/>
      <c r="EF40" s="1956"/>
      <c r="EG40" s="1956"/>
      <c r="EH40" s="1956"/>
      <c r="EI40" s="1956"/>
      <c r="EJ40" s="1956"/>
      <c r="EK40" s="1956"/>
      <c r="EL40" s="1956"/>
      <c r="EM40" s="1956"/>
      <c r="EN40" s="1956"/>
      <c r="EO40" s="1956"/>
      <c r="EP40" s="1956"/>
      <c r="EQ40" s="1956"/>
      <c r="ER40" s="1956"/>
      <c r="ES40" s="1956"/>
      <c r="ET40" s="1956"/>
      <c r="EU40" s="1956"/>
      <c r="EV40" s="1956"/>
      <c r="EW40" s="1956"/>
      <c r="EX40" s="1956"/>
      <c r="EY40" s="1956"/>
    </row>
    <row r="41" spans="1:155" ht="13.5" hidden="1" outlineLevel="1">
      <c r="A41" s="140" t="s">
        <v>641</v>
      </c>
      <c r="B41" s="113" t="s">
        <v>694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</row>
    <row r="42" spans="1:155" ht="13.5" hidden="1" outlineLevel="1">
      <c r="A42" s="140" t="s">
        <v>642</v>
      </c>
      <c r="B42" s="113" t="s">
        <v>1699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</row>
    <row r="43" spans="1:155" ht="13.5" hidden="1" outlineLevel="1">
      <c r="A43" s="113"/>
      <c r="B43" s="113" t="s">
        <v>1677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</row>
    <row r="44" spans="1:155" ht="13.5" hidden="1" outlineLevel="1">
      <c r="A44" s="113"/>
      <c r="B44" s="113" t="s">
        <v>1678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</row>
    <row r="45" spans="1:155" ht="13.5" hidden="1" outlineLevel="1">
      <c r="A45" s="113"/>
      <c r="B45" s="113" t="s">
        <v>1679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</row>
    <row r="46" spans="1:155" ht="13.5" hidden="1" outlineLevel="1">
      <c r="A46" s="113"/>
      <c r="B46" s="113" t="s">
        <v>1680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</row>
    <row r="47" ht="12.75" collapsed="1"/>
    <row r="49" ht="13.5">
      <c r="A49" s="7" t="s">
        <v>1610</v>
      </c>
    </row>
  </sheetData>
  <sheetProtection/>
  <mergeCells count="18">
    <mergeCell ref="B38:EY38"/>
    <mergeCell ref="B39:EY39"/>
    <mergeCell ref="K7:N8"/>
    <mergeCell ref="O8:R8"/>
    <mergeCell ref="O6:AL6"/>
    <mergeCell ref="AA7:AL7"/>
    <mergeCell ref="S8:V8"/>
    <mergeCell ref="AA8:AD8"/>
    <mergeCell ref="B40:EY40"/>
    <mergeCell ref="AI8:AL8"/>
    <mergeCell ref="A6:A9"/>
    <mergeCell ref="B6:B9"/>
    <mergeCell ref="C6:N6"/>
    <mergeCell ref="AE8:AH8"/>
    <mergeCell ref="W8:Z8"/>
    <mergeCell ref="O7:Z7"/>
    <mergeCell ref="C7:F8"/>
    <mergeCell ref="G7:J8"/>
  </mergeCells>
  <printOptions/>
  <pageMargins left="0.7086614173228347" right="0.7086614173228347" top="0.46" bottom="0.43" header="0.31496062992125984" footer="0.31496062992125984"/>
  <pageSetup fitToHeight="3" fitToWidth="1" horizontalDpi="600" verticalDpi="600" orientation="landscape" paperSize="9" scale="2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D72"/>
  <sheetViews>
    <sheetView zoomScale="80" zoomScaleNormal="80" zoomScaleSheetLayoutView="100" workbookViewId="0" topLeftCell="A1">
      <pane xSplit="3" ySplit="11" topLeftCell="J35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V85" sqref="V85"/>
    </sheetView>
  </sheetViews>
  <sheetFormatPr defaultColWidth="9.140625" defaultRowHeight="15" outlineLevelRow="1"/>
  <cols>
    <col min="1" max="1" width="4.28125" style="210" hidden="1" customWidth="1"/>
    <col min="2" max="2" width="4.7109375" style="1" customWidth="1"/>
    <col min="3" max="3" width="27.28125" style="1" customWidth="1"/>
    <col min="4" max="4" width="11.140625" style="1" hidden="1" customWidth="1"/>
    <col min="5" max="5" width="11.7109375" style="1" hidden="1" customWidth="1"/>
    <col min="6" max="6" width="12.421875" style="1" hidden="1" customWidth="1"/>
    <col min="7" max="7" width="11.140625" style="1" hidden="1" customWidth="1"/>
    <col min="8" max="8" width="11.7109375" style="1" hidden="1" customWidth="1"/>
    <col min="9" max="9" width="12.421875" style="1" hidden="1" customWidth="1"/>
    <col min="10" max="10" width="10.7109375" style="1" customWidth="1"/>
    <col min="11" max="11" width="11.8515625" style="1" hidden="1" customWidth="1"/>
    <col min="12" max="12" width="12.28125" style="1" hidden="1" customWidth="1"/>
    <col min="13" max="13" width="11.00390625" style="1" customWidth="1"/>
    <col min="14" max="14" width="12.28125" style="1" hidden="1" customWidth="1"/>
    <col min="15" max="15" width="12.421875" style="1" hidden="1" customWidth="1"/>
    <col min="16" max="16" width="10.7109375" style="1" customWidth="1"/>
    <col min="17" max="18" width="10.7109375" style="1" hidden="1" customWidth="1"/>
    <col min="19" max="19" width="10.8515625" style="1" customWidth="1"/>
    <col min="20" max="21" width="9.140625" style="1" hidden="1" customWidth="1"/>
    <col min="22" max="22" width="10.8515625" style="1" customWidth="1"/>
    <col min="23" max="24" width="9.140625" style="1" hidden="1" customWidth="1"/>
    <col min="25" max="25" width="11.28125" style="1" customWidth="1"/>
    <col min="26" max="27" width="9.140625" style="1" hidden="1" customWidth="1"/>
    <col min="28" max="28" width="11.00390625" style="1" customWidth="1"/>
    <col min="29" max="30" width="9.140625" style="1" hidden="1" customWidth="1"/>
    <col min="31" max="31" width="11.421875" style="1" customWidth="1"/>
    <col min="32" max="33" width="9.140625" style="1" hidden="1" customWidth="1"/>
    <col min="34" max="34" width="11.00390625" style="1" customWidth="1"/>
    <col min="35" max="36" width="9.140625" style="1" hidden="1" customWidth="1"/>
    <col min="37" max="37" width="10.7109375" style="1" customWidth="1"/>
    <col min="38" max="39" width="9.140625" style="1" hidden="1" customWidth="1"/>
    <col min="40" max="40" width="10.7109375" style="1" customWidth="1"/>
    <col min="41" max="16384" width="9.140625" style="1" customWidth="1"/>
  </cols>
  <sheetData>
    <row r="1" spans="1:18" ht="12.75" hidden="1">
      <c r="A1" s="210">
        <v>1</v>
      </c>
      <c r="B1" s="210">
        <v>2</v>
      </c>
      <c r="C1" s="210">
        <v>3</v>
      </c>
      <c r="D1" s="210">
        <v>4</v>
      </c>
      <c r="E1" s="210">
        <v>5</v>
      </c>
      <c r="F1" s="210">
        <v>6</v>
      </c>
      <c r="G1" s="210">
        <v>4</v>
      </c>
      <c r="H1" s="210">
        <v>5</v>
      </c>
      <c r="I1" s="210">
        <v>6</v>
      </c>
      <c r="J1" s="210">
        <v>7</v>
      </c>
      <c r="K1" s="210">
        <v>8</v>
      </c>
      <c r="L1" s="210">
        <v>9</v>
      </c>
      <c r="M1" s="210">
        <v>10</v>
      </c>
      <c r="N1" s="210">
        <v>11</v>
      </c>
      <c r="O1" s="210">
        <v>12</v>
      </c>
      <c r="P1" s="210">
        <v>19</v>
      </c>
      <c r="Q1" s="210">
        <v>20</v>
      </c>
      <c r="R1" s="210">
        <v>21</v>
      </c>
    </row>
    <row r="2" spans="2:34" ht="15" customHeight="1" outlineLevel="1">
      <c r="B2" s="7" t="s">
        <v>7</v>
      </c>
      <c r="C2" s="145"/>
      <c r="D2" s="52"/>
      <c r="E2" s="52"/>
      <c r="F2" s="52"/>
      <c r="G2" s="52"/>
      <c r="H2" s="52"/>
      <c r="I2" s="52"/>
      <c r="J2" s="52"/>
      <c r="K2" s="64"/>
      <c r="L2" s="7"/>
      <c r="M2" s="145"/>
      <c r="N2" s="52"/>
      <c r="O2" s="52"/>
      <c r="R2" s="2" t="s">
        <v>1425</v>
      </c>
      <c r="AH2" s="37" t="s">
        <v>1425</v>
      </c>
    </row>
    <row r="3" spans="2:15" ht="14.25" outlineLevel="1">
      <c r="B3" s="1" t="s">
        <v>1656</v>
      </c>
      <c r="C3" s="145"/>
      <c r="D3" s="52"/>
      <c r="E3" s="52"/>
      <c r="F3" s="52"/>
      <c r="G3" s="52"/>
      <c r="H3" s="52"/>
      <c r="I3" s="52"/>
      <c r="J3" s="52"/>
      <c r="K3" s="37"/>
      <c r="M3" s="145"/>
      <c r="N3" s="52"/>
      <c r="O3" s="52"/>
    </row>
    <row r="4" ht="12.75" outlineLevel="1"/>
    <row r="5" spans="2:18" ht="16.5" customHeight="1" outlineLevel="1">
      <c r="B5" s="33" t="s">
        <v>1697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ht="13.5" outlineLevel="1">
      <c r="B6" s="666" t="str">
        <f>'[2]4.1'!B6</f>
        <v>Усть-Камчатское сельское поселение Усть-Камчатского муниципального района</v>
      </c>
    </row>
    <row r="7" spans="2:40" ht="12.75">
      <c r="B7" s="2006" t="s">
        <v>1008</v>
      </c>
      <c r="C7" s="2006" t="s">
        <v>1016</v>
      </c>
      <c r="D7" s="709" t="s">
        <v>1005</v>
      </c>
      <c r="E7" s="710"/>
      <c r="F7" s="710"/>
      <c r="G7" s="710"/>
      <c r="H7" s="710"/>
      <c r="I7" s="710"/>
      <c r="J7" s="2241" t="s">
        <v>1005</v>
      </c>
      <c r="K7" s="2242"/>
      <c r="L7" s="2242"/>
      <c r="M7" s="2242"/>
      <c r="N7" s="2242"/>
      <c r="O7" s="2242"/>
      <c r="P7" s="2241" t="s">
        <v>1007</v>
      </c>
      <c r="Q7" s="2242"/>
      <c r="R7" s="2242"/>
      <c r="S7" s="2242"/>
      <c r="T7" s="2242"/>
      <c r="U7" s="2242"/>
      <c r="V7" s="2242"/>
      <c r="W7" s="2242"/>
      <c r="X7" s="2242"/>
      <c r="Y7" s="2242"/>
      <c r="Z7" s="2242"/>
      <c r="AA7" s="2242"/>
      <c r="AB7" s="2242"/>
      <c r="AC7" s="2242"/>
      <c r="AD7" s="2242"/>
      <c r="AE7" s="2242"/>
      <c r="AF7" s="2242"/>
      <c r="AG7" s="2242"/>
      <c r="AH7" s="2242"/>
      <c r="AI7" s="2242"/>
      <c r="AJ7" s="2242"/>
      <c r="AK7" s="2242"/>
      <c r="AL7" s="2242"/>
      <c r="AM7" s="2242"/>
      <c r="AN7" s="2243"/>
    </row>
    <row r="8" spans="2:56" ht="12.75" customHeight="1">
      <c r="B8" s="2007"/>
      <c r="C8" s="2007"/>
      <c r="D8" s="2029" t="s">
        <v>704</v>
      </c>
      <c r="E8" s="2030"/>
      <c r="F8" s="2020"/>
      <c r="G8" s="2029" t="s">
        <v>44</v>
      </c>
      <c r="H8" s="2030"/>
      <c r="I8" s="2020"/>
      <c r="J8" s="2029" t="s">
        <v>1424</v>
      </c>
      <c r="K8" s="2030"/>
      <c r="L8" s="2020"/>
      <c r="M8" s="2029" t="s">
        <v>813</v>
      </c>
      <c r="N8" s="2030"/>
      <c r="O8" s="2020"/>
      <c r="P8" s="2289" t="s">
        <v>465</v>
      </c>
      <c r="Q8" s="2290"/>
      <c r="R8" s="2290"/>
      <c r="S8" s="2290"/>
      <c r="T8" s="2290"/>
      <c r="U8" s="2290"/>
      <c r="V8" s="2291"/>
      <c r="W8" s="712"/>
      <c r="X8" s="712"/>
      <c r="Y8" s="2289" t="s">
        <v>1489</v>
      </c>
      <c r="Z8" s="2290"/>
      <c r="AA8" s="2290"/>
      <c r="AB8" s="2290"/>
      <c r="AC8" s="2290"/>
      <c r="AD8" s="2290"/>
      <c r="AE8" s="2291"/>
      <c r="AF8" s="712"/>
      <c r="AG8" s="712"/>
      <c r="AH8" s="2289" t="s">
        <v>814</v>
      </c>
      <c r="AI8" s="2290"/>
      <c r="AJ8" s="2290"/>
      <c r="AK8" s="2290"/>
      <c r="AL8" s="2290"/>
      <c r="AM8" s="2290"/>
      <c r="AN8" s="2291"/>
      <c r="AO8" s="713"/>
      <c r="AP8" s="713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2:56" ht="12.75" customHeight="1">
      <c r="B9" s="2007"/>
      <c r="C9" s="2007"/>
      <c r="D9" s="2021"/>
      <c r="E9" s="2022"/>
      <c r="F9" s="2023"/>
      <c r="G9" s="2021"/>
      <c r="H9" s="2022"/>
      <c r="I9" s="2023"/>
      <c r="J9" s="2021"/>
      <c r="K9" s="2022"/>
      <c r="L9" s="2023"/>
      <c r="M9" s="2021"/>
      <c r="N9" s="2022"/>
      <c r="O9" s="2023"/>
      <c r="P9" s="2024" t="s">
        <v>142</v>
      </c>
      <c r="Q9" s="2025"/>
      <c r="R9" s="2026"/>
      <c r="S9" s="2024" t="s">
        <v>707</v>
      </c>
      <c r="T9" s="2025"/>
      <c r="U9" s="2026"/>
      <c r="V9" s="2024" t="s">
        <v>708</v>
      </c>
      <c r="W9" s="2025"/>
      <c r="X9" s="2026"/>
      <c r="Y9" s="2024" t="s">
        <v>142</v>
      </c>
      <c r="Z9" s="2025"/>
      <c r="AA9" s="2026"/>
      <c r="AB9" s="2024" t="s">
        <v>707</v>
      </c>
      <c r="AC9" s="2025"/>
      <c r="AD9" s="2026"/>
      <c r="AE9" s="2024" t="s">
        <v>708</v>
      </c>
      <c r="AF9" s="2025"/>
      <c r="AG9" s="2026"/>
      <c r="AH9" s="2024" t="s">
        <v>142</v>
      </c>
      <c r="AI9" s="2025"/>
      <c r="AJ9" s="2026"/>
      <c r="AK9" s="2024" t="s">
        <v>707</v>
      </c>
      <c r="AL9" s="2025"/>
      <c r="AM9" s="2026"/>
      <c r="AN9" s="718" t="s">
        <v>708</v>
      </c>
      <c r="AO9" s="713"/>
      <c r="AP9" s="713"/>
      <c r="AQ9" s="2192"/>
      <c r="AR9" s="2192"/>
      <c r="AS9" s="2192"/>
      <c r="AT9" s="2192"/>
      <c r="AU9" s="2192"/>
      <c r="AV9" s="2192"/>
      <c r="AW9" s="2192"/>
      <c r="AX9" s="2192"/>
      <c r="AY9" s="2192"/>
      <c r="AZ9" s="16"/>
      <c r="BA9" s="16"/>
      <c r="BB9" s="16"/>
      <c r="BC9" s="16"/>
      <c r="BD9" s="16"/>
    </row>
    <row r="10" spans="2:56" ht="210.75">
      <c r="B10" s="2003"/>
      <c r="C10" s="2003"/>
      <c r="D10" s="43" t="s">
        <v>1426</v>
      </c>
      <c r="E10" s="43" t="s">
        <v>695</v>
      </c>
      <c r="F10" s="43" t="s">
        <v>696</v>
      </c>
      <c r="G10" s="43" t="s">
        <v>1426</v>
      </c>
      <c r="H10" s="43" t="s">
        <v>695</v>
      </c>
      <c r="I10" s="43" t="s">
        <v>696</v>
      </c>
      <c r="J10" s="43" t="s">
        <v>1426</v>
      </c>
      <c r="K10" s="43" t="s">
        <v>695</v>
      </c>
      <c r="L10" s="43" t="s">
        <v>696</v>
      </c>
      <c r="M10" s="43" t="s">
        <v>1426</v>
      </c>
      <c r="N10" s="43" t="s">
        <v>695</v>
      </c>
      <c r="O10" s="43" t="s">
        <v>696</v>
      </c>
      <c r="P10" s="1470" t="s">
        <v>1426</v>
      </c>
      <c r="Q10" s="22" t="s">
        <v>695</v>
      </c>
      <c r="R10" s="22" t="s">
        <v>696</v>
      </c>
      <c r="S10" s="22" t="s">
        <v>1426</v>
      </c>
      <c r="T10" s="22" t="s">
        <v>695</v>
      </c>
      <c r="U10" s="22" t="s">
        <v>696</v>
      </c>
      <c r="V10" s="22" t="s">
        <v>1426</v>
      </c>
      <c r="W10" s="22" t="s">
        <v>695</v>
      </c>
      <c r="X10" s="22" t="s">
        <v>696</v>
      </c>
      <c r="Y10" s="1470" t="s">
        <v>1426</v>
      </c>
      <c r="Z10" s="22" t="s">
        <v>695</v>
      </c>
      <c r="AA10" s="22" t="s">
        <v>696</v>
      </c>
      <c r="AB10" s="22" t="s">
        <v>1426</v>
      </c>
      <c r="AC10" s="22" t="s">
        <v>695</v>
      </c>
      <c r="AD10" s="22" t="s">
        <v>696</v>
      </c>
      <c r="AE10" s="22" t="s">
        <v>1426</v>
      </c>
      <c r="AF10" s="22" t="s">
        <v>695</v>
      </c>
      <c r="AG10" s="22" t="s">
        <v>696</v>
      </c>
      <c r="AH10" s="1470" t="s">
        <v>1426</v>
      </c>
      <c r="AI10" s="22" t="s">
        <v>695</v>
      </c>
      <c r="AJ10" s="22" t="s">
        <v>696</v>
      </c>
      <c r="AK10" s="22" t="s">
        <v>1426</v>
      </c>
      <c r="AL10" s="22" t="s">
        <v>695</v>
      </c>
      <c r="AM10" s="22" t="s">
        <v>696</v>
      </c>
      <c r="AN10" s="22" t="s">
        <v>1426</v>
      </c>
      <c r="AO10" s="714"/>
      <c r="AP10" s="714"/>
      <c r="AQ10" s="714"/>
      <c r="AR10" s="714"/>
      <c r="AS10" s="714"/>
      <c r="AT10" s="714"/>
      <c r="AU10" s="714"/>
      <c r="AV10" s="714"/>
      <c r="AW10" s="714"/>
      <c r="AX10" s="714"/>
      <c r="AY10" s="714"/>
      <c r="AZ10" s="16"/>
      <c r="BA10" s="16"/>
      <c r="BB10" s="16"/>
      <c r="BC10" s="16"/>
      <c r="BD10" s="16"/>
    </row>
    <row r="11" spans="2:56" ht="12.75">
      <c r="B11" s="43">
        <v>1</v>
      </c>
      <c r="C11" s="49">
        <v>2</v>
      </c>
      <c r="D11" s="43">
        <v>3</v>
      </c>
      <c r="E11" s="43">
        <v>4</v>
      </c>
      <c r="F11" s="49">
        <v>5</v>
      </c>
      <c r="G11" s="43">
        <v>6</v>
      </c>
      <c r="H11" s="43">
        <v>7</v>
      </c>
      <c r="I11" s="49">
        <v>8</v>
      </c>
      <c r="J11" s="43">
        <v>9</v>
      </c>
      <c r="K11" s="43">
        <v>10</v>
      </c>
      <c r="L11" s="49">
        <v>11</v>
      </c>
      <c r="M11" s="43">
        <v>12</v>
      </c>
      <c r="N11" s="43">
        <v>13</v>
      </c>
      <c r="O11" s="49">
        <v>14</v>
      </c>
      <c r="P11" s="437">
        <v>21</v>
      </c>
      <c r="Q11" s="43">
        <v>22</v>
      </c>
      <c r="R11" s="49">
        <v>23</v>
      </c>
      <c r="S11" s="43">
        <v>15</v>
      </c>
      <c r="T11" s="43">
        <v>16</v>
      </c>
      <c r="U11" s="49">
        <v>17</v>
      </c>
      <c r="V11" s="43">
        <v>18</v>
      </c>
      <c r="W11" s="43">
        <v>19</v>
      </c>
      <c r="X11" s="49">
        <v>20</v>
      </c>
      <c r="Y11" s="437">
        <v>21</v>
      </c>
      <c r="Z11" s="43">
        <v>22</v>
      </c>
      <c r="AA11" s="49">
        <v>23</v>
      </c>
      <c r="AB11" s="43">
        <v>21</v>
      </c>
      <c r="AC11" s="43">
        <v>22</v>
      </c>
      <c r="AD11" s="49">
        <v>23</v>
      </c>
      <c r="AE11" s="43">
        <v>21</v>
      </c>
      <c r="AF11" s="43">
        <v>22</v>
      </c>
      <c r="AG11" s="49">
        <v>23</v>
      </c>
      <c r="AH11" s="437">
        <v>21</v>
      </c>
      <c r="AI11" s="43">
        <v>22</v>
      </c>
      <c r="AJ11" s="49">
        <v>23</v>
      </c>
      <c r="AK11" s="43">
        <v>21</v>
      </c>
      <c r="AL11" s="43">
        <v>22</v>
      </c>
      <c r="AM11" s="49">
        <v>23</v>
      </c>
      <c r="AN11" s="43">
        <v>21</v>
      </c>
      <c r="AO11" s="714"/>
      <c r="AP11" s="714"/>
      <c r="AQ11" s="714"/>
      <c r="AR11" s="714"/>
      <c r="AS11" s="714"/>
      <c r="AT11" s="714"/>
      <c r="AU11" s="714"/>
      <c r="AV11" s="714"/>
      <c r="AW11" s="714"/>
      <c r="AX11" s="714"/>
      <c r="AY11" s="714"/>
      <c r="AZ11" s="16"/>
      <c r="BA11" s="16"/>
      <c r="BB11" s="16"/>
      <c r="BC11" s="16"/>
      <c r="BD11" s="16"/>
    </row>
    <row r="12" spans="2:56" ht="63.75" customHeight="1">
      <c r="B12" s="47" t="s">
        <v>1017</v>
      </c>
      <c r="C12" s="26" t="s">
        <v>1691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797"/>
      <c r="Q12" s="4"/>
      <c r="R12" s="4"/>
      <c r="S12" s="4"/>
      <c r="T12" s="4"/>
      <c r="U12" s="4"/>
      <c r="V12" s="4"/>
      <c r="W12" s="4"/>
      <c r="X12" s="4"/>
      <c r="Y12" s="797"/>
      <c r="Z12" s="4"/>
      <c r="AA12" s="4"/>
      <c r="AB12" s="4"/>
      <c r="AC12" s="4"/>
      <c r="AD12" s="4"/>
      <c r="AE12" s="4"/>
      <c r="AF12" s="4"/>
      <c r="AG12" s="4"/>
      <c r="AH12" s="797"/>
      <c r="AI12" s="4"/>
      <c r="AJ12" s="4"/>
      <c r="AK12" s="4"/>
      <c r="AL12" s="4"/>
      <c r="AM12" s="4"/>
      <c r="AN12" s="4"/>
      <c r="AO12" s="715"/>
      <c r="AP12" s="715"/>
      <c r="AQ12" s="715"/>
      <c r="AR12" s="715"/>
      <c r="AS12" s="715"/>
      <c r="AT12" s="715"/>
      <c r="AU12" s="715"/>
      <c r="AV12" s="715"/>
      <c r="AW12" s="715"/>
      <c r="AX12" s="715"/>
      <c r="AY12" s="715"/>
      <c r="AZ12" s="16"/>
      <c r="BA12" s="16"/>
      <c r="BB12" s="16"/>
      <c r="BC12" s="16"/>
      <c r="BD12" s="16"/>
    </row>
    <row r="13" spans="2:56" ht="26.25" customHeight="1" hidden="1" outlineLevel="1">
      <c r="B13" s="30" t="s">
        <v>1009</v>
      </c>
      <c r="C13" s="77" t="s">
        <v>697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97"/>
      <c r="Q13" s="4"/>
      <c r="R13" s="4"/>
      <c r="S13" s="4"/>
      <c r="T13" s="4"/>
      <c r="U13" s="4"/>
      <c r="V13" s="4"/>
      <c r="W13" s="4"/>
      <c r="X13" s="4"/>
      <c r="Y13" s="797"/>
      <c r="Z13" s="4"/>
      <c r="AA13" s="4"/>
      <c r="AB13" s="4"/>
      <c r="AC13" s="4"/>
      <c r="AD13" s="4"/>
      <c r="AE13" s="4"/>
      <c r="AF13" s="4"/>
      <c r="AG13" s="4"/>
      <c r="AH13" s="797"/>
      <c r="AI13" s="4"/>
      <c r="AJ13" s="4"/>
      <c r="AK13" s="4"/>
      <c r="AL13" s="4"/>
      <c r="AM13" s="4"/>
      <c r="AN13" s="4"/>
      <c r="AO13" s="715"/>
      <c r="AP13" s="715"/>
      <c r="AQ13" s="715"/>
      <c r="AR13" s="715"/>
      <c r="AS13" s="715"/>
      <c r="AT13" s="715"/>
      <c r="AU13" s="715"/>
      <c r="AV13" s="715"/>
      <c r="AW13" s="715"/>
      <c r="AX13" s="715"/>
      <c r="AY13" s="715"/>
      <c r="AZ13" s="16"/>
      <c r="BA13" s="16"/>
      <c r="BB13" s="16"/>
      <c r="BC13" s="16"/>
      <c r="BD13" s="16"/>
    </row>
    <row r="14" spans="2:56" ht="26.25" customHeight="1" hidden="1" outlineLevel="1">
      <c r="B14" s="30" t="s">
        <v>145</v>
      </c>
      <c r="C14" s="77" t="s">
        <v>1698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797"/>
      <c r="Q14" s="4"/>
      <c r="R14" s="4"/>
      <c r="S14" s="4"/>
      <c r="T14" s="4"/>
      <c r="U14" s="4"/>
      <c r="V14" s="4"/>
      <c r="W14" s="4"/>
      <c r="X14" s="4"/>
      <c r="Y14" s="797"/>
      <c r="Z14" s="4"/>
      <c r="AA14" s="4"/>
      <c r="AB14" s="4"/>
      <c r="AC14" s="4"/>
      <c r="AD14" s="4"/>
      <c r="AE14" s="4"/>
      <c r="AF14" s="4"/>
      <c r="AG14" s="4"/>
      <c r="AH14" s="797"/>
      <c r="AI14" s="4"/>
      <c r="AJ14" s="4"/>
      <c r="AK14" s="4"/>
      <c r="AL14" s="4"/>
      <c r="AM14" s="4"/>
      <c r="AN14" s="4"/>
      <c r="AO14" s="715"/>
      <c r="AP14" s="715"/>
      <c r="AQ14" s="715"/>
      <c r="AR14" s="715"/>
      <c r="AS14" s="715"/>
      <c r="AT14" s="715"/>
      <c r="AU14" s="715"/>
      <c r="AV14" s="715"/>
      <c r="AW14" s="715"/>
      <c r="AX14" s="715"/>
      <c r="AY14" s="715"/>
      <c r="AZ14" s="16"/>
      <c r="BA14" s="16"/>
      <c r="BB14" s="16"/>
      <c r="BC14" s="16"/>
      <c r="BD14" s="16"/>
    </row>
    <row r="15" spans="2:56" ht="12.75" customHeight="1" hidden="1" outlineLevel="1">
      <c r="B15" s="30"/>
      <c r="C15" s="61" t="s">
        <v>664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797"/>
      <c r="Q15" s="4"/>
      <c r="R15" s="4"/>
      <c r="S15" s="4"/>
      <c r="T15" s="4"/>
      <c r="U15" s="4"/>
      <c r="V15" s="4"/>
      <c r="W15" s="4"/>
      <c r="X15" s="4"/>
      <c r="Y15" s="797"/>
      <c r="Z15" s="4"/>
      <c r="AA15" s="4"/>
      <c r="AB15" s="4"/>
      <c r="AC15" s="4"/>
      <c r="AD15" s="4"/>
      <c r="AE15" s="4"/>
      <c r="AF15" s="4"/>
      <c r="AG15" s="4"/>
      <c r="AH15" s="797"/>
      <c r="AI15" s="4"/>
      <c r="AJ15" s="4"/>
      <c r="AK15" s="4"/>
      <c r="AL15" s="4"/>
      <c r="AM15" s="4"/>
      <c r="AN15" s="4"/>
      <c r="AO15" s="715"/>
      <c r="AP15" s="715"/>
      <c r="AQ15" s="715"/>
      <c r="AR15" s="715"/>
      <c r="AS15" s="715"/>
      <c r="AT15" s="715"/>
      <c r="AU15" s="715"/>
      <c r="AV15" s="715"/>
      <c r="AW15" s="715"/>
      <c r="AX15" s="715"/>
      <c r="AY15" s="715"/>
      <c r="AZ15" s="16"/>
      <c r="BA15" s="16"/>
      <c r="BB15" s="16"/>
      <c r="BC15" s="16"/>
      <c r="BD15" s="16"/>
    </row>
    <row r="16" spans="2:56" ht="26.25" customHeight="1" hidden="1" outlineLevel="1">
      <c r="B16" s="30"/>
      <c r="C16" s="61" t="s">
        <v>1439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797"/>
      <c r="Q16" s="4"/>
      <c r="R16" s="4"/>
      <c r="S16" s="4"/>
      <c r="T16" s="4"/>
      <c r="U16" s="4"/>
      <c r="V16" s="4"/>
      <c r="W16" s="4"/>
      <c r="X16" s="4"/>
      <c r="Y16" s="797"/>
      <c r="Z16" s="4"/>
      <c r="AA16" s="4"/>
      <c r="AB16" s="4"/>
      <c r="AC16" s="4"/>
      <c r="AD16" s="4"/>
      <c r="AE16" s="4"/>
      <c r="AF16" s="4"/>
      <c r="AG16" s="4"/>
      <c r="AH16" s="797"/>
      <c r="AI16" s="4"/>
      <c r="AJ16" s="4"/>
      <c r="AK16" s="4"/>
      <c r="AL16" s="4"/>
      <c r="AM16" s="4"/>
      <c r="AN16" s="4"/>
      <c r="AO16" s="715"/>
      <c r="AP16" s="715"/>
      <c r="AQ16" s="715"/>
      <c r="AR16" s="715"/>
      <c r="AS16" s="715"/>
      <c r="AT16" s="715"/>
      <c r="AU16" s="715"/>
      <c r="AV16" s="715"/>
      <c r="AW16" s="715"/>
      <c r="AX16" s="715"/>
      <c r="AY16" s="715"/>
      <c r="AZ16" s="16"/>
      <c r="BA16" s="16"/>
      <c r="BB16" s="16"/>
      <c r="BC16" s="16"/>
      <c r="BD16" s="16"/>
    </row>
    <row r="17" spans="2:56" ht="26.25" customHeight="1" hidden="1" outlineLevel="1">
      <c r="B17" s="30"/>
      <c r="C17" s="61" t="s">
        <v>1440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797"/>
      <c r="Q17" s="4"/>
      <c r="R17" s="4"/>
      <c r="S17" s="4"/>
      <c r="T17" s="4"/>
      <c r="U17" s="4"/>
      <c r="V17" s="4"/>
      <c r="W17" s="4"/>
      <c r="X17" s="4"/>
      <c r="Y17" s="797"/>
      <c r="Z17" s="4"/>
      <c r="AA17" s="4"/>
      <c r="AB17" s="4"/>
      <c r="AC17" s="4"/>
      <c r="AD17" s="4"/>
      <c r="AE17" s="4"/>
      <c r="AF17" s="4"/>
      <c r="AG17" s="4"/>
      <c r="AH17" s="797"/>
      <c r="AI17" s="4"/>
      <c r="AJ17" s="4"/>
      <c r="AK17" s="4"/>
      <c r="AL17" s="4"/>
      <c r="AM17" s="4"/>
      <c r="AN17" s="4"/>
      <c r="AO17" s="715"/>
      <c r="AP17" s="715"/>
      <c r="AQ17" s="715"/>
      <c r="AR17" s="715"/>
      <c r="AS17" s="715"/>
      <c r="AT17" s="715"/>
      <c r="AU17" s="715"/>
      <c r="AV17" s="715"/>
      <c r="AW17" s="715"/>
      <c r="AX17" s="715"/>
      <c r="AY17" s="715"/>
      <c r="AZ17" s="16"/>
      <c r="BA17" s="16"/>
      <c r="BB17" s="16"/>
      <c r="BC17" s="16"/>
      <c r="BD17" s="16"/>
    </row>
    <row r="18" spans="2:56" ht="26.25" customHeight="1" hidden="1" outlineLevel="1">
      <c r="B18" s="30"/>
      <c r="C18" s="61" t="s">
        <v>1441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797"/>
      <c r="Q18" s="4"/>
      <c r="R18" s="4"/>
      <c r="S18" s="4"/>
      <c r="T18" s="4"/>
      <c r="U18" s="4"/>
      <c r="V18" s="4"/>
      <c r="W18" s="4"/>
      <c r="X18" s="4"/>
      <c r="Y18" s="797"/>
      <c r="Z18" s="4"/>
      <c r="AA18" s="4"/>
      <c r="AB18" s="4"/>
      <c r="AC18" s="4"/>
      <c r="AD18" s="4"/>
      <c r="AE18" s="4"/>
      <c r="AF18" s="4"/>
      <c r="AG18" s="4"/>
      <c r="AH18" s="797"/>
      <c r="AI18" s="4"/>
      <c r="AJ18" s="4"/>
      <c r="AK18" s="4"/>
      <c r="AL18" s="4"/>
      <c r="AM18" s="4"/>
      <c r="AN18" s="4"/>
      <c r="AO18" s="715"/>
      <c r="AP18" s="715"/>
      <c r="AQ18" s="715"/>
      <c r="AR18" s="715"/>
      <c r="AS18" s="715"/>
      <c r="AT18" s="715"/>
      <c r="AU18" s="715"/>
      <c r="AV18" s="715"/>
      <c r="AW18" s="715"/>
      <c r="AX18" s="715"/>
      <c r="AY18" s="715"/>
      <c r="AZ18" s="16"/>
      <c r="BA18" s="16"/>
      <c r="BB18" s="16"/>
      <c r="BC18" s="16"/>
      <c r="BD18" s="16"/>
    </row>
    <row r="19" spans="2:56" ht="26.25" customHeight="1" hidden="1" outlineLevel="1">
      <c r="B19" s="30"/>
      <c r="C19" s="61" t="s">
        <v>1442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97"/>
      <c r="Q19" s="4"/>
      <c r="R19" s="4"/>
      <c r="S19" s="4"/>
      <c r="T19" s="4"/>
      <c r="U19" s="4"/>
      <c r="V19" s="4"/>
      <c r="W19" s="4"/>
      <c r="X19" s="4"/>
      <c r="Y19" s="797"/>
      <c r="Z19" s="4"/>
      <c r="AA19" s="4"/>
      <c r="AB19" s="4"/>
      <c r="AC19" s="4"/>
      <c r="AD19" s="4"/>
      <c r="AE19" s="4"/>
      <c r="AF19" s="4"/>
      <c r="AG19" s="4"/>
      <c r="AH19" s="797"/>
      <c r="AI19" s="4"/>
      <c r="AJ19" s="4"/>
      <c r="AK19" s="4"/>
      <c r="AL19" s="4"/>
      <c r="AM19" s="4"/>
      <c r="AN19" s="4"/>
      <c r="AO19" s="715"/>
      <c r="AP19" s="715"/>
      <c r="AQ19" s="715"/>
      <c r="AR19" s="715"/>
      <c r="AS19" s="715"/>
      <c r="AT19" s="715"/>
      <c r="AU19" s="715"/>
      <c r="AV19" s="715"/>
      <c r="AW19" s="715"/>
      <c r="AX19" s="715"/>
      <c r="AY19" s="715"/>
      <c r="AZ19" s="16"/>
      <c r="BA19" s="16"/>
      <c r="BB19" s="16"/>
      <c r="BC19" s="16"/>
      <c r="BD19" s="16"/>
    </row>
    <row r="20" spans="2:56" ht="26.25" customHeight="1" hidden="1" outlineLevel="1">
      <c r="B20" s="30"/>
      <c r="C20" s="61" t="s">
        <v>600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97"/>
      <c r="Q20" s="4"/>
      <c r="R20" s="4"/>
      <c r="S20" s="4"/>
      <c r="T20" s="4"/>
      <c r="U20" s="4"/>
      <c r="V20" s="4"/>
      <c r="W20" s="4"/>
      <c r="X20" s="4"/>
      <c r="Y20" s="797"/>
      <c r="Z20" s="4"/>
      <c r="AA20" s="4"/>
      <c r="AB20" s="4"/>
      <c r="AC20" s="4"/>
      <c r="AD20" s="4"/>
      <c r="AE20" s="4"/>
      <c r="AF20" s="4"/>
      <c r="AG20" s="4"/>
      <c r="AH20" s="797"/>
      <c r="AI20" s="4"/>
      <c r="AJ20" s="4"/>
      <c r="AK20" s="4"/>
      <c r="AL20" s="4"/>
      <c r="AM20" s="4"/>
      <c r="AN20" s="4"/>
      <c r="AO20" s="715"/>
      <c r="AP20" s="715"/>
      <c r="AQ20" s="715"/>
      <c r="AR20" s="715"/>
      <c r="AS20" s="715"/>
      <c r="AT20" s="715"/>
      <c r="AU20" s="715"/>
      <c r="AV20" s="715"/>
      <c r="AW20" s="715"/>
      <c r="AX20" s="715"/>
      <c r="AY20" s="715"/>
      <c r="AZ20" s="16"/>
      <c r="BA20" s="16"/>
      <c r="BB20" s="16"/>
      <c r="BC20" s="16"/>
      <c r="BD20" s="16"/>
    </row>
    <row r="21" spans="2:56" ht="66" collapsed="1">
      <c r="B21" s="47" t="s">
        <v>1010</v>
      </c>
      <c r="C21" s="28" t="s">
        <v>1699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97"/>
      <c r="Q21" s="4"/>
      <c r="R21" s="4"/>
      <c r="S21" s="4"/>
      <c r="T21" s="4"/>
      <c r="U21" s="4"/>
      <c r="V21" s="4"/>
      <c r="W21" s="4"/>
      <c r="X21" s="4"/>
      <c r="Y21" s="797"/>
      <c r="Z21" s="4"/>
      <c r="AA21" s="4"/>
      <c r="AB21" s="4"/>
      <c r="AC21" s="4"/>
      <c r="AD21" s="4"/>
      <c r="AE21" s="4"/>
      <c r="AF21" s="4"/>
      <c r="AG21" s="4"/>
      <c r="AH21" s="797"/>
      <c r="AI21" s="4"/>
      <c r="AJ21" s="4"/>
      <c r="AK21" s="4"/>
      <c r="AL21" s="4"/>
      <c r="AM21" s="4"/>
      <c r="AN21" s="4"/>
      <c r="AO21" s="715"/>
      <c r="AP21" s="715"/>
      <c r="AQ21" s="715"/>
      <c r="AR21" s="715"/>
      <c r="AS21" s="715"/>
      <c r="AT21" s="715"/>
      <c r="AU21" s="715"/>
      <c r="AV21" s="715"/>
      <c r="AW21" s="715"/>
      <c r="AX21" s="715"/>
      <c r="AY21" s="715"/>
      <c r="AZ21" s="16"/>
      <c r="BA21" s="16"/>
      <c r="BB21" s="16"/>
      <c r="BC21" s="16"/>
      <c r="BD21" s="16"/>
    </row>
    <row r="22" spans="2:56" ht="52.5" customHeight="1" hidden="1" outlineLevel="1">
      <c r="B22" s="30" t="s">
        <v>1011</v>
      </c>
      <c r="C22" s="77" t="s">
        <v>1163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97"/>
      <c r="Q22" s="4"/>
      <c r="R22" s="4"/>
      <c r="S22" s="4"/>
      <c r="T22" s="4"/>
      <c r="U22" s="4"/>
      <c r="V22" s="4"/>
      <c r="W22" s="4"/>
      <c r="X22" s="4"/>
      <c r="Y22" s="797"/>
      <c r="Z22" s="4"/>
      <c r="AA22" s="4"/>
      <c r="AB22" s="4"/>
      <c r="AC22" s="4"/>
      <c r="AD22" s="4"/>
      <c r="AE22" s="4"/>
      <c r="AF22" s="4"/>
      <c r="AG22" s="4"/>
      <c r="AH22" s="797"/>
      <c r="AI22" s="4"/>
      <c r="AJ22" s="4"/>
      <c r="AK22" s="4"/>
      <c r="AL22" s="4"/>
      <c r="AM22" s="4"/>
      <c r="AN22" s="4"/>
      <c r="AO22" s="715"/>
      <c r="AP22" s="715"/>
      <c r="AQ22" s="715"/>
      <c r="AR22" s="715"/>
      <c r="AS22" s="715"/>
      <c r="AT22" s="715"/>
      <c r="AU22" s="715"/>
      <c r="AV22" s="715"/>
      <c r="AW22" s="715"/>
      <c r="AX22" s="715"/>
      <c r="AY22" s="715"/>
      <c r="AZ22" s="16"/>
      <c r="BA22" s="16"/>
      <c r="BB22" s="16"/>
      <c r="BC22" s="16"/>
      <c r="BD22" s="16"/>
    </row>
    <row r="23" spans="2:56" ht="12.75" customHeight="1" hidden="1" outlineLevel="1">
      <c r="B23" s="30" t="s">
        <v>698</v>
      </c>
      <c r="C23" s="61" t="s">
        <v>664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97"/>
      <c r="Q23" s="4"/>
      <c r="R23" s="4"/>
      <c r="S23" s="4"/>
      <c r="T23" s="4"/>
      <c r="U23" s="4"/>
      <c r="V23" s="4"/>
      <c r="W23" s="4"/>
      <c r="X23" s="4"/>
      <c r="Y23" s="797"/>
      <c r="Z23" s="4"/>
      <c r="AA23" s="4"/>
      <c r="AB23" s="4"/>
      <c r="AC23" s="4"/>
      <c r="AD23" s="4"/>
      <c r="AE23" s="4"/>
      <c r="AF23" s="4"/>
      <c r="AG23" s="4"/>
      <c r="AH23" s="797"/>
      <c r="AI23" s="4"/>
      <c r="AJ23" s="4"/>
      <c r="AK23" s="4"/>
      <c r="AL23" s="4"/>
      <c r="AM23" s="4"/>
      <c r="AN23" s="4"/>
      <c r="AO23" s="715"/>
      <c r="AP23" s="715"/>
      <c r="AQ23" s="715"/>
      <c r="AR23" s="715"/>
      <c r="AS23" s="715"/>
      <c r="AT23" s="715"/>
      <c r="AU23" s="715"/>
      <c r="AV23" s="715"/>
      <c r="AW23" s="715"/>
      <c r="AX23" s="715"/>
      <c r="AY23" s="715"/>
      <c r="AZ23" s="16"/>
      <c r="BA23" s="16"/>
      <c r="BB23" s="16"/>
      <c r="BC23" s="16"/>
      <c r="BD23" s="16"/>
    </row>
    <row r="24" spans="2:56" ht="12.75" customHeight="1" hidden="1" outlineLevel="1">
      <c r="B24" s="30" t="s">
        <v>1164</v>
      </c>
      <c r="C24" s="61" t="s">
        <v>665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97"/>
      <c r="Q24" s="4"/>
      <c r="R24" s="4"/>
      <c r="S24" s="4"/>
      <c r="T24" s="4"/>
      <c r="U24" s="4"/>
      <c r="V24" s="4"/>
      <c r="W24" s="4"/>
      <c r="X24" s="4"/>
      <c r="Y24" s="797"/>
      <c r="Z24" s="4"/>
      <c r="AA24" s="4"/>
      <c r="AB24" s="4"/>
      <c r="AC24" s="4"/>
      <c r="AD24" s="4"/>
      <c r="AE24" s="4"/>
      <c r="AF24" s="4"/>
      <c r="AG24" s="4"/>
      <c r="AH24" s="797"/>
      <c r="AI24" s="4"/>
      <c r="AJ24" s="4"/>
      <c r="AK24" s="4"/>
      <c r="AL24" s="4"/>
      <c r="AM24" s="4"/>
      <c r="AN24" s="4"/>
      <c r="AO24" s="715"/>
      <c r="AP24" s="715"/>
      <c r="AQ24" s="715"/>
      <c r="AR24" s="715"/>
      <c r="AS24" s="715"/>
      <c r="AT24" s="715"/>
      <c r="AU24" s="715"/>
      <c r="AV24" s="715"/>
      <c r="AW24" s="715"/>
      <c r="AX24" s="715"/>
      <c r="AY24" s="715"/>
      <c r="AZ24" s="16"/>
      <c r="BA24" s="16"/>
      <c r="BB24" s="16"/>
      <c r="BC24" s="16"/>
      <c r="BD24" s="16"/>
    </row>
    <row r="25" spans="2:56" ht="52.5" customHeight="1" hidden="1" outlineLevel="1">
      <c r="B25" s="30" t="s">
        <v>686</v>
      </c>
      <c r="C25" s="77" t="s">
        <v>1165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97"/>
      <c r="Q25" s="4"/>
      <c r="R25" s="4"/>
      <c r="S25" s="4"/>
      <c r="T25" s="4"/>
      <c r="U25" s="4"/>
      <c r="V25" s="4"/>
      <c r="W25" s="4"/>
      <c r="X25" s="4"/>
      <c r="Y25" s="797"/>
      <c r="Z25" s="4"/>
      <c r="AA25" s="4"/>
      <c r="AB25" s="4"/>
      <c r="AC25" s="4"/>
      <c r="AD25" s="4"/>
      <c r="AE25" s="4"/>
      <c r="AF25" s="4"/>
      <c r="AG25" s="4"/>
      <c r="AH25" s="797"/>
      <c r="AI25" s="4"/>
      <c r="AJ25" s="4"/>
      <c r="AK25" s="4"/>
      <c r="AL25" s="4"/>
      <c r="AM25" s="4"/>
      <c r="AN25" s="4"/>
      <c r="AO25" s="715"/>
      <c r="AP25" s="715"/>
      <c r="AQ25" s="715"/>
      <c r="AR25" s="715"/>
      <c r="AS25" s="715"/>
      <c r="AT25" s="715"/>
      <c r="AU25" s="715"/>
      <c r="AV25" s="715"/>
      <c r="AW25" s="715"/>
      <c r="AX25" s="715"/>
      <c r="AY25" s="715"/>
      <c r="AZ25" s="16"/>
      <c r="BA25" s="16"/>
      <c r="BB25" s="16"/>
      <c r="BC25" s="16"/>
      <c r="BD25" s="16"/>
    </row>
    <row r="26" spans="2:56" ht="78.75" customHeight="1" hidden="1" outlineLevel="1">
      <c r="B26" s="30" t="s">
        <v>388</v>
      </c>
      <c r="C26" s="77" t="s">
        <v>1166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97"/>
      <c r="Q26" s="4"/>
      <c r="R26" s="4"/>
      <c r="S26" s="4"/>
      <c r="T26" s="4"/>
      <c r="U26" s="4"/>
      <c r="V26" s="4"/>
      <c r="W26" s="4"/>
      <c r="X26" s="4"/>
      <c r="Y26" s="797"/>
      <c r="Z26" s="4"/>
      <c r="AA26" s="4"/>
      <c r="AB26" s="4"/>
      <c r="AC26" s="4"/>
      <c r="AD26" s="4"/>
      <c r="AE26" s="4"/>
      <c r="AF26" s="4"/>
      <c r="AG26" s="4"/>
      <c r="AH26" s="797"/>
      <c r="AI26" s="4"/>
      <c r="AJ26" s="4"/>
      <c r="AK26" s="4"/>
      <c r="AL26" s="4"/>
      <c r="AM26" s="4"/>
      <c r="AN26" s="4"/>
      <c r="AO26" s="715"/>
      <c r="AP26" s="715"/>
      <c r="AQ26" s="715"/>
      <c r="AR26" s="715"/>
      <c r="AS26" s="715"/>
      <c r="AT26" s="715"/>
      <c r="AU26" s="715"/>
      <c r="AV26" s="715"/>
      <c r="AW26" s="715"/>
      <c r="AX26" s="715"/>
      <c r="AY26" s="715"/>
      <c r="AZ26" s="16"/>
      <c r="BA26" s="16"/>
      <c r="BB26" s="16"/>
      <c r="BC26" s="16"/>
      <c r="BD26" s="16"/>
    </row>
    <row r="27" spans="2:56" ht="12.75" customHeight="1" hidden="1" outlineLevel="1">
      <c r="B27" s="30"/>
      <c r="C27" s="61" t="s">
        <v>664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97"/>
      <c r="Q27" s="4"/>
      <c r="R27" s="4"/>
      <c r="S27" s="4"/>
      <c r="T27" s="4"/>
      <c r="U27" s="4"/>
      <c r="V27" s="4"/>
      <c r="W27" s="4"/>
      <c r="X27" s="4"/>
      <c r="Y27" s="797"/>
      <c r="Z27" s="4"/>
      <c r="AA27" s="4"/>
      <c r="AB27" s="4"/>
      <c r="AC27" s="4"/>
      <c r="AD27" s="4"/>
      <c r="AE27" s="4"/>
      <c r="AF27" s="4"/>
      <c r="AG27" s="4"/>
      <c r="AH27" s="797"/>
      <c r="AI27" s="4"/>
      <c r="AJ27" s="4"/>
      <c r="AK27" s="4"/>
      <c r="AL27" s="4"/>
      <c r="AM27" s="4"/>
      <c r="AN27" s="4"/>
      <c r="AO27" s="715"/>
      <c r="AP27" s="715"/>
      <c r="AQ27" s="715"/>
      <c r="AR27" s="715"/>
      <c r="AS27" s="715"/>
      <c r="AT27" s="715"/>
      <c r="AU27" s="715"/>
      <c r="AV27" s="715"/>
      <c r="AW27" s="715"/>
      <c r="AX27" s="715"/>
      <c r="AY27" s="715"/>
      <c r="AZ27" s="16"/>
      <c r="BA27" s="16"/>
      <c r="BB27" s="16"/>
      <c r="BC27" s="16"/>
      <c r="BD27" s="16"/>
    </row>
    <row r="28" spans="2:56" ht="12.75" customHeight="1" hidden="1" outlineLevel="1">
      <c r="B28" s="30"/>
      <c r="C28" s="61" t="s">
        <v>665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97"/>
      <c r="Q28" s="4"/>
      <c r="R28" s="4"/>
      <c r="S28" s="4"/>
      <c r="T28" s="4"/>
      <c r="U28" s="4"/>
      <c r="V28" s="4"/>
      <c r="W28" s="4"/>
      <c r="X28" s="4"/>
      <c r="Y28" s="797"/>
      <c r="Z28" s="4"/>
      <c r="AA28" s="4"/>
      <c r="AB28" s="4"/>
      <c r="AC28" s="4"/>
      <c r="AD28" s="4"/>
      <c r="AE28" s="4"/>
      <c r="AF28" s="4"/>
      <c r="AG28" s="4"/>
      <c r="AH28" s="797"/>
      <c r="AI28" s="4"/>
      <c r="AJ28" s="4"/>
      <c r="AK28" s="4"/>
      <c r="AL28" s="4"/>
      <c r="AM28" s="4"/>
      <c r="AN28" s="4"/>
      <c r="AO28" s="715"/>
      <c r="AP28" s="715"/>
      <c r="AQ28" s="715"/>
      <c r="AR28" s="715"/>
      <c r="AS28" s="715"/>
      <c r="AT28" s="715"/>
      <c r="AU28" s="715"/>
      <c r="AV28" s="715"/>
      <c r="AW28" s="715"/>
      <c r="AX28" s="715"/>
      <c r="AY28" s="715"/>
      <c r="AZ28" s="16"/>
      <c r="BA28" s="16"/>
      <c r="BB28" s="16"/>
      <c r="BC28" s="16"/>
      <c r="BD28" s="16"/>
    </row>
    <row r="29" spans="2:56" ht="78.75" customHeight="1" hidden="1" outlineLevel="1">
      <c r="B29" s="30" t="s">
        <v>1167</v>
      </c>
      <c r="C29" s="77" t="s">
        <v>1168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97"/>
      <c r="Q29" s="4"/>
      <c r="R29" s="4"/>
      <c r="S29" s="4"/>
      <c r="T29" s="4"/>
      <c r="U29" s="4"/>
      <c r="V29" s="4"/>
      <c r="W29" s="4"/>
      <c r="X29" s="4"/>
      <c r="Y29" s="797"/>
      <c r="Z29" s="4"/>
      <c r="AA29" s="4"/>
      <c r="AB29" s="4"/>
      <c r="AC29" s="4"/>
      <c r="AD29" s="4"/>
      <c r="AE29" s="4"/>
      <c r="AF29" s="4"/>
      <c r="AG29" s="4"/>
      <c r="AH29" s="797"/>
      <c r="AI29" s="4"/>
      <c r="AJ29" s="4"/>
      <c r="AK29" s="4"/>
      <c r="AL29" s="4"/>
      <c r="AM29" s="4"/>
      <c r="AN29" s="4"/>
      <c r="AO29" s="715"/>
      <c r="AP29" s="715"/>
      <c r="AQ29" s="715"/>
      <c r="AR29" s="715"/>
      <c r="AS29" s="715"/>
      <c r="AT29" s="715"/>
      <c r="AU29" s="715"/>
      <c r="AV29" s="715"/>
      <c r="AW29" s="715"/>
      <c r="AX29" s="715"/>
      <c r="AY29" s="715"/>
      <c r="AZ29" s="16"/>
      <c r="BA29" s="16"/>
      <c r="BB29" s="16"/>
      <c r="BC29" s="16"/>
      <c r="BD29" s="16"/>
    </row>
    <row r="30" spans="2:56" ht="12.75" customHeight="1" hidden="1" outlineLevel="1">
      <c r="B30" s="30"/>
      <c r="C30" s="61" t="s">
        <v>664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97"/>
      <c r="Q30" s="4"/>
      <c r="R30" s="4"/>
      <c r="S30" s="4"/>
      <c r="T30" s="4"/>
      <c r="U30" s="4"/>
      <c r="V30" s="4"/>
      <c r="W30" s="4"/>
      <c r="X30" s="4"/>
      <c r="Y30" s="797"/>
      <c r="Z30" s="4"/>
      <c r="AA30" s="4"/>
      <c r="AB30" s="4"/>
      <c r="AC30" s="4"/>
      <c r="AD30" s="4"/>
      <c r="AE30" s="4"/>
      <c r="AF30" s="4"/>
      <c r="AG30" s="4"/>
      <c r="AH30" s="797"/>
      <c r="AI30" s="4"/>
      <c r="AJ30" s="4"/>
      <c r="AK30" s="4"/>
      <c r="AL30" s="4"/>
      <c r="AM30" s="4"/>
      <c r="AN30" s="4"/>
      <c r="AO30" s="715"/>
      <c r="AP30" s="715"/>
      <c r="AQ30" s="715"/>
      <c r="AR30" s="715"/>
      <c r="AS30" s="715"/>
      <c r="AT30" s="715"/>
      <c r="AU30" s="715"/>
      <c r="AV30" s="715"/>
      <c r="AW30" s="715"/>
      <c r="AX30" s="715"/>
      <c r="AY30" s="715"/>
      <c r="AZ30" s="16"/>
      <c r="BA30" s="16"/>
      <c r="BB30" s="16"/>
      <c r="BC30" s="16"/>
      <c r="BD30" s="16"/>
    </row>
    <row r="31" spans="2:56" ht="12.75" customHeight="1" hidden="1" outlineLevel="1">
      <c r="B31" s="30"/>
      <c r="C31" s="61" t="s">
        <v>665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97"/>
      <c r="Q31" s="4"/>
      <c r="R31" s="4"/>
      <c r="S31" s="4"/>
      <c r="T31" s="4"/>
      <c r="U31" s="4"/>
      <c r="V31" s="4"/>
      <c r="W31" s="4"/>
      <c r="X31" s="4"/>
      <c r="Y31" s="797"/>
      <c r="Z31" s="4"/>
      <c r="AA31" s="4"/>
      <c r="AB31" s="4"/>
      <c r="AC31" s="4"/>
      <c r="AD31" s="4"/>
      <c r="AE31" s="4"/>
      <c r="AF31" s="4"/>
      <c r="AG31" s="4"/>
      <c r="AH31" s="797"/>
      <c r="AI31" s="4"/>
      <c r="AJ31" s="4"/>
      <c r="AK31" s="4"/>
      <c r="AL31" s="4"/>
      <c r="AM31" s="4"/>
      <c r="AN31" s="4"/>
      <c r="AO31" s="715"/>
      <c r="AP31" s="715"/>
      <c r="AQ31" s="715"/>
      <c r="AR31" s="715"/>
      <c r="AS31" s="715"/>
      <c r="AT31" s="715"/>
      <c r="AU31" s="715"/>
      <c r="AV31" s="715"/>
      <c r="AW31" s="715"/>
      <c r="AX31" s="715"/>
      <c r="AY31" s="715"/>
      <c r="AZ31" s="16"/>
      <c r="BA31" s="16"/>
      <c r="BB31" s="16"/>
      <c r="BC31" s="16"/>
      <c r="BD31" s="16"/>
    </row>
    <row r="32" spans="2:56" ht="39" collapsed="1">
      <c r="B32" s="47" t="s">
        <v>1012</v>
      </c>
      <c r="C32" s="26" t="s">
        <v>699</v>
      </c>
      <c r="D32" s="667" t="e">
        <f>#REF!/'[2]4.1'!M30</f>
        <v>#REF!</v>
      </c>
      <c r="E32" s="667"/>
      <c r="F32" s="667"/>
      <c r="G32" s="667" t="e">
        <f>#REF!/'[2]4.1'!L30</f>
        <v>#REF!</v>
      </c>
      <c r="H32" s="667"/>
      <c r="I32" s="667"/>
      <c r="J32" s="667">
        <f>'4.6 Смета'!G126</f>
        <v>10296.146243673085</v>
      </c>
      <c r="K32" s="667"/>
      <c r="L32" s="667"/>
      <c r="M32" s="667">
        <f>'4.6 Смета'!H126</f>
        <v>11294.373086011865</v>
      </c>
      <c r="N32" s="667"/>
      <c r="O32" s="667"/>
      <c r="P32" s="1471">
        <f>'4.6 Смета'!I126</f>
        <v>11604.628624744026</v>
      </c>
      <c r="Q32" s="667"/>
      <c r="R32" s="667"/>
      <c r="S32" s="667">
        <f>'4.6 Смета'!J126</f>
        <v>10454.89646098344</v>
      </c>
      <c r="T32" s="667"/>
      <c r="U32" s="667"/>
      <c r="V32" s="667">
        <f>'4.6 Смета'!K126</f>
        <v>13203.614901346671</v>
      </c>
      <c r="X32" s="667"/>
      <c r="Y32" s="1471">
        <f>'4.6 Смета'!L126</f>
        <v>12229.259806487738</v>
      </c>
      <c r="Z32" s="667"/>
      <c r="AA32" s="667"/>
      <c r="AB32" s="667">
        <f>'4.6 Смета'!M126</f>
        <v>11165.365526584139</v>
      </c>
      <c r="AC32" s="667"/>
      <c r="AD32" s="667"/>
      <c r="AE32" s="667">
        <f>'4.6 Смета'!N126</f>
        <v>13669.64164303133</v>
      </c>
      <c r="AF32" s="667"/>
      <c r="AG32" s="667"/>
      <c r="AH32" s="1471">
        <f>'4.6 Смета'!O126</f>
        <v>12999.496853550925</v>
      </c>
      <c r="AI32" s="667"/>
      <c r="AJ32" s="667"/>
      <c r="AK32" s="667">
        <f>'4.6 Смета'!P126</f>
        <v>11868.71931352742</v>
      </c>
      <c r="AL32" s="667"/>
      <c r="AM32" s="667"/>
      <c r="AN32" s="667">
        <f>'4.6 Смета'!Q126</f>
        <v>14530.543514202025</v>
      </c>
      <c r="AO32" s="716"/>
      <c r="AP32" s="716"/>
      <c r="AQ32" s="716"/>
      <c r="AR32" s="716"/>
      <c r="AS32" s="716"/>
      <c r="AT32" s="716"/>
      <c r="AU32" s="716"/>
      <c r="AV32" s="716"/>
      <c r="AW32" s="716"/>
      <c r="AX32" s="716"/>
      <c r="AY32" s="716"/>
      <c r="AZ32" s="16"/>
      <c r="BA32" s="16"/>
      <c r="BB32" s="16"/>
      <c r="BC32" s="16"/>
      <c r="BD32" s="16"/>
    </row>
    <row r="33" spans="2:56" ht="52.5" outlineLevel="1">
      <c r="B33" s="30" t="s">
        <v>1014</v>
      </c>
      <c r="C33" s="77" t="s">
        <v>1163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97"/>
      <c r="Q33" s="4"/>
      <c r="R33" s="4"/>
      <c r="S33" s="4"/>
      <c r="T33" s="4"/>
      <c r="U33" s="4"/>
      <c r="V33" s="4"/>
      <c r="W33" s="4"/>
      <c r="X33" s="4"/>
      <c r="Y33" s="797"/>
      <c r="Z33" s="4"/>
      <c r="AA33" s="4"/>
      <c r="AB33" s="4"/>
      <c r="AC33" s="4"/>
      <c r="AD33" s="4"/>
      <c r="AE33" s="4"/>
      <c r="AF33" s="4"/>
      <c r="AG33" s="4"/>
      <c r="AH33" s="797"/>
      <c r="AI33" s="4"/>
      <c r="AJ33" s="4"/>
      <c r="AK33" s="4"/>
      <c r="AL33" s="4"/>
      <c r="AM33" s="4"/>
      <c r="AN33" s="4"/>
      <c r="AO33" s="715"/>
      <c r="AP33" s="715"/>
      <c r="AQ33" s="715"/>
      <c r="AR33" s="715"/>
      <c r="AS33" s="715"/>
      <c r="AT33" s="715"/>
      <c r="AU33" s="715"/>
      <c r="AV33" s="715"/>
      <c r="AW33" s="715"/>
      <c r="AX33" s="715"/>
      <c r="AY33" s="715"/>
      <c r="AZ33" s="16"/>
      <c r="BA33" s="16"/>
      <c r="BB33" s="16"/>
      <c r="BC33" s="16"/>
      <c r="BD33" s="16"/>
    </row>
    <row r="34" spans="2:56" ht="26.25" outlineLevel="1">
      <c r="B34" s="30" t="s">
        <v>189</v>
      </c>
      <c r="C34" s="77" t="s">
        <v>697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97"/>
      <c r="Q34" s="4"/>
      <c r="R34" s="4"/>
      <c r="S34" s="4"/>
      <c r="T34" s="4"/>
      <c r="U34" s="4"/>
      <c r="V34" s="4"/>
      <c r="W34" s="4"/>
      <c r="X34" s="4"/>
      <c r="Y34" s="797"/>
      <c r="Z34" s="4"/>
      <c r="AA34" s="4"/>
      <c r="AB34" s="4"/>
      <c r="AC34" s="4"/>
      <c r="AD34" s="4"/>
      <c r="AE34" s="4"/>
      <c r="AF34" s="4"/>
      <c r="AG34" s="4"/>
      <c r="AH34" s="797"/>
      <c r="AI34" s="4"/>
      <c r="AJ34" s="4"/>
      <c r="AK34" s="4"/>
      <c r="AL34" s="4"/>
      <c r="AM34" s="4"/>
      <c r="AN34" s="4"/>
      <c r="AO34" s="715"/>
      <c r="AP34" s="715"/>
      <c r="AQ34" s="715"/>
      <c r="AR34" s="715"/>
      <c r="AS34" s="715"/>
      <c r="AT34" s="715"/>
      <c r="AU34" s="715"/>
      <c r="AV34" s="715"/>
      <c r="AW34" s="715"/>
      <c r="AX34" s="715"/>
      <c r="AY34" s="715"/>
      <c r="AZ34" s="16"/>
      <c r="BA34" s="16"/>
      <c r="BB34" s="16"/>
      <c r="BC34" s="16"/>
      <c r="BD34" s="16"/>
    </row>
    <row r="35" spans="2:56" ht="26.25" outlineLevel="1">
      <c r="B35" s="30" t="s">
        <v>1169</v>
      </c>
      <c r="C35" s="77" t="s">
        <v>1698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797"/>
      <c r="Q35" s="4"/>
      <c r="R35" s="4"/>
      <c r="S35" s="4"/>
      <c r="T35" s="4"/>
      <c r="U35" s="4"/>
      <c r="V35" s="4"/>
      <c r="W35" s="4"/>
      <c r="X35" s="4"/>
      <c r="Y35" s="797"/>
      <c r="Z35" s="4"/>
      <c r="AA35" s="4"/>
      <c r="AB35" s="4"/>
      <c r="AC35" s="4"/>
      <c r="AD35" s="4"/>
      <c r="AE35" s="4"/>
      <c r="AF35" s="4"/>
      <c r="AG35" s="4"/>
      <c r="AH35" s="797"/>
      <c r="AI35" s="4"/>
      <c r="AJ35" s="4"/>
      <c r="AK35" s="4"/>
      <c r="AL35" s="4"/>
      <c r="AM35" s="4"/>
      <c r="AN35" s="4"/>
      <c r="AO35" s="715"/>
      <c r="AP35" s="715"/>
      <c r="AQ35" s="715"/>
      <c r="AR35" s="715"/>
      <c r="AS35" s="715"/>
      <c r="AT35" s="715"/>
      <c r="AU35" s="715"/>
      <c r="AV35" s="715"/>
      <c r="AW35" s="715"/>
      <c r="AX35" s="715"/>
      <c r="AY35" s="715"/>
      <c r="AZ35" s="16"/>
      <c r="BA35" s="16"/>
      <c r="BB35" s="16"/>
      <c r="BC35" s="16"/>
      <c r="BD35" s="16"/>
    </row>
    <row r="36" spans="1:56" ht="21" customHeight="1" outlineLevel="1">
      <c r="A36" s="210">
        <v>1</v>
      </c>
      <c r="B36" s="30"/>
      <c r="C36" s="61" t="s">
        <v>664</v>
      </c>
      <c r="D36" s="668" t="e">
        <f>D32</f>
        <v>#REF!</v>
      </c>
      <c r="E36" s="668"/>
      <c r="F36" s="668"/>
      <c r="G36" s="668" t="e">
        <f>G32</f>
        <v>#REF!</v>
      </c>
      <c r="H36" s="668"/>
      <c r="I36" s="668"/>
      <c r="J36" s="668">
        <f>J32</f>
        <v>10296.146243673085</v>
      </c>
      <c r="K36" s="668"/>
      <c r="L36" s="668"/>
      <c r="M36" s="668">
        <f aca="true" t="shared" si="0" ref="M36:AN36">M32</f>
        <v>11294.373086011865</v>
      </c>
      <c r="N36" s="668">
        <f t="shared" si="0"/>
        <v>0</v>
      </c>
      <c r="O36" s="668">
        <f t="shared" si="0"/>
        <v>0</v>
      </c>
      <c r="P36" s="1472">
        <f t="shared" si="0"/>
        <v>11604.628624744026</v>
      </c>
      <c r="Q36" s="668">
        <f t="shared" si="0"/>
        <v>0</v>
      </c>
      <c r="R36" s="668">
        <f t="shared" si="0"/>
        <v>0</v>
      </c>
      <c r="S36" s="668">
        <f t="shared" si="0"/>
        <v>10454.89646098344</v>
      </c>
      <c r="T36" s="668">
        <f t="shared" si="0"/>
        <v>0</v>
      </c>
      <c r="U36" s="668">
        <f t="shared" si="0"/>
        <v>0</v>
      </c>
      <c r="V36" s="668">
        <f t="shared" si="0"/>
        <v>13203.614901346671</v>
      </c>
      <c r="W36" s="668">
        <f t="shared" si="0"/>
        <v>0</v>
      </c>
      <c r="X36" s="668">
        <f t="shared" si="0"/>
        <v>0</v>
      </c>
      <c r="Y36" s="1472">
        <f t="shared" si="0"/>
        <v>12229.259806487738</v>
      </c>
      <c r="Z36" s="668">
        <f t="shared" si="0"/>
        <v>0</v>
      </c>
      <c r="AA36" s="668">
        <f t="shared" si="0"/>
        <v>0</v>
      </c>
      <c r="AB36" s="668">
        <f t="shared" si="0"/>
        <v>11165.365526584139</v>
      </c>
      <c r="AC36" s="668">
        <f t="shared" si="0"/>
        <v>0</v>
      </c>
      <c r="AD36" s="668">
        <f t="shared" si="0"/>
        <v>0</v>
      </c>
      <c r="AE36" s="668">
        <f t="shared" si="0"/>
        <v>13669.64164303133</v>
      </c>
      <c r="AF36" s="668">
        <f t="shared" si="0"/>
        <v>0</v>
      </c>
      <c r="AG36" s="668">
        <f t="shared" si="0"/>
        <v>0</v>
      </c>
      <c r="AH36" s="1472">
        <f t="shared" si="0"/>
        <v>12999.496853550925</v>
      </c>
      <c r="AI36" s="668">
        <f t="shared" si="0"/>
        <v>0</v>
      </c>
      <c r="AJ36" s="668">
        <f t="shared" si="0"/>
        <v>0</v>
      </c>
      <c r="AK36" s="668">
        <f t="shared" si="0"/>
        <v>11868.71931352742</v>
      </c>
      <c r="AL36" s="668">
        <f t="shared" si="0"/>
        <v>0</v>
      </c>
      <c r="AM36" s="668">
        <f t="shared" si="0"/>
        <v>0</v>
      </c>
      <c r="AN36" s="668">
        <f t="shared" si="0"/>
        <v>14530.543514202025</v>
      </c>
      <c r="AO36" s="717"/>
      <c r="AP36" s="717"/>
      <c r="AQ36" s="717"/>
      <c r="AR36" s="717"/>
      <c r="AS36" s="717"/>
      <c r="AT36" s="717"/>
      <c r="AU36" s="717"/>
      <c r="AV36" s="717"/>
      <c r="AW36" s="717"/>
      <c r="AX36" s="717"/>
      <c r="AY36" s="717"/>
      <c r="AZ36" s="16"/>
      <c r="BA36" s="16"/>
      <c r="BB36" s="16"/>
      <c r="BC36" s="16"/>
      <c r="BD36" s="16"/>
    </row>
    <row r="37" spans="2:56" ht="26.25" hidden="1" outlineLevel="1">
      <c r="B37" s="30"/>
      <c r="C37" s="61" t="s">
        <v>1439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797"/>
      <c r="Q37" s="4"/>
      <c r="R37" s="4"/>
      <c r="S37" s="4"/>
      <c r="T37" s="4"/>
      <c r="U37" s="4"/>
      <c r="V37" s="4"/>
      <c r="W37" s="4"/>
      <c r="X37" s="4"/>
      <c r="Y37" s="797"/>
      <c r="Z37" s="4"/>
      <c r="AA37" s="4"/>
      <c r="AB37" s="4"/>
      <c r="AC37" s="4"/>
      <c r="AD37" s="4"/>
      <c r="AE37" s="4"/>
      <c r="AF37" s="4"/>
      <c r="AG37" s="4"/>
      <c r="AH37" s="797"/>
      <c r="AI37" s="4"/>
      <c r="AJ37" s="4"/>
      <c r="AK37" s="4"/>
      <c r="AL37" s="4"/>
      <c r="AM37" s="4"/>
      <c r="AN37" s="4"/>
      <c r="AO37" s="715"/>
      <c r="AP37" s="715"/>
      <c r="AQ37" s="715"/>
      <c r="AR37" s="715"/>
      <c r="AS37" s="715"/>
      <c r="AT37" s="715"/>
      <c r="AU37" s="715"/>
      <c r="AV37" s="715"/>
      <c r="AW37" s="715"/>
      <c r="AX37" s="715"/>
      <c r="AY37" s="715"/>
      <c r="AZ37" s="16"/>
      <c r="BA37" s="16"/>
      <c r="BB37" s="16"/>
      <c r="BC37" s="16"/>
      <c r="BD37" s="16"/>
    </row>
    <row r="38" spans="2:56" ht="26.25" hidden="1" outlineLevel="1">
      <c r="B38" s="30"/>
      <c r="C38" s="61" t="s">
        <v>1440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97"/>
      <c r="Q38" s="4"/>
      <c r="R38" s="4"/>
      <c r="S38" s="4"/>
      <c r="T38" s="4"/>
      <c r="U38" s="4"/>
      <c r="V38" s="4"/>
      <c r="W38" s="4"/>
      <c r="X38" s="4"/>
      <c r="Y38" s="797"/>
      <c r="Z38" s="4"/>
      <c r="AA38" s="4"/>
      <c r="AB38" s="4"/>
      <c r="AC38" s="4"/>
      <c r="AD38" s="4"/>
      <c r="AE38" s="4"/>
      <c r="AF38" s="4"/>
      <c r="AG38" s="4"/>
      <c r="AH38" s="797"/>
      <c r="AI38" s="4"/>
      <c r="AJ38" s="4"/>
      <c r="AK38" s="4"/>
      <c r="AL38" s="4"/>
      <c r="AM38" s="4"/>
      <c r="AN38" s="4"/>
      <c r="AO38" s="715"/>
      <c r="AP38" s="715"/>
      <c r="AQ38" s="715"/>
      <c r="AR38" s="715"/>
      <c r="AS38" s="715"/>
      <c r="AT38" s="715"/>
      <c r="AU38" s="715"/>
      <c r="AV38" s="715"/>
      <c r="AW38" s="715"/>
      <c r="AX38" s="715"/>
      <c r="AY38" s="715"/>
      <c r="AZ38" s="16"/>
      <c r="BA38" s="16"/>
      <c r="BB38" s="16"/>
      <c r="BC38" s="16"/>
      <c r="BD38" s="16"/>
    </row>
    <row r="39" spans="2:56" ht="26.25" hidden="1" outlineLevel="1">
      <c r="B39" s="30"/>
      <c r="C39" s="61" t="s">
        <v>1441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797"/>
      <c r="Q39" s="4"/>
      <c r="R39" s="4"/>
      <c r="S39" s="4"/>
      <c r="T39" s="4"/>
      <c r="U39" s="4"/>
      <c r="V39" s="4"/>
      <c r="W39" s="4"/>
      <c r="X39" s="4"/>
      <c r="Y39" s="797"/>
      <c r="Z39" s="4"/>
      <c r="AA39" s="4"/>
      <c r="AB39" s="4"/>
      <c r="AC39" s="4"/>
      <c r="AD39" s="4"/>
      <c r="AE39" s="4"/>
      <c r="AF39" s="4"/>
      <c r="AG39" s="4"/>
      <c r="AH39" s="797"/>
      <c r="AI39" s="4"/>
      <c r="AJ39" s="4"/>
      <c r="AK39" s="4"/>
      <c r="AL39" s="4"/>
      <c r="AM39" s="4"/>
      <c r="AN39" s="4"/>
      <c r="AO39" s="715"/>
      <c r="AP39" s="715"/>
      <c r="AQ39" s="715"/>
      <c r="AR39" s="715"/>
      <c r="AS39" s="715"/>
      <c r="AT39" s="715"/>
      <c r="AU39" s="715"/>
      <c r="AV39" s="715"/>
      <c r="AW39" s="715"/>
      <c r="AX39" s="715"/>
      <c r="AY39" s="715"/>
      <c r="AZ39" s="16"/>
      <c r="BA39" s="16"/>
      <c r="BB39" s="16"/>
      <c r="BC39" s="16"/>
      <c r="BD39" s="16"/>
    </row>
    <row r="40" spans="2:56" ht="26.25" hidden="1" outlineLevel="1">
      <c r="B40" s="30"/>
      <c r="C40" s="61" t="s">
        <v>1442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797"/>
      <c r="Q40" s="4"/>
      <c r="R40" s="4"/>
      <c r="S40" s="4"/>
      <c r="T40" s="4"/>
      <c r="U40" s="4"/>
      <c r="V40" s="4"/>
      <c r="W40" s="4"/>
      <c r="X40" s="4"/>
      <c r="Y40" s="797"/>
      <c r="Z40" s="4"/>
      <c r="AA40" s="4"/>
      <c r="AB40" s="4"/>
      <c r="AC40" s="4"/>
      <c r="AD40" s="4"/>
      <c r="AE40" s="4"/>
      <c r="AF40" s="4"/>
      <c r="AG40" s="4"/>
      <c r="AH40" s="797"/>
      <c r="AI40" s="4"/>
      <c r="AJ40" s="4"/>
      <c r="AK40" s="4"/>
      <c r="AL40" s="4"/>
      <c r="AM40" s="4"/>
      <c r="AN40" s="4"/>
      <c r="AO40" s="715"/>
      <c r="AP40" s="715"/>
      <c r="AQ40" s="715"/>
      <c r="AR40" s="715"/>
      <c r="AS40" s="715"/>
      <c r="AT40" s="715"/>
      <c r="AU40" s="715"/>
      <c r="AV40" s="715"/>
      <c r="AW40" s="715"/>
      <c r="AX40" s="715"/>
      <c r="AY40" s="715"/>
      <c r="AZ40" s="16"/>
      <c r="BA40" s="16"/>
      <c r="BB40" s="16"/>
      <c r="BC40" s="16"/>
      <c r="BD40" s="16"/>
    </row>
    <row r="41" spans="2:56" ht="26.25" hidden="1" outlineLevel="1">
      <c r="B41" s="30"/>
      <c r="C41" s="61" t="s">
        <v>600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797"/>
      <c r="Q41" s="4"/>
      <c r="R41" s="4"/>
      <c r="S41" s="4"/>
      <c r="T41" s="4"/>
      <c r="U41" s="4"/>
      <c r="V41" s="4"/>
      <c r="W41" s="4"/>
      <c r="X41" s="4"/>
      <c r="Y41" s="797"/>
      <c r="Z41" s="4"/>
      <c r="AA41" s="4"/>
      <c r="AB41" s="4"/>
      <c r="AC41" s="4"/>
      <c r="AD41" s="4"/>
      <c r="AE41" s="4"/>
      <c r="AF41" s="4"/>
      <c r="AG41" s="4"/>
      <c r="AH41" s="797"/>
      <c r="AI41" s="4"/>
      <c r="AJ41" s="4"/>
      <c r="AK41" s="4"/>
      <c r="AL41" s="4"/>
      <c r="AM41" s="4"/>
      <c r="AN41" s="4"/>
      <c r="AO41" s="715"/>
      <c r="AP41" s="715"/>
      <c r="AQ41" s="715"/>
      <c r="AR41" s="715"/>
      <c r="AS41" s="715"/>
      <c r="AT41" s="715"/>
      <c r="AU41" s="715"/>
      <c r="AV41" s="715"/>
      <c r="AW41" s="715"/>
      <c r="AX41" s="715"/>
      <c r="AY41" s="715"/>
      <c r="AZ41" s="16"/>
      <c r="BA41" s="16"/>
      <c r="BB41" s="16"/>
      <c r="BC41" s="16"/>
      <c r="BD41" s="16"/>
    </row>
    <row r="42" spans="2:56" ht="52.5" hidden="1">
      <c r="B42" s="30" t="s">
        <v>1015</v>
      </c>
      <c r="C42" s="77" t="s">
        <v>1165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797"/>
      <c r="Q42" s="4"/>
      <c r="R42" s="4"/>
      <c r="S42" s="4"/>
      <c r="T42" s="4"/>
      <c r="U42" s="4"/>
      <c r="V42" s="4"/>
      <c r="W42" s="4"/>
      <c r="X42" s="4"/>
      <c r="Y42" s="797"/>
      <c r="Z42" s="4"/>
      <c r="AA42" s="4"/>
      <c r="AB42" s="4"/>
      <c r="AC42" s="4"/>
      <c r="AD42" s="4"/>
      <c r="AE42" s="4"/>
      <c r="AF42" s="4"/>
      <c r="AG42" s="4"/>
      <c r="AH42" s="797"/>
      <c r="AI42" s="4"/>
      <c r="AJ42" s="4"/>
      <c r="AK42" s="4"/>
      <c r="AL42" s="4"/>
      <c r="AM42" s="4"/>
      <c r="AN42" s="4"/>
      <c r="AO42" s="715"/>
      <c r="AP42" s="715"/>
      <c r="AQ42" s="715"/>
      <c r="AR42" s="715"/>
      <c r="AS42" s="715"/>
      <c r="AT42" s="715"/>
      <c r="AU42" s="715"/>
      <c r="AV42" s="715"/>
      <c r="AW42" s="715"/>
      <c r="AX42" s="715"/>
      <c r="AY42" s="715"/>
      <c r="AZ42" s="16"/>
      <c r="BA42" s="16"/>
      <c r="BB42" s="16"/>
      <c r="BC42" s="16"/>
      <c r="BD42" s="16"/>
    </row>
    <row r="43" spans="2:56" ht="78.75" customHeight="1" hidden="1" outlineLevel="1">
      <c r="B43" s="30" t="s">
        <v>700</v>
      </c>
      <c r="C43" s="77" t="s">
        <v>1166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797"/>
      <c r="Q43" s="4"/>
      <c r="R43" s="4"/>
      <c r="S43" s="4"/>
      <c r="T43" s="4"/>
      <c r="U43" s="4"/>
      <c r="V43" s="4"/>
      <c r="W43" s="4"/>
      <c r="X43" s="4"/>
      <c r="Y43" s="797"/>
      <c r="Z43" s="4"/>
      <c r="AA43" s="4"/>
      <c r="AB43" s="4"/>
      <c r="AC43" s="4"/>
      <c r="AD43" s="4"/>
      <c r="AE43" s="4"/>
      <c r="AF43" s="4"/>
      <c r="AG43" s="4"/>
      <c r="AH43" s="797"/>
      <c r="AI43" s="4"/>
      <c r="AJ43" s="4"/>
      <c r="AK43" s="4"/>
      <c r="AL43" s="4"/>
      <c r="AM43" s="4"/>
      <c r="AN43" s="4"/>
      <c r="AO43" s="715"/>
      <c r="AP43" s="715"/>
      <c r="AQ43" s="715"/>
      <c r="AR43" s="715"/>
      <c r="AS43" s="715"/>
      <c r="AT43" s="715"/>
      <c r="AU43" s="715"/>
      <c r="AV43" s="715"/>
      <c r="AW43" s="715"/>
      <c r="AX43" s="715"/>
      <c r="AY43" s="715"/>
      <c r="AZ43" s="16"/>
      <c r="BA43" s="16"/>
      <c r="BB43" s="16"/>
      <c r="BC43" s="16"/>
      <c r="BD43" s="16"/>
    </row>
    <row r="44" spans="2:56" ht="26.25" customHeight="1" hidden="1" outlineLevel="1">
      <c r="B44" s="30"/>
      <c r="C44" s="77" t="s">
        <v>697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797"/>
      <c r="Q44" s="4"/>
      <c r="R44" s="4"/>
      <c r="S44" s="4"/>
      <c r="T44" s="4"/>
      <c r="U44" s="4"/>
      <c r="V44" s="4"/>
      <c r="W44" s="4"/>
      <c r="X44" s="4"/>
      <c r="Y44" s="797"/>
      <c r="Z44" s="4"/>
      <c r="AA44" s="4"/>
      <c r="AB44" s="4"/>
      <c r="AC44" s="4"/>
      <c r="AD44" s="4"/>
      <c r="AE44" s="4"/>
      <c r="AF44" s="4"/>
      <c r="AG44" s="4"/>
      <c r="AH44" s="797"/>
      <c r="AI44" s="4"/>
      <c r="AJ44" s="4"/>
      <c r="AK44" s="4"/>
      <c r="AL44" s="4"/>
      <c r="AM44" s="4"/>
      <c r="AN44" s="4"/>
      <c r="AO44" s="715"/>
      <c r="AP44" s="715"/>
      <c r="AQ44" s="715"/>
      <c r="AR44" s="715"/>
      <c r="AS44" s="715"/>
      <c r="AT44" s="715"/>
      <c r="AU44" s="715"/>
      <c r="AV44" s="715"/>
      <c r="AW44" s="715"/>
      <c r="AX44" s="715"/>
      <c r="AY44" s="715"/>
      <c r="AZ44" s="16"/>
      <c r="BA44" s="16"/>
      <c r="BB44" s="16"/>
      <c r="BC44" s="16"/>
      <c r="BD44" s="16"/>
    </row>
    <row r="45" spans="2:56" ht="26.25" customHeight="1" hidden="1" outlineLevel="1">
      <c r="B45" s="30"/>
      <c r="C45" s="77" t="s">
        <v>1698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797"/>
      <c r="Q45" s="4"/>
      <c r="R45" s="4"/>
      <c r="S45" s="4"/>
      <c r="T45" s="4"/>
      <c r="U45" s="4"/>
      <c r="V45" s="4"/>
      <c r="W45" s="4"/>
      <c r="X45" s="4"/>
      <c r="Y45" s="797"/>
      <c r="Z45" s="4"/>
      <c r="AA45" s="4"/>
      <c r="AB45" s="4"/>
      <c r="AC45" s="4"/>
      <c r="AD45" s="4"/>
      <c r="AE45" s="4"/>
      <c r="AF45" s="4"/>
      <c r="AG45" s="4"/>
      <c r="AH45" s="797"/>
      <c r="AI45" s="4"/>
      <c r="AJ45" s="4"/>
      <c r="AK45" s="4"/>
      <c r="AL45" s="4"/>
      <c r="AM45" s="4"/>
      <c r="AN45" s="4"/>
      <c r="AO45" s="715"/>
      <c r="AP45" s="715"/>
      <c r="AQ45" s="715"/>
      <c r="AR45" s="715"/>
      <c r="AS45" s="715"/>
      <c r="AT45" s="715"/>
      <c r="AU45" s="715"/>
      <c r="AV45" s="715"/>
      <c r="AW45" s="715"/>
      <c r="AX45" s="715"/>
      <c r="AY45" s="715"/>
      <c r="AZ45" s="16"/>
      <c r="BA45" s="16"/>
      <c r="BB45" s="16"/>
      <c r="BC45" s="16"/>
      <c r="BD45" s="16"/>
    </row>
    <row r="46" spans="2:56" ht="12.75" customHeight="1" hidden="1" outlineLevel="1">
      <c r="B46" s="30"/>
      <c r="C46" s="61" t="s">
        <v>664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797"/>
      <c r="Q46" s="4"/>
      <c r="R46" s="4"/>
      <c r="S46" s="4"/>
      <c r="T46" s="4"/>
      <c r="U46" s="4"/>
      <c r="V46" s="4"/>
      <c r="W46" s="4"/>
      <c r="X46" s="4"/>
      <c r="Y46" s="797"/>
      <c r="Z46" s="4"/>
      <c r="AA46" s="4"/>
      <c r="AB46" s="4"/>
      <c r="AC46" s="4"/>
      <c r="AD46" s="4"/>
      <c r="AE46" s="4"/>
      <c r="AF46" s="4"/>
      <c r="AG46" s="4"/>
      <c r="AH46" s="797"/>
      <c r="AI46" s="4"/>
      <c r="AJ46" s="4"/>
      <c r="AK46" s="4"/>
      <c r="AL46" s="4"/>
      <c r="AM46" s="4"/>
      <c r="AN46" s="4"/>
      <c r="AO46" s="715"/>
      <c r="AP46" s="715"/>
      <c r="AQ46" s="715"/>
      <c r="AR46" s="715"/>
      <c r="AS46" s="715"/>
      <c r="AT46" s="715"/>
      <c r="AU46" s="715"/>
      <c r="AV46" s="715"/>
      <c r="AW46" s="715"/>
      <c r="AX46" s="715"/>
      <c r="AY46" s="715"/>
      <c r="AZ46" s="16"/>
      <c r="BA46" s="16"/>
      <c r="BB46" s="16"/>
      <c r="BC46" s="16"/>
      <c r="BD46" s="16"/>
    </row>
    <row r="47" spans="2:56" ht="26.25" customHeight="1" hidden="1" outlineLevel="1">
      <c r="B47" s="30"/>
      <c r="C47" s="61" t="s">
        <v>1439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797"/>
      <c r="Q47" s="4"/>
      <c r="R47" s="4"/>
      <c r="S47" s="4"/>
      <c r="T47" s="4"/>
      <c r="U47" s="4"/>
      <c r="V47" s="4"/>
      <c r="W47" s="4"/>
      <c r="X47" s="4"/>
      <c r="Y47" s="797"/>
      <c r="Z47" s="4"/>
      <c r="AA47" s="4"/>
      <c r="AB47" s="4"/>
      <c r="AC47" s="4"/>
      <c r="AD47" s="4"/>
      <c r="AE47" s="4"/>
      <c r="AF47" s="4"/>
      <c r="AG47" s="4"/>
      <c r="AH47" s="797"/>
      <c r="AI47" s="4"/>
      <c r="AJ47" s="4"/>
      <c r="AK47" s="4"/>
      <c r="AL47" s="4"/>
      <c r="AM47" s="4"/>
      <c r="AN47" s="4"/>
      <c r="AO47" s="715"/>
      <c r="AP47" s="715"/>
      <c r="AQ47" s="715"/>
      <c r="AR47" s="715"/>
      <c r="AS47" s="715"/>
      <c r="AT47" s="715"/>
      <c r="AU47" s="715"/>
      <c r="AV47" s="715"/>
      <c r="AW47" s="715"/>
      <c r="AX47" s="715"/>
      <c r="AY47" s="715"/>
      <c r="AZ47" s="16"/>
      <c r="BA47" s="16"/>
      <c r="BB47" s="16"/>
      <c r="BC47" s="16"/>
      <c r="BD47" s="16"/>
    </row>
    <row r="48" spans="2:56" ht="26.25" customHeight="1" hidden="1" outlineLevel="1">
      <c r="B48" s="30"/>
      <c r="C48" s="61" t="s">
        <v>1440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797"/>
      <c r="Q48" s="4"/>
      <c r="R48" s="4"/>
      <c r="S48" s="4"/>
      <c r="T48" s="4"/>
      <c r="U48" s="4"/>
      <c r="V48" s="4"/>
      <c r="W48" s="4"/>
      <c r="X48" s="4"/>
      <c r="Y48" s="797"/>
      <c r="Z48" s="4"/>
      <c r="AA48" s="4"/>
      <c r="AB48" s="4"/>
      <c r="AC48" s="4"/>
      <c r="AD48" s="4"/>
      <c r="AE48" s="4"/>
      <c r="AF48" s="4"/>
      <c r="AG48" s="4"/>
      <c r="AH48" s="797"/>
      <c r="AI48" s="4"/>
      <c r="AJ48" s="4"/>
      <c r="AK48" s="4"/>
      <c r="AL48" s="4"/>
      <c r="AM48" s="4"/>
      <c r="AN48" s="4"/>
      <c r="AO48" s="715"/>
      <c r="AP48" s="715"/>
      <c r="AQ48" s="715"/>
      <c r="AR48" s="715"/>
      <c r="AS48" s="715"/>
      <c r="AT48" s="715"/>
      <c r="AU48" s="715"/>
      <c r="AV48" s="715"/>
      <c r="AW48" s="715"/>
      <c r="AX48" s="715"/>
      <c r="AY48" s="715"/>
      <c r="AZ48" s="16"/>
      <c r="BA48" s="16"/>
      <c r="BB48" s="16"/>
      <c r="BC48" s="16"/>
      <c r="BD48" s="16"/>
    </row>
    <row r="49" spans="2:56" ht="26.25" customHeight="1" hidden="1" outlineLevel="1">
      <c r="B49" s="30"/>
      <c r="C49" s="61" t="s">
        <v>1441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797"/>
      <c r="Q49" s="4"/>
      <c r="R49" s="4"/>
      <c r="S49" s="4"/>
      <c r="T49" s="4"/>
      <c r="U49" s="4"/>
      <c r="V49" s="4"/>
      <c r="W49" s="4"/>
      <c r="X49" s="4"/>
      <c r="Y49" s="797"/>
      <c r="Z49" s="4"/>
      <c r="AA49" s="4"/>
      <c r="AB49" s="4"/>
      <c r="AC49" s="4"/>
      <c r="AD49" s="4"/>
      <c r="AE49" s="4"/>
      <c r="AF49" s="4"/>
      <c r="AG49" s="4"/>
      <c r="AH49" s="797"/>
      <c r="AI49" s="4"/>
      <c r="AJ49" s="4"/>
      <c r="AK49" s="4"/>
      <c r="AL49" s="4"/>
      <c r="AM49" s="4"/>
      <c r="AN49" s="4"/>
      <c r="AO49" s="715"/>
      <c r="AP49" s="715"/>
      <c r="AQ49" s="715"/>
      <c r="AR49" s="715"/>
      <c r="AS49" s="715"/>
      <c r="AT49" s="715"/>
      <c r="AU49" s="715"/>
      <c r="AV49" s="715"/>
      <c r="AW49" s="715"/>
      <c r="AX49" s="715"/>
      <c r="AY49" s="715"/>
      <c r="AZ49" s="16"/>
      <c r="BA49" s="16"/>
      <c r="BB49" s="16"/>
      <c r="BC49" s="16"/>
      <c r="BD49" s="16"/>
    </row>
    <row r="50" spans="2:56" ht="26.25" customHeight="1" hidden="1" outlineLevel="1">
      <c r="B50" s="30"/>
      <c r="C50" s="61" t="s">
        <v>1442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797"/>
      <c r="Q50" s="4"/>
      <c r="R50" s="4"/>
      <c r="S50" s="4"/>
      <c r="T50" s="4"/>
      <c r="U50" s="4"/>
      <c r="V50" s="4"/>
      <c r="W50" s="4"/>
      <c r="X50" s="4"/>
      <c r="Y50" s="797"/>
      <c r="Z50" s="4"/>
      <c r="AA50" s="4"/>
      <c r="AB50" s="4"/>
      <c r="AC50" s="4"/>
      <c r="AD50" s="4"/>
      <c r="AE50" s="4"/>
      <c r="AF50" s="4"/>
      <c r="AG50" s="4"/>
      <c r="AH50" s="797"/>
      <c r="AI50" s="4"/>
      <c r="AJ50" s="4"/>
      <c r="AK50" s="4"/>
      <c r="AL50" s="4"/>
      <c r="AM50" s="4"/>
      <c r="AN50" s="4"/>
      <c r="AO50" s="715"/>
      <c r="AP50" s="715"/>
      <c r="AQ50" s="715"/>
      <c r="AR50" s="715"/>
      <c r="AS50" s="715"/>
      <c r="AT50" s="715"/>
      <c r="AU50" s="715"/>
      <c r="AV50" s="715"/>
      <c r="AW50" s="715"/>
      <c r="AX50" s="715"/>
      <c r="AY50" s="715"/>
      <c r="AZ50" s="16"/>
      <c r="BA50" s="16"/>
      <c r="BB50" s="16"/>
      <c r="BC50" s="16"/>
      <c r="BD50" s="16"/>
    </row>
    <row r="51" spans="2:56" ht="26.25" customHeight="1" hidden="1" outlineLevel="1">
      <c r="B51" s="30"/>
      <c r="C51" s="61" t="s">
        <v>600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797"/>
      <c r="Q51" s="4"/>
      <c r="R51" s="4"/>
      <c r="S51" s="4"/>
      <c r="T51" s="4"/>
      <c r="U51" s="4"/>
      <c r="V51" s="4"/>
      <c r="W51" s="4"/>
      <c r="X51" s="4"/>
      <c r="Y51" s="797"/>
      <c r="Z51" s="4"/>
      <c r="AA51" s="4"/>
      <c r="AB51" s="4"/>
      <c r="AC51" s="4"/>
      <c r="AD51" s="4"/>
      <c r="AE51" s="4"/>
      <c r="AF51" s="4"/>
      <c r="AG51" s="4"/>
      <c r="AH51" s="797"/>
      <c r="AI51" s="4"/>
      <c r="AJ51" s="4"/>
      <c r="AK51" s="4"/>
      <c r="AL51" s="4"/>
      <c r="AM51" s="4"/>
      <c r="AN51" s="4"/>
      <c r="AO51" s="715"/>
      <c r="AP51" s="715"/>
      <c r="AQ51" s="715"/>
      <c r="AR51" s="715"/>
      <c r="AS51" s="715"/>
      <c r="AT51" s="715"/>
      <c r="AU51" s="715"/>
      <c r="AV51" s="715"/>
      <c r="AW51" s="715"/>
      <c r="AX51" s="715"/>
      <c r="AY51" s="715"/>
      <c r="AZ51" s="16"/>
      <c r="BA51" s="16"/>
      <c r="BB51" s="16"/>
      <c r="BC51" s="16"/>
      <c r="BD51" s="16"/>
    </row>
    <row r="52" spans="2:56" ht="78.75" hidden="1" collapsed="1">
      <c r="B52" s="30" t="s">
        <v>701</v>
      </c>
      <c r="C52" s="77" t="s">
        <v>1168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797"/>
      <c r="Q52" s="4"/>
      <c r="R52" s="4"/>
      <c r="S52" s="4"/>
      <c r="T52" s="4"/>
      <c r="U52" s="4"/>
      <c r="V52" s="4"/>
      <c r="W52" s="4"/>
      <c r="X52" s="4"/>
      <c r="Y52" s="797"/>
      <c r="Z52" s="4"/>
      <c r="AA52" s="4"/>
      <c r="AB52" s="4"/>
      <c r="AC52" s="4"/>
      <c r="AD52" s="4"/>
      <c r="AE52" s="4"/>
      <c r="AF52" s="4"/>
      <c r="AG52" s="4"/>
      <c r="AH52" s="797"/>
      <c r="AI52" s="4"/>
      <c r="AJ52" s="4"/>
      <c r="AK52" s="4"/>
      <c r="AL52" s="4"/>
      <c r="AM52" s="4"/>
      <c r="AN52" s="4"/>
      <c r="AO52" s="715"/>
      <c r="AP52" s="715"/>
      <c r="AQ52" s="715"/>
      <c r="AR52" s="715"/>
      <c r="AS52" s="715"/>
      <c r="AT52" s="715"/>
      <c r="AU52" s="715"/>
      <c r="AV52" s="715"/>
      <c r="AW52" s="715"/>
      <c r="AX52" s="715"/>
      <c r="AY52" s="715"/>
      <c r="AZ52" s="16"/>
      <c r="BA52" s="16"/>
      <c r="BB52" s="16"/>
      <c r="BC52" s="16"/>
      <c r="BD52" s="16"/>
    </row>
    <row r="53" spans="2:56" ht="26.25" customHeight="1" hidden="1" outlineLevel="1">
      <c r="B53" s="30"/>
      <c r="C53" s="77" t="s">
        <v>697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797"/>
      <c r="Q53" s="4"/>
      <c r="R53" s="4"/>
      <c r="S53" s="4"/>
      <c r="T53" s="4"/>
      <c r="U53" s="4"/>
      <c r="V53" s="4"/>
      <c r="W53" s="4"/>
      <c r="X53" s="4"/>
      <c r="Y53" s="797"/>
      <c r="Z53" s="4"/>
      <c r="AA53" s="4"/>
      <c r="AB53" s="4"/>
      <c r="AC53" s="4"/>
      <c r="AD53" s="4"/>
      <c r="AE53" s="4"/>
      <c r="AF53" s="4"/>
      <c r="AG53" s="4"/>
      <c r="AH53" s="797"/>
      <c r="AI53" s="4"/>
      <c r="AJ53" s="4"/>
      <c r="AK53" s="4"/>
      <c r="AL53" s="4"/>
      <c r="AM53" s="4"/>
      <c r="AN53" s="4"/>
      <c r="AO53" s="715"/>
      <c r="AP53" s="715"/>
      <c r="AQ53" s="715"/>
      <c r="AR53" s="715"/>
      <c r="AS53" s="715"/>
      <c r="AT53" s="715"/>
      <c r="AU53" s="715"/>
      <c r="AV53" s="715"/>
      <c r="AW53" s="715"/>
      <c r="AX53" s="715"/>
      <c r="AY53" s="715"/>
      <c r="AZ53" s="16"/>
      <c r="BA53" s="16"/>
      <c r="BB53" s="16"/>
      <c r="BC53" s="16"/>
      <c r="BD53" s="16"/>
    </row>
    <row r="54" spans="2:56" ht="26.25" customHeight="1" hidden="1" outlineLevel="1">
      <c r="B54" s="30"/>
      <c r="C54" s="77" t="s">
        <v>1698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797"/>
      <c r="Q54" s="4"/>
      <c r="R54" s="4"/>
      <c r="S54" s="4"/>
      <c r="T54" s="4"/>
      <c r="U54" s="4"/>
      <c r="V54" s="4"/>
      <c r="W54" s="4"/>
      <c r="X54" s="4"/>
      <c r="Y54" s="797"/>
      <c r="Z54" s="4"/>
      <c r="AA54" s="4"/>
      <c r="AB54" s="4"/>
      <c r="AC54" s="4"/>
      <c r="AD54" s="4"/>
      <c r="AE54" s="4"/>
      <c r="AF54" s="4"/>
      <c r="AG54" s="4"/>
      <c r="AH54" s="797"/>
      <c r="AI54" s="4"/>
      <c r="AJ54" s="4"/>
      <c r="AK54" s="4"/>
      <c r="AL54" s="4"/>
      <c r="AM54" s="4"/>
      <c r="AN54" s="4"/>
      <c r="AO54" s="715"/>
      <c r="AP54" s="715"/>
      <c r="AQ54" s="715"/>
      <c r="AR54" s="715"/>
      <c r="AS54" s="715"/>
      <c r="AT54" s="715"/>
      <c r="AU54" s="715"/>
      <c r="AV54" s="715"/>
      <c r="AW54" s="715"/>
      <c r="AX54" s="715"/>
      <c r="AY54" s="715"/>
      <c r="AZ54" s="16"/>
      <c r="BA54" s="16"/>
      <c r="BB54" s="16"/>
      <c r="BC54" s="16"/>
      <c r="BD54" s="16"/>
    </row>
    <row r="55" spans="2:56" ht="12.75" customHeight="1" hidden="1" outlineLevel="1">
      <c r="B55" s="30"/>
      <c r="C55" s="61" t="s">
        <v>664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797"/>
      <c r="Q55" s="4"/>
      <c r="R55" s="4"/>
      <c r="S55" s="4"/>
      <c r="T55" s="4"/>
      <c r="U55" s="4"/>
      <c r="V55" s="4"/>
      <c r="W55" s="4"/>
      <c r="X55" s="4"/>
      <c r="Y55" s="797"/>
      <c r="Z55" s="4"/>
      <c r="AA55" s="4"/>
      <c r="AB55" s="4"/>
      <c r="AC55" s="4"/>
      <c r="AD55" s="4"/>
      <c r="AE55" s="4"/>
      <c r="AF55" s="4"/>
      <c r="AG55" s="4"/>
      <c r="AH55" s="797"/>
      <c r="AI55" s="4"/>
      <c r="AJ55" s="4"/>
      <c r="AK55" s="4"/>
      <c r="AL55" s="4"/>
      <c r="AM55" s="4"/>
      <c r="AN55" s="4"/>
      <c r="AO55" s="715"/>
      <c r="AP55" s="715"/>
      <c r="AQ55" s="715"/>
      <c r="AR55" s="715"/>
      <c r="AS55" s="715"/>
      <c r="AT55" s="715"/>
      <c r="AU55" s="715"/>
      <c r="AV55" s="715"/>
      <c r="AW55" s="715"/>
      <c r="AX55" s="715"/>
      <c r="AY55" s="715"/>
      <c r="AZ55" s="16"/>
      <c r="BA55" s="16"/>
      <c r="BB55" s="16"/>
      <c r="BC55" s="16"/>
      <c r="BD55" s="16"/>
    </row>
    <row r="56" spans="2:56" ht="26.25" customHeight="1" hidden="1" outlineLevel="1">
      <c r="B56" s="30"/>
      <c r="C56" s="61" t="s">
        <v>1439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797"/>
      <c r="Q56" s="4"/>
      <c r="R56" s="4"/>
      <c r="S56" s="4"/>
      <c r="T56" s="4"/>
      <c r="U56" s="4"/>
      <c r="V56" s="4"/>
      <c r="W56" s="4"/>
      <c r="X56" s="4"/>
      <c r="Y56" s="797"/>
      <c r="Z56" s="4"/>
      <c r="AA56" s="4"/>
      <c r="AB56" s="4"/>
      <c r="AC56" s="4"/>
      <c r="AD56" s="4"/>
      <c r="AE56" s="4"/>
      <c r="AF56" s="4"/>
      <c r="AG56" s="4"/>
      <c r="AH56" s="797"/>
      <c r="AI56" s="4"/>
      <c r="AJ56" s="4"/>
      <c r="AK56" s="4"/>
      <c r="AL56" s="4"/>
      <c r="AM56" s="4"/>
      <c r="AN56" s="4"/>
      <c r="AO56" s="715"/>
      <c r="AP56" s="715"/>
      <c r="AQ56" s="715"/>
      <c r="AR56" s="715"/>
      <c r="AS56" s="715"/>
      <c r="AT56" s="715"/>
      <c r="AU56" s="715"/>
      <c r="AV56" s="715"/>
      <c r="AW56" s="715"/>
      <c r="AX56" s="715"/>
      <c r="AY56" s="715"/>
      <c r="AZ56" s="16"/>
      <c r="BA56" s="16"/>
      <c r="BB56" s="16"/>
      <c r="BC56" s="16"/>
      <c r="BD56" s="16"/>
    </row>
    <row r="57" spans="2:56" ht="26.25" customHeight="1" hidden="1" outlineLevel="1">
      <c r="B57" s="30"/>
      <c r="C57" s="61" t="s">
        <v>1440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797"/>
      <c r="Q57" s="4"/>
      <c r="R57" s="4"/>
      <c r="S57" s="4"/>
      <c r="T57" s="4"/>
      <c r="U57" s="4"/>
      <c r="V57" s="4"/>
      <c r="W57" s="4"/>
      <c r="X57" s="4"/>
      <c r="Y57" s="797"/>
      <c r="Z57" s="4"/>
      <c r="AA57" s="4"/>
      <c r="AB57" s="4"/>
      <c r="AC57" s="4"/>
      <c r="AD57" s="4"/>
      <c r="AE57" s="4"/>
      <c r="AF57" s="4"/>
      <c r="AG57" s="4"/>
      <c r="AH57" s="797"/>
      <c r="AI57" s="4"/>
      <c r="AJ57" s="4"/>
      <c r="AK57" s="4"/>
      <c r="AL57" s="4"/>
      <c r="AM57" s="4"/>
      <c r="AN57" s="4"/>
      <c r="AO57" s="715"/>
      <c r="AP57" s="715"/>
      <c r="AQ57" s="715"/>
      <c r="AR57" s="715"/>
      <c r="AS57" s="715"/>
      <c r="AT57" s="715"/>
      <c r="AU57" s="715"/>
      <c r="AV57" s="715"/>
      <c r="AW57" s="715"/>
      <c r="AX57" s="715"/>
      <c r="AY57" s="715"/>
      <c r="AZ57" s="16"/>
      <c r="BA57" s="16"/>
      <c r="BB57" s="16"/>
      <c r="BC57" s="16"/>
      <c r="BD57" s="16"/>
    </row>
    <row r="58" spans="2:56" ht="26.25" customHeight="1" hidden="1" outlineLevel="1">
      <c r="B58" s="30"/>
      <c r="C58" s="61" t="s">
        <v>1441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797"/>
      <c r="Q58" s="4"/>
      <c r="R58" s="4"/>
      <c r="S58" s="4"/>
      <c r="T58" s="4"/>
      <c r="U58" s="4"/>
      <c r="V58" s="4"/>
      <c r="W58" s="4"/>
      <c r="X58" s="4"/>
      <c r="Y58" s="797"/>
      <c r="Z58" s="4"/>
      <c r="AA58" s="4"/>
      <c r="AB58" s="4"/>
      <c r="AC58" s="4"/>
      <c r="AD58" s="4"/>
      <c r="AE58" s="4"/>
      <c r="AF58" s="4"/>
      <c r="AG58" s="4"/>
      <c r="AH58" s="797"/>
      <c r="AI58" s="4"/>
      <c r="AJ58" s="4"/>
      <c r="AK58" s="4"/>
      <c r="AL58" s="4"/>
      <c r="AM58" s="4"/>
      <c r="AN58" s="4"/>
      <c r="AO58" s="715"/>
      <c r="AP58" s="715"/>
      <c r="AQ58" s="715"/>
      <c r="AR58" s="715"/>
      <c r="AS58" s="715"/>
      <c r="AT58" s="715"/>
      <c r="AU58" s="715"/>
      <c r="AV58" s="715"/>
      <c r="AW58" s="715"/>
      <c r="AX58" s="715"/>
      <c r="AY58" s="715"/>
      <c r="AZ58" s="16"/>
      <c r="BA58" s="16"/>
      <c r="BB58" s="16"/>
      <c r="BC58" s="16"/>
      <c r="BD58" s="16"/>
    </row>
    <row r="59" spans="2:56" ht="26.25" customHeight="1" hidden="1" outlineLevel="1">
      <c r="B59" s="30"/>
      <c r="C59" s="61" t="s">
        <v>1442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797"/>
      <c r="Q59" s="4"/>
      <c r="R59" s="4"/>
      <c r="S59" s="4"/>
      <c r="T59" s="4"/>
      <c r="U59" s="4"/>
      <c r="V59" s="4"/>
      <c r="W59" s="4"/>
      <c r="X59" s="4"/>
      <c r="Y59" s="797"/>
      <c r="Z59" s="4"/>
      <c r="AA59" s="4"/>
      <c r="AB59" s="4"/>
      <c r="AC59" s="4"/>
      <c r="AD59" s="4"/>
      <c r="AE59" s="4"/>
      <c r="AF59" s="4"/>
      <c r="AG59" s="4"/>
      <c r="AH59" s="797"/>
      <c r="AI59" s="4"/>
      <c r="AJ59" s="4"/>
      <c r="AK59" s="4"/>
      <c r="AL59" s="4"/>
      <c r="AM59" s="4"/>
      <c r="AN59" s="4"/>
      <c r="AO59" s="715"/>
      <c r="AP59" s="715"/>
      <c r="AQ59" s="715"/>
      <c r="AR59" s="715"/>
      <c r="AS59" s="715"/>
      <c r="AT59" s="715"/>
      <c r="AU59" s="715"/>
      <c r="AV59" s="715"/>
      <c r="AW59" s="715"/>
      <c r="AX59" s="715"/>
      <c r="AY59" s="715"/>
      <c r="AZ59" s="16"/>
      <c r="BA59" s="16"/>
      <c r="BB59" s="16"/>
      <c r="BC59" s="16"/>
      <c r="BD59" s="16"/>
    </row>
    <row r="60" spans="2:56" ht="26.25" customHeight="1" hidden="1" outlineLevel="1">
      <c r="B60" s="30"/>
      <c r="C60" s="61" t="s">
        <v>600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797"/>
      <c r="Q60" s="4"/>
      <c r="R60" s="4"/>
      <c r="S60" s="4"/>
      <c r="T60" s="4"/>
      <c r="U60" s="4"/>
      <c r="V60" s="4"/>
      <c r="W60" s="4"/>
      <c r="X60" s="4"/>
      <c r="Y60" s="797"/>
      <c r="Z60" s="4"/>
      <c r="AA60" s="4"/>
      <c r="AB60" s="4"/>
      <c r="AC60" s="4"/>
      <c r="AD60" s="4"/>
      <c r="AE60" s="4"/>
      <c r="AF60" s="4"/>
      <c r="AG60" s="4"/>
      <c r="AH60" s="797"/>
      <c r="AI60" s="4"/>
      <c r="AJ60" s="4"/>
      <c r="AK60" s="4"/>
      <c r="AL60" s="4"/>
      <c r="AM60" s="4"/>
      <c r="AN60" s="4"/>
      <c r="AO60" s="715"/>
      <c r="AP60" s="715"/>
      <c r="AQ60" s="715"/>
      <c r="AR60" s="715"/>
      <c r="AS60" s="715"/>
      <c r="AT60" s="715"/>
      <c r="AU60" s="715"/>
      <c r="AV60" s="715"/>
      <c r="AW60" s="715"/>
      <c r="AX60" s="715"/>
      <c r="AY60" s="715"/>
      <c r="AZ60" s="16"/>
      <c r="BA60" s="16"/>
      <c r="BB60" s="16"/>
      <c r="BC60" s="16"/>
      <c r="BD60" s="16"/>
    </row>
    <row r="61" spans="2:18" ht="12.75" collapsed="1">
      <c r="B61" s="669"/>
      <c r="C61" s="670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</row>
    <row r="62" ht="12.75" customHeight="1" hidden="1" outlineLevel="1">
      <c r="B62" s="141" t="s">
        <v>35</v>
      </c>
    </row>
    <row r="63" spans="2:108" ht="12.75" customHeight="1" hidden="1" outlineLevel="1">
      <c r="B63" s="671" t="s">
        <v>637</v>
      </c>
      <c r="C63" s="532" t="s">
        <v>1455</v>
      </c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  <c r="S63" s="532"/>
      <c r="T63" s="532"/>
      <c r="U63" s="532"/>
      <c r="V63" s="532"/>
      <c r="W63" s="532"/>
      <c r="X63" s="532"/>
      <c r="Y63" s="532"/>
      <c r="Z63" s="532"/>
      <c r="AA63" s="532"/>
      <c r="AB63" s="532"/>
      <c r="AC63" s="532"/>
      <c r="AD63" s="532"/>
      <c r="AE63" s="532"/>
      <c r="AF63" s="532"/>
      <c r="AG63" s="532"/>
      <c r="AH63" s="532"/>
      <c r="AI63" s="532"/>
      <c r="AJ63" s="532"/>
      <c r="AK63" s="532"/>
      <c r="AL63" s="532"/>
      <c r="AM63" s="532"/>
      <c r="AN63" s="532"/>
      <c r="AO63" s="532"/>
      <c r="AP63" s="532"/>
      <c r="AQ63" s="532"/>
      <c r="AR63" s="532"/>
      <c r="AS63" s="532"/>
      <c r="AT63" s="532"/>
      <c r="AU63" s="532"/>
      <c r="AV63" s="532"/>
      <c r="AW63" s="532"/>
      <c r="AX63" s="532"/>
      <c r="AY63" s="532"/>
      <c r="AZ63" s="532"/>
      <c r="BA63" s="532"/>
      <c r="BB63" s="532"/>
      <c r="BC63" s="532"/>
      <c r="BD63" s="532"/>
      <c r="BE63" s="532"/>
      <c r="BF63" s="532"/>
      <c r="BG63" s="532"/>
      <c r="BH63" s="532"/>
      <c r="BI63" s="532"/>
      <c r="BJ63" s="532"/>
      <c r="BK63" s="532"/>
      <c r="BL63" s="532"/>
      <c r="BM63" s="532"/>
      <c r="BN63" s="532"/>
      <c r="BO63" s="532"/>
      <c r="BP63" s="532"/>
      <c r="BQ63" s="532"/>
      <c r="BR63" s="532"/>
      <c r="BS63" s="532"/>
      <c r="BT63" s="532"/>
      <c r="BU63" s="532"/>
      <c r="BV63" s="532"/>
      <c r="BW63" s="532"/>
      <c r="BX63" s="532"/>
      <c r="BY63" s="532"/>
      <c r="BZ63" s="532"/>
      <c r="CA63" s="532"/>
      <c r="CB63" s="532"/>
      <c r="CC63" s="532"/>
      <c r="CD63" s="532"/>
      <c r="CE63" s="532"/>
      <c r="CF63" s="532"/>
      <c r="CG63" s="532"/>
      <c r="CH63" s="532"/>
      <c r="CI63" s="532"/>
      <c r="CJ63" s="532"/>
      <c r="CK63" s="532"/>
      <c r="CL63" s="532"/>
      <c r="CM63" s="532"/>
      <c r="CN63" s="532"/>
      <c r="CO63" s="532"/>
      <c r="CP63" s="532"/>
      <c r="CQ63" s="532"/>
      <c r="CR63" s="532"/>
      <c r="CS63" s="532"/>
      <c r="CT63" s="532"/>
      <c r="CU63" s="532"/>
      <c r="CV63" s="532"/>
      <c r="CW63" s="532"/>
      <c r="CX63" s="532"/>
      <c r="CY63" s="532"/>
      <c r="CZ63" s="532"/>
      <c r="DA63" s="532"/>
      <c r="DB63" s="532"/>
      <c r="DC63" s="532"/>
      <c r="DD63" s="532"/>
    </row>
    <row r="64" spans="2:108" ht="12.75" customHeight="1" hidden="1" outlineLevel="1">
      <c r="B64" s="671" t="s">
        <v>639</v>
      </c>
      <c r="C64" s="532" t="s">
        <v>1682</v>
      </c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2"/>
      <c r="AL64" s="532"/>
      <c r="AM64" s="532"/>
      <c r="AN64" s="532"/>
      <c r="AO64" s="532"/>
      <c r="AP64" s="532"/>
      <c r="AQ64" s="532"/>
      <c r="AR64" s="532"/>
      <c r="AS64" s="532"/>
      <c r="AT64" s="532"/>
      <c r="AU64" s="532"/>
      <c r="AV64" s="532"/>
      <c r="AW64" s="532"/>
      <c r="AX64" s="532"/>
      <c r="AY64" s="532"/>
      <c r="AZ64" s="532"/>
      <c r="BA64" s="532"/>
      <c r="BB64" s="532"/>
      <c r="BC64" s="532"/>
      <c r="BD64" s="532"/>
      <c r="BE64" s="532"/>
      <c r="BF64" s="532"/>
      <c r="BG64" s="532"/>
      <c r="BH64" s="532"/>
      <c r="BI64" s="532"/>
      <c r="BJ64" s="532"/>
      <c r="BK64" s="532"/>
      <c r="BL64" s="532"/>
      <c r="BM64" s="532"/>
      <c r="BN64" s="532"/>
      <c r="BO64" s="532"/>
      <c r="BP64" s="532"/>
      <c r="BQ64" s="532"/>
      <c r="BR64" s="532"/>
      <c r="BS64" s="532"/>
      <c r="BT64" s="532"/>
      <c r="BU64" s="532"/>
      <c r="BV64" s="532"/>
      <c r="BW64" s="532"/>
      <c r="BX64" s="532"/>
      <c r="BY64" s="532"/>
      <c r="BZ64" s="532"/>
      <c r="CA64" s="532"/>
      <c r="CB64" s="532"/>
      <c r="CC64" s="532"/>
      <c r="CD64" s="532"/>
      <c r="CE64" s="532"/>
      <c r="CF64" s="532"/>
      <c r="CG64" s="532"/>
      <c r="CH64" s="532"/>
      <c r="CI64" s="532"/>
      <c r="CJ64" s="532"/>
      <c r="CK64" s="532"/>
      <c r="CL64" s="532"/>
      <c r="CM64" s="532"/>
      <c r="CN64" s="532"/>
      <c r="CO64" s="532"/>
      <c r="CP64" s="532"/>
      <c r="CQ64" s="532"/>
      <c r="CR64" s="532"/>
      <c r="CS64" s="532"/>
      <c r="CT64" s="532"/>
      <c r="CU64" s="532"/>
      <c r="CV64" s="532"/>
      <c r="CW64" s="532"/>
      <c r="CX64" s="532"/>
      <c r="CY64" s="532"/>
      <c r="CZ64" s="532"/>
      <c r="DA64" s="532"/>
      <c r="DB64" s="532"/>
      <c r="DC64" s="532"/>
      <c r="DD64" s="532"/>
    </row>
    <row r="65" spans="2:108" ht="12.75" customHeight="1" hidden="1" outlineLevel="1">
      <c r="B65" s="671" t="s">
        <v>640</v>
      </c>
      <c r="C65" s="532" t="s">
        <v>31</v>
      </c>
      <c r="D65" s="532"/>
      <c r="E65" s="532"/>
      <c r="F65" s="532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532"/>
      <c r="T65" s="532"/>
      <c r="U65" s="532"/>
      <c r="V65" s="532"/>
      <c r="W65" s="532"/>
      <c r="X65" s="532"/>
      <c r="Y65" s="532"/>
      <c r="Z65" s="532"/>
      <c r="AA65" s="532"/>
      <c r="AB65" s="532"/>
      <c r="AC65" s="532"/>
      <c r="AD65" s="532"/>
      <c r="AE65" s="532"/>
      <c r="AF65" s="532"/>
      <c r="AG65" s="532"/>
      <c r="AH65" s="532"/>
      <c r="AI65" s="532"/>
      <c r="AJ65" s="532"/>
      <c r="AK65" s="532"/>
      <c r="AL65" s="532"/>
      <c r="AM65" s="532"/>
      <c r="AN65" s="532"/>
      <c r="AO65" s="532"/>
      <c r="AP65" s="532"/>
      <c r="AQ65" s="532"/>
      <c r="AR65" s="532"/>
      <c r="AS65" s="532"/>
      <c r="AT65" s="532"/>
      <c r="AU65" s="532"/>
      <c r="AV65" s="532"/>
      <c r="AW65" s="532"/>
      <c r="AX65" s="532"/>
      <c r="AY65" s="532"/>
      <c r="AZ65" s="532"/>
      <c r="BA65" s="532"/>
      <c r="BB65" s="532"/>
      <c r="BC65" s="532"/>
      <c r="BD65" s="532"/>
      <c r="BE65" s="532"/>
      <c r="BF65" s="532"/>
      <c r="BG65" s="532"/>
      <c r="BH65" s="532"/>
      <c r="BI65" s="532"/>
      <c r="BJ65" s="532"/>
      <c r="BK65" s="532"/>
      <c r="BL65" s="532"/>
      <c r="BM65" s="532"/>
      <c r="BN65" s="532"/>
      <c r="BO65" s="532"/>
      <c r="BP65" s="532"/>
      <c r="BQ65" s="532"/>
      <c r="BR65" s="532"/>
      <c r="BS65" s="532"/>
      <c r="BT65" s="532"/>
      <c r="BU65" s="532"/>
      <c r="BV65" s="532"/>
      <c r="BW65" s="532"/>
      <c r="BX65" s="532"/>
      <c r="BY65" s="532"/>
      <c r="BZ65" s="532"/>
      <c r="CA65" s="532"/>
      <c r="CB65" s="532"/>
      <c r="CC65" s="532"/>
      <c r="CD65" s="532"/>
      <c r="CE65" s="532"/>
      <c r="CF65" s="532"/>
      <c r="CG65" s="532"/>
      <c r="CH65" s="532"/>
      <c r="CI65" s="532"/>
      <c r="CJ65" s="532"/>
      <c r="CK65" s="532"/>
      <c r="CL65" s="532"/>
      <c r="CM65" s="532"/>
      <c r="CN65" s="532"/>
      <c r="CO65" s="532"/>
      <c r="CP65" s="532"/>
      <c r="CQ65" s="532"/>
      <c r="CR65" s="532"/>
      <c r="CS65" s="532"/>
      <c r="CT65" s="532"/>
      <c r="CU65" s="532"/>
      <c r="CV65" s="532"/>
      <c r="CW65" s="532"/>
      <c r="CX65" s="532"/>
      <c r="CY65" s="532"/>
      <c r="CZ65" s="532"/>
      <c r="DA65" s="532"/>
      <c r="DB65" s="532"/>
      <c r="DC65" s="532"/>
      <c r="DD65" s="532"/>
    </row>
    <row r="66" spans="2:108" ht="12.75" customHeight="1" hidden="1" outlineLevel="1">
      <c r="B66" s="671" t="s">
        <v>641</v>
      </c>
      <c r="C66" s="532" t="s">
        <v>66</v>
      </c>
      <c r="D66" s="532"/>
      <c r="E66" s="532"/>
      <c r="F66" s="532"/>
      <c r="G66" s="532"/>
      <c r="H66" s="532"/>
      <c r="I66" s="532"/>
      <c r="J66" s="532"/>
      <c r="K66" s="532"/>
      <c r="L66" s="532"/>
      <c r="M66" s="532"/>
      <c r="N66" s="532"/>
      <c r="O66" s="532"/>
      <c r="P66" s="532"/>
      <c r="Q66" s="532"/>
      <c r="R66" s="532"/>
      <c r="S66" s="532"/>
      <c r="T66" s="532"/>
      <c r="U66" s="532"/>
      <c r="V66" s="532"/>
      <c r="W66" s="532"/>
      <c r="X66" s="532"/>
      <c r="Y66" s="532"/>
      <c r="Z66" s="532"/>
      <c r="AA66" s="532"/>
      <c r="AB66" s="532"/>
      <c r="AC66" s="532"/>
      <c r="AD66" s="532"/>
      <c r="AE66" s="532"/>
      <c r="AF66" s="532"/>
      <c r="AG66" s="532"/>
      <c r="AH66" s="532"/>
      <c r="AI66" s="532"/>
      <c r="AJ66" s="532"/>
      <c r="AK66" s="532"/>
      <c r="AL66" s="532"/>
      <c r="AM66" s="532"/>
      <c r="AN66" s="532"/>
      <c r="AO66" s="532"/>
      <c r="AP66" s="532"/>
      <c r="AQ66" s="532"/>
      <c r="AR66" s="532"/>
      <c r="AS66" s="532"/>
      <c r="AT66" s="532"/>
      <c r="AU66" s="532"/>
      <c r="AV66" s="532"/>
      <c r="AW66" s="532"/>
      <c r="AX66" s="532"/>
      <c r="AY66" s="532"/>
      <c r="AZ66" s="532"/>
      <c r="BA66" s="532"/>
      <c r="BB66" s="532"/>
      <c r="BC66" s="532"/>
      <c r="BD66" s="532"/>
      <c r="BE66" s="532"/>
      <c r="BF66" s="532"/>
      <c r="BG66" s="532"/>
      <c r="BH66" s="532"/>
      <c r="BI66" s="532"/>
      <c r="BJ66" s="532"/>
      <c r="BK66" s="532"/>
      <c r="BL66" s="532"/>
      <c r="BM66" s="532"/>
      <c r="BN66" s="532"/>
      <c r="BO66" s="532"/>
      <c r="BP66" s="532"/>
      <c r="BQ66" s="532"/>
      <c r="BR66" s="532"/>
      <c r="BS66" s="532"/>
      <c r="BT66" s="532"/>
      <c r="BU66" s="532"/>
      <c r="BV66" s="532"/>
      <c r="BW66" s="532"/>
      <c r="BX66" s="532"/>
      <c r="BY66" s="532"/>
      <c r="BZ66" s="532"/>
      <c r="CA66" s="532"/>
      <c r="CB66" s="532"/>
      <c r="CC66" s="532"/>
      <c r="CD66" s="532"/>
      <c r="CE66" s="532"/>
      <c r="CF66" s="532"/>
      <c r="CG66" s="532"/>
      <c r="CH66" s="532"/>
      <c r="CI66" s="532"/>
      <c r="CJ66" s="532"/>
      <c r="CK66" s="532"/>
      <c r="CL66" s="532"/>
      <c r="CM66" s="532"/>
      <c r="CN66" s="532"/>
      <c r="CO66" s="532"/>
      <c r="CP66" s="532"/>
      <c r="CQ66" s="532"/>
      <c r="CR66" s="532"/>
      <c r="CS66" s="532"/>
      <c r="CT66" s="532"/>
      <c r="CU66" s="532"/>
      <c r="CV66" s="532"/>
      <c r="CW66" s="532"/>
      <c r="CX66" s="532"/>
      <c r="CY66" s="532"/>
      <c r="CZ66" s="532"/>
      <c r="DA66" s="532"/>
      <c r="DB66" s="532"/>
      <c r="DC66" s="532"/>
      <c r="DD66" s="532"/>
    </row>
    <row r="67" spans="2:7" ht="13.5" collapsed="1">
      <c r="B67" s="114"/>
      <c r="C67" s="114"/>
      <c r="D67" s="114"/>
      <c r="G67" s="114"/>
    </row>
    <row r="68" ht="12.75">
      <c r="J68" s="1" t="s">
        <v>857</v>
      </c>
    </row>
    <row r="69" spans="3:18" ht="13.5">
      <c r="C69" s="672"/>
      <c r="D69" s="672"/>
      <c r="E69" s="672"/>
      <c r="F69" s="672"/>
      <c r="G69" s="672">
        <f>'[2]4.1'!U40</f>
        <v>0</v>
      </c>
      <c r="H69" s="672"/>
      <c r="I69" s="672"/>
      <c r="J69" s="672"/>
      <c r="K69" s="672"/>
      <c r="L69" s="672"/>
      <c r="M69" s="672"/>
      <c r="N69" s="672"/>
      <c r="O69" s="672"/>
      <c r="P69" s="672"/>
      <c r="Q69" s="672"/>
      <c r="R69" s="672"/>
    </row>
    <row r="72" ht="12.75">
      <c r="J72" s="2"/>
    </row>
  </sheetData>
  <sheetProtection/>
  <mergeCells count="22">
    <mergeCell ref="AT9:AV9"/>
    <mergeCell ref="AW9:AY9"/>
    <mergeCell ref="P8:V8"/>
    <mergeCell ref="Y8:AE8"/>
    <mergeCell ref="AH8:AN8"/>
    <mergeCell ref="AE9:AG9"/>
    <mergeCell ref="AH9:AJ9"/>
    <mergeCell ref="AK9:AM9"/>
    <mergeCell ref="Y9:AA9"/>
    <mergeCell ref="AQ9:AS9"/>
    <mergeCell ref="AB9:AD9"/>
    <mergeCell ref="P7:AN7"/>
    <mergeCell ref="P9:R9"/>
    <mergeCell ref="S9:U9"/>
    <mergeCell ref="V9:X9"/>
    <mergeCell ref="B7:B10"/>
    <mergeCell ref="C7:C10"/>
    <mergeCell ref="D8:F9"/>
    <mergeCell ref="J8:L9"/>
    <mergeCell ref="G8:I9"/>
    <mergeCell ref="J7:O7"/>
    <mergeCell ref="M8:O9"/>
  </mergeCells>
  <printOptions horizontalCentered="1"/>
  <pageMargins left="0.4330708661417323" right="0.1968503937007874" top="0.4724409448818898" bottom="0.4330708661417323" header="0.31496062992125984" footer="0.31496062992125984"/>
  <pageSetup fitToHeight="1" fitToWidth="1" horizontalDpi="600" verticalDpi="600" orientation="landscape" paperSize="9" scale="7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L37"/>
  <sheetViews>
    <sheetView zoomScaleSheetLayoutView="100" workbookViewId="0" topLeftCell="A1">
      <pane xSplit="2" ySplit="9" topLeftCell="C10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B36" sqref="B36"/>
    </sheetView>
  </sheetViews>
  <sheetFormatPr defaultColWidth="9.140625" defaultRowHeight="15" outlineLevelRow="1" outlineLevelCol="1"/>
  <cols>
    <col min="1" max="1" width="8.00390625" style="10" customWidth="1"/>
    <col min="2" max="2" width="40.28125" style="10" customWidth="1"/>
    <col min="3" max="3" width="8.7109375" style="10" customWidth="1"/>
    <col min="4" max="5" width="11.8515625" style="10" hidden="1" customWidth="1"/>
    <col min="6" max="6" width="11.28125" style="10" customWidth="1"/>
    <col min="7" max="8" width="12.28125" style="10" customWidth="1" outlineLevel="1"/>
    <col min="9" max="9" width="9.28125" style="10" customWidth="1" outlineLevel="1"/>
    <col min="10" max="11" width="9.140625" style="10" customWidth="1"/>
    <col min="12" max="12" width="9.8515625" style="10" customWidth="1"/>
    <col min="13" max="16384" width="9.140625" style="10" customWidth="1"/>
  </cols>
  <sheetData>
    <row r="1" spans="1:13" ht="15">
      <c r="A1" s="7" t="s">
        <v>7</v>
      </c>
      <c r="B1" s="145"/>
      <c r="C1" s="52"/>
      <c r="D1" s="52"/>
      <c r="E1" s="1"/>
      <c r="F1" s="11"/>
      <c r="G1" s="138"/>
      <c r="H1" s="83"/>
      <c r="I1" s="138"/>
      <c r="M1" s="83" t="s">
        <v>67</v>
      </c>
    </row>
    <row r="2" spans="1:8" ht="15">
      <c r="A2" s="542" t="s">
        <v>1657</v>
      </c>
      <c r="B2" s="1014"/>
      <c r="C2" s="1015"/>
      <c r="D2" s="1015"/>
      <c r="E2" s="542"/>
      <c r="F2" s="542"/>
      <c r="G2" s="542"/>
      <c r="H2" s="542"/>
    </row>
    <row r="4" spans="1:16" ht="39.75" customHeight="1">
      <c r="A4" s="2148" t="s">
        <v>1185</v>
      </c>
      <c r="B4" s="2148"/>
      <c r="C4" s="2148"/>
      <c r="D4" s="2148"/>
      <c r="E4" s="2148"/>
      <c r="F4" s="2148"/>
      <c r="G4" s="2148"/>
      <c r="H4" s="2148"/>
      <c r="I4" s="2148"/>
      <c r="J4" s="2148"/>
      <c r="K4" s="2148"/>
      <c r="L4" s="2148"/>
      <c r="M4" s="2148"/>
      <c r="N4" s="2148"/>
      <c r="O4" s="2148"/>
      <c r="P4" s="2148"/>
    </row>
    <row r="5" spans="1:9" ht="15">
      <c r="A5" s="666" t="str">
        <f>'[2]4.1'!B6</f>
        <v>Усть-Камчатское сельское поселение Усть-Камчатского муниципального района</v>
      </c>
      <c r="G5" s="2294"/>
      <c r="H5" s="2294"/>
      <c r="I5" s="2294"/>
    </row>
    <row r="6" spans="1:16" ht="15.75" customHeight="1">
      <c r="A6" s="2006" t="s">
        <v>1008</v>
      </c>
      <c r="B6" s="2029" t="s">
        <v>1016</v>
      </c>
      <c r="C6" s="2289" t="s">
        <v>161</v>
      </c>
      <c r="D6" s="2241" t="s">
        <v>1005</v>
      </c>
      <c r="E6" s="2242"/>
      <c r="F6" s="2242"/>
      <c r="G6" s="2242"/>
      <c r="H6" s="2241" t="s">
        <v>1007</v>
      </c>
      <c r="I6" s="2242"/>
      <c r="J6" s="2242"/>
      <c r="K6" s="2242"/>
      <c r="L6" s="2242"/>
      <c r="M6" s="2242"/>
      <c r="N6" s="2242"/>
      <c r="O6" s="2242"/>
      <c r="P6" s="2243"/>
    </row>
    <row r="7" spans="1:16" ht="15.75" customHeight="1">
      <c r="A7" s="2007"/>
      <c r="B7" s="2010"/>
      <c r="C7" s="2005"/>
      <c r="D7" s="2114" t="s">
        <v>704</v>
      </c>
      <c r="E7" s="2114" t="s">
        <v>44</v>
      </c>
      <c r="F7" s="2114" t="s">
        <v>812</v>
      </c>
      <c r="G7" s="2114" t="s">
        <v>813</v>
      </c>
      <c r="H7" s="2289" t="s">
        <v>465</v>
      </c>
      <c r="I7" s="2290"/>
      <c r="J7" s="2291"/>
      <c r="K7" s="2289" t="s">
        <v>1489</v>
      </c>
      <c r="L7" s="2290"/>
      <c r="M7" s="2291"/>
      <c r="N7" s="2289" t="s">
        <v>814</v>
      </c>
      <c r="O7" s="2290"/>
      <c r="P7" s="2291"/>
    </row>
    <row r="8" spans="1:16" ht="29.25" customHeight="1">
      <c r="A8" s="2003"/>
      <c r="B8" s="2021"/>
      <c r="C8" s="2005"/>
      <c r="D8" s="2003"/>
      <c r="E8" s="2003"/>
      <c r="F8" s="2003"/>
      <c r="G8" s="2003"/>
      <c r="H8" s="523" t="s">
        <v>142</v>
      </c>
      <c r="I8" s="50" t="s">
        <v>707</v>
      </c>
      <c r="J8" s="22" t="s">
        <v>708</v>
      </c>
      <c r="K8" s="50" t="s">
        <v>142</v>
      </c>
      <c r="L8" s="50" t="s">
        <v>707</v>
      </c>
      <c r="M8" s="22" t="s">
        <v>708</v>
      </c>
      <c r="N8" s="50" t="s">
        <v>142</v>
      </c>
      <c r="O8" s="50" t="s">
        <v>707</v>
      </c>
      <c r="P8" s="22" t="s">
        <v>708</v>
      </c>
    </row>
    <row r="9" spans="1:16" ht="24" customHeight="1">
      <c r="A9" s="43">
        <v>1</v>
      </c>
      <c r="B9" s="49">
        <v>2</v>
      </c>
      <c r="C9" s="43">
        <v>3</v>
      </c>
      <c r="D9" s="43">
        <v>4</v>
      </c>
      <c r="E9" s="49">
        <v>5</v>
      </c>
      <c r="F9" s="43">
        <v>6</v>
      </c>
      <c r="G9" s="43">
        <v>7</v>
      </c>
      <c r="H9" s="1007">
        <v>8</v>
      </c>
      <c r="I9" s="43">
        <v>9</v>
      </c>
      <c r="J9" s="43">
        <v>10</v>
      </c>
      <c r="K9" s="49">
        <v>11</v>
      </c>
      <c r="L9" s="43">
        <v>12</v>
      </c>
      <c r="M9" s="43">
        <v>13</v>
      </c>
      <c r="N9" s="49">
        <v>11</v>
      </c>
      <c r="O9" s="43">
        <v>12</v>
      </c>
      <c r="P9" s="43">
        <v>13</v>
      </c>
    </row>
    <row r="10" spans="1:16" ht="53.25" customHeight="1">
      <c r="A10" s="47">
        <v>1</v>
      </c>
      <c r="B10" s="23" t="s">
        <v>68</v>
      </c>
      <c r="C10" s="29" t="s">
        <v>638</v>
      </c>
      <c r="D10" s="673" t="e">
        <f>D11</f>
        <v>#REF!</v>
      </c>
      <c r="E10" s="673" t="e">
        <f>E11</f>
        <v>#REF!</v>
      </c>
      <c r="F10" s="673">
        <f>'4.8'!E25-'4.8'!E27</f>
        <v>232.8092664</v>
      </c>
      <c r="G10" s="673">
        <f>'4.8'!H25-'4.8'!H27</f>
        <v>232.8092664</v>
      </c>
      <c r="H10" s="1017">
        <f>'4.8'!E38-'4.8'!E40</f>
        <v>254.79708479999996</v>
      </c>
      <c r="I10" s="673">
        <f>'4.8'!H38-'4.8'!H40</f>
        <v>152.7246</v>
      </c>
      <c r="J10" s="673">
        <f>'4.8'!K38-'4.8'!K40</f>
        <v>102.0724848</v>
      </c>
      <c r="K10" s="673">
        <f>'4.8'!E50-'4.8'!E52</f>
        <v>272.98512783359996</v>
      </c>
      <c r="L10" s="673">
        <f>'4.8'!H50-'4.8'!H52</f>
        <v>162.80442359999998</v>
      </c>
      <c r="M10" s="673">
        <f>'4.8'!K50-'4.8'!K52</f>
        <v>110.1807042336</v>
      </c>
      <c r="N10" s="673">
        <f>'4.8'!E62-'4.8'!E64</f>
        <v>291.27513139845115</v>
      </c>
      <c r="O10" s="673">
        <f>'4.8'!H62-'4.8'!H64</f>
        <v>173.71231998119998</v>
      </c>
      <c r="P10" s="673">
        <f>'4.8'!K62-'4.8'!K64</f>
        <v>117.5628114172512</v>
      </c>
    </row>
    <row r="11" spans="1:16" ht="15">
      <c r="A11" s="30" t="s">
        <v>1009</v>
      </c>
      <c r="B11" s="45" t="s">
        <v>69</v>
      </c>
      <c r="C11" s="29" t="s">
        <v>638</v>
      </c>
      <c r="D11" s="590" t="e">
        <f>#REF!</f>
        <v>#REF!</v>
      </c>
      <c r="E11" s="590" t="e">
        <f>#REF!</f>
        <v>#REF!</v>
      </c>
      <c r="F11" s="590">
        <f>F10</f>
        <v>232.8092664</v>
      </c>
      <c r="G11" s="590">
        <f aca="true" t="shared" si="0" ref="G11:P11">G10</f>
        <v>232.8092664</v>
      </c>
      <c r="H11" s="599">
        <f t="shared" si="0"/>
        <v>254.79708479999996</v>
      </c>
      <c r="I11" s="590">
        <f t="shared" si="0"/>
        <v>152.7246</v>
      </c>
      <c r="J11" s="590">
        <f t="shared" si="0"/>
        <v>102.0724848</v>
      </c>
      <c r="K11" s="590">
        <f t="shared" si="0"/>
        <v>272.98512783359996</v>
      </c>
      <c r="L11" s="590">
        <f t="shared" si="0"/>
        <v>162.80442359999998</v>
      </c>
      <c r="M11" s="590">
        <f t="shared" si="0"/>
        <v>110.1807042336</v>
      </c>
      <c r="N11" s="590">
        <f t="shared" si="0"/>
        <v>291.27513139845115</v>
      </c>
      <c r="O11" s="590">
        <f t="shared" si="0"/>
        <v>173.71231998119998</v>
      </c>
      <c r="P11" s="590">
        <f t="shared" si="0"/>
        <v>117.5628114172512</v>
      </c>
    </row>
    <row r="12" spans="1:16" ht="51.75" customHeight="1" hidden="1">
      <c r="A12" s="30" t="s">
        <v>145</v>
      </c>
      <c r="B12" s="45" t="s">
        <v>70</v>
      </c>
      <c r="C12" s="29" t="s">
        <v>638</v>
      </c>
      <c r="D12" s="590"/>
      <c r="E12" s="590"/>
      <c r="F12" s="590"/>
      <c r="G12" s="590"/>
      <c r="H12" s="599"/>
      <c r="I12" s="590"/>
      <c r="J12" s="590"/>
      <c r="K12" s="590"/>
      <c r="L12" s="590"/>
      <c r="M12" s="674"/>
      <c r="N12" s="590"/>
      <c r="O12" s="590"/>
      <c r="P12" s="674"/>
    </row>
    <row r="13" spans="1:16" ht="80.25" customHeight="1" hidden="1">
      <c r="A13" s="30" t="s">
        <v>146</v>
      </c>
      <c r="B13" s="615" t="s">
        <v>750</v>
      </c>
      <c r="C13" s="29" t="s">
        <v>638</v>
      </c>
      <c r="D13" s="590"/>
      <c r="E13" s="590"/>
      <c r="F13" s="590"/>
      <c r="G13" s="590"/>
      <c r="H13" s="599"/>
      <c r="I13" s="590"/>
      <c r="J13" s="590"/>
      <c r="K13" s="590"/>
      <c r="L13" s="590"/>
      <c r="M13" s="674"/>
      <c r="N13" s="590"/>
      <c r="O13" s="590"/>
      <c r="P13" s="674"/>
    </row>
    <row r="14" spans="1:16" ht="51.75" customHeight="1" hidden="1">
      <c r="A14" s="30" t="s">
        <v>631</v>
      </c>
      <c r="B14" s="615" t="s">
        <v>751</v>
      </c>
      <c r="C14" s="29" t="s">
        <v>638</v>
      </c>
      <c r="D14" s="590"/>
      <c r="E14" s="590"/>
      <c r="F14" s="590"/>
      <c r="G14" s="590"/>
      <c r="H14" s="599"/>
      <c r="I14" s="590"/>
      <c r="J14" s="590"/>
      <c r="K14" s="590"/>
      <c r="L14" s="590"/>
      <c r="M14" s="674"/>
      <c r="N14" s="590"/>
      <c r="O14" s="590"/>
      <c r="P14" s="674"/>
    </row>
    <row r="15" spans="1:16" ht="39" customHeight="1" hidden="1">
      <c r="A15" s="30" t="s">
        <v>632</v>
      </c>
      <c r="B15" s="615" t="s">
        <v>752</v>
      </c>
      <c r="C15" s="29" t="s">
        <v>638</v>
      </c>
      <c r="D15" s="590"/>
      <c r="E15" s="590"/>
      <c r="F15" s="590"/>
      <c r="G15" s="590"/>
      <c r="H15" s="599"/>
      <c r="I15" s="590"/>
      <c r="J15" s="590"/>
      <c r="K15" s="590"/>
      <c r="L15" s="590"/>
      <c r="M15" s="674"/>
      <c r="N15" s="590"/>
      <c r="O15" s="590"/>
      <c r="P15" s="674"/>
    </row>
    <row r="16" spans="1:16" ht="30" customHeight="1" hidden="1">
      <c r="A16" s="30" t="s">
        <v>633</v>
      </c>
      <c r="B16" s="615" t="s">
        <v>753</v>
      </c>
      <c r="C16" s="29" t="s">
        <v>638</v>
      </c>
      <c r="D16" s="590"/>
      <c r="E16" s="590"/>
      <c r="F16" s="590"/>
      <c r="G16" s="590"/>
      <c r="H16" s="599"/>
      <c r="I16" s="590"/>
      <c r="J16" s="590"/>
      <c r="K16" s="590"/>
      <c r="L16" s="590"/>
      <c r="M16" s="674"/>
      <c r="N16" s="590"/>
      <c r="O16" s="590"/>
      <c r="P16" s="674"/>
    </row>
    <row r="17" spans="1:16" ht="30" customHeight="1" hidden="1">
      <c r="A17" s="30" t="s">
        <v>634</v>
      </c>
      <c r="B17" s="665" t="s">
        <v>754</v>
      </c>
      <c r="C17" s="29" t="s">
        <v>638</v>
      </c>
      <c r="D17" s="590"/>
      <c r="E17" s="590"/>
      <c r="F17" s="590"/>
      <c r="G17" s="590"/>
      <c r="H17" s="599"/>
      <c r="I17" s="590"/>
      <c r="J17" s="590"/>
      <c r="K17" s="590"/>
      <c r="L17" s="590"/>
      <c r="M17" s="674"/>
      <c r="N17" s="590"/>
      <c r="O17" s="590"/>
      <c r="P17" s="674"/>
    </row>
    <row r="18" spans="1:16" ht="26.25" customHeight="1" hidden="1">
      <c r="A18" s="30" t="s">
        <v>635</v>
      </c>
      <c r="B18" s="665" t="s">
        <v>755</v>
      </c>
      <c r="C18" s="29" t="s">
        <v>638</v>
      </c>
      <c r="D18" s="590"/>
      <c r="E18" s="590"/>
      <c r="F18" s="590"/>
      <c r="G18" s="590"/>
      <c r="H18" s="599"/>
      <c r="I18" s="590"/>
      <c r="J18" s="590"/>
      <c r="K18" s="590"/>
      <c r="L18" s="590"/>
      <c r="M18" s="674"/>
      <c r="N18" s="590"/>
      <c r="O18" s="590"/>
      <c r="P18" s="674"/>
    </row>
    <row r="19" spans="1:16" ht="21" customHeight="1" hidden="1">
      <c r="A19" s="30" t="s">
        <v>756</v>
      </c>
      <c r="B19" s="675" t="s">
        <v>757</v>
      </c>
      <c r="C19" s="29" t="s">
        <v>638</v>
      </c>
      <c r="D19" s="590"/>
      <c r="E19" s="590"/>
      <c r="F19" s="590"/>
      <c r="G19" s="590"/>
      <c r="H19" s="599"/>
      <c r="I19" s="590"/>
      <c r="J19" s="590"/>
      <c r="K19" s="590"/>
      <c r="L19" s="590"/>
      <c r="M19" s="674"/>
      <c r="N19" s="590"/>
      <c r="O19" s="590"/>
      <c r="P19" s="674"/>
    </row>
    <row r="20" spans="1:16" ht="26.25" customHeight="1" hidden="1">
      <c r="A20" s="30" t="s">
        <v>758</v>
      </c>
      <c r="B20" s="675" t="s">
        <v>759</v>
      </c>
      <c r="C20" s="29" t="s">
        <v>638</v>
      </c>
      <c r="D20" s="590"/>
      <c r="E20" s="590"/>
      <c r="F20" s="590"/>
      <c r="G20" s="590"/>
      <c r="H20" s="599"/>
      <c r="I20" s="590"/>
      <c r="J20" s="590"/>
      <c r="K20" s="590"/>
      <c r="L20" s="590"/>
      <c r="M20" s="674"/>
      <c r="N20" s="590"/>
      <c r="O20" s="590"/>
      <c r="P20" s="674"/>
    </row>
    <row r="21" spans="1:16" ht="15.75" customHeight="1" hidden="1">
      <c r="A21" s="30" t="s">
        <v>760</v>
      </c>
      <c r="B21" s="675" t="s">
        <v>761</v>
      </c>
      <c r="C21" s="29" t="s">
        <v>638</v>
      </c>
      <c r="D21" s="590"/>
      <c r="E21" s="590"/>
      <c r="F21" s="590"/>
      <c r="G21" s="590"/>
      <c r="H21" s="599"/>
      <c r="I21" s="590"/>
      <c r="J21" s="590"/>
      <c r="K21" s="590"/>
      <c r="L21" s="590"/>
      <c r="M21" s="674"/>
      <c r="N21" s="590"/>
      <c r="O21" s="590"/>
      <c r="P21" s="674"/>
    </row>
    <row r="22" spans="1:16" ht="39.75">
      <c r="A22" s="47" t="s">
        <v>1010</v>
      </c>
      <c r="B22" s="23" t="s">
        <v>762</v>
      </c>
      <c r="C22" s="29" t="s">
        <v>1182</v>
      </c>
      <c r="D22" s="19">
        <f>'[2]4.2'!G14</f>
        <v>0</v>
      </c>
      <c r="E22" s="19">
        <f>'[2]4.2'!H14</f>
        <v>0</v>
      </c>
      <c r="F22" s="19">
        <f>('4.8'!C25-'4.8'!C27)/1000</f>
        <v>4.47366</v>
      </c>
      <c r="G22" s="513">
        <f>('4.8'!F25-'4.8'!F27)/1000</f>
        <v>4.47366</v>
      </c>
      <c r="H22" s="513">
        <f>I22+J22</f>
        <v>4.493</v>
      </c>
      <c r="I22" s="513">
        <f>('4.8'!F38-'4.8'!F39)/1000</f>
        <v>2.777</v>
      </c>
      <c r="J22" s="513">
        <f>('4.8'!I38-'4.8'!I40)/1000</f>
        <v>1.716</v>
      </c>
      <c r="K22" s="19">
        <f>'4.2'!AC18</f>
        <v>4.534</v>
      </c>
      <c r="L22" s="19">
        <f>'4.8'!F50/1000</f>
        <v>2.777</v>
      </c>
      <c r="M22" s="19">
        <f>('4.8'!I50-'4.8'!I52)/1000</f>
        <v>1.736</v>
      </c>
      <c r="N22" s="19">
        <f>'4.8'!F62/1000</f>
        <v>2.777</v>
      </c>
      <c r="O22" s="19">
        <f>('4.8'!F62-'4.8'!F64)/1000</f>
        <v>2.737</v>
      </c>
      <c r="P22" s="19">
        <f>('4.8'!I62-'4.8'!I64)/1000</f>
        <v>1.736</v>
      </c>
    </row>
    <row r="23" spans="1:16" ht="26.25" customHeight="1" hidden="1">
      <c r="A23" s="47" t="s">
        <v>1012</v>
      </c>
      <c r="B23" s="23" t="s">
        <v>763</v>
      </c>
      <c r="C23" s="29" t="s">
        <v>1021</v>
      </c>
      <c r="D23" s="590"/>
      <c r="E23" s="590"/>
      <c r="F23" s="590"/>
      <c r="G23" s="590"/>
      <c r="H23" s="599"/>
      <c r="I23" s="589"/>
      <c r="J23" s="589"/>
      <c r="K23" s="590"/>
      <c r="L23" s="590"/>
      <c r="M23" s="674"/>
      <c r="N23" s="590"/>
      <c r="O23" s="590"/>
      <c r="P23" s="674"/>
    </row>
    <row r="24" spans="1:16" ht="26.25" customHeight="1" hidden="1">
      <c r="A24" s="47" t="s">
        <v>1018</v>
      </c>
      <c r="B24" s="23" t="s">
        <v>764</v>
      </c>
      <c r="C24" s="29" t="s">
        <v>1182</v>
      </c>
      <c r="D24" s="590"/>
      <c r="E24" s="590"/>
      <c r="F24" s="590"/>
      <c r="G24" s="590"/>
      <c r="H24" s="599"/>
      <c r="I24" s="589"/>
      <c r="J24" s="589"/>
      <c r="K24" s="590"/>
      <c r="L24" s="590"/>
      <c r="M24" s="674"/>
      <c r="N24" s="590"/>
      <c r="O24" s="590"/>
      <c r="P24" s="674"/>
    </row>
    <row r="25" spans="1:16" ht="54" customHeight="1" hidden="1">
      <c r="A25" s="47" t="s">
        <v>1019</v>
      </c>
      <c r="B25" s="23" t="s">
        <v>790</v>
      </c>
      <c r="C25" s="29" t="s">
        <v>1021</v>
      </c>
      <c r="D25" s="590"/>
      <c r="E25" s="590"/>
      <c r="F25" s="590"/>
      <c r="G25" s="590"/>
      <c r="H25" s="599"/>
      <c r="I25" s="589"/>
      <c r="J25" s="589"/>
      <c r="K25" s="590"/>
      <c r="L25" s="590"/>
      <c r="M25" s="674"/>
      <c r="N25" s="590"/>
      <c r="O25" s="590"/>
      <c r="P25" s="674"/>
    </row>
    <row r="26" spans="1:16" ht="30.75" customHeight="1">
      <c r="A26" s="47" t="s">
        <v>1020</v>
      </c>
      <c r="B26" s="23" t="s">
        <v>791</v>
      </c>
      <c r="C26" s="29" t="s">
        <v>1021</v>
      </c>
      <c r="D26" s="589" t="e">
        <f>SUM(D10,D23,D25)</f>
        <v>#REF!</v>
      </c>
      <c r="E26" s="589" t="e">
        <f>SUM(E10,E23,E25)</f>
        <v>#REF!</v>
      </c>
      <c r="F26" s="589">
        <f>('4.8'!E25-'4.8'!E27)</f>
        <v>232.8092664</v>
      </c>
      <c r="G26" s="589">
        <f>('4.8'!H25-'4.8'!H27)</f>
        <v>232.8092664</v>
      </c>
      <c r="H26" s="597">
        <f>H11</f>
        <v>254.79708479999996</v>
      </c>
      <c r="I26" s="589">
        <f>I11</f>
        <v>152.7246</v>
      </c>
      <c r="J26" s="589">
        <f>J11</f>
        <v>102.0724848</v>
      </c>
      <c r="K26" s="589">
        <f aca="true" t="shared" si="1" ref="K26:P26">SUM(K10,K23,K25)</f>
        <v>272.98512783359996</v>
      </c>
      <c r="L26" s="589">
        <f t="shared" si="1"/>
        <v>162.80442359999998</v>
      </c>
      <c r="M26" s="589">
        <f t="shared" si="1"/>
        <v>110.1807042336</v>
      </c>
      <c r="N26" s="589">
        <f t="shared" si="1"/>
        <v>291.27513139845115</v>
      </c>
      <c r="O26" s="589">
        <f t="shared" si="1"/>
        <v>173.71231998119998</v>
      </c>
      <c r="P26" s="589">
        <f t="shared" si="1"/>
        <v>117.5628114172512</v>
      </c>
    </row>
    <row r="27" spans="1:16" ht="54.75" customHeight="1">
      <c r="A27" s="47" t="s">
        <v>1023</v>
      </c>
      <c r="B27" s="23" t="s">
        <v>792</v>
      </c>
      <c r="C27" s="29" t="s">
        <v>793</v>
      </c>
      <c r="D27" s="668">
        <f>IF(D22&gt;0,(D26/(D22+D24)),0)</f>
        <v>0</v>
      </c>
      <c r="E27" s="668">
        <f>IF(E22&gt;0,(E26/(E22+E24)),0)</f>
        <v>0</v>
      </c>
      <c r="F27" s="668">
        <f>'4.8'!D25*1000</f>
        <v>52.040000000000006</v>
      </c>
      <c r="G27" s="668">
        <f>'4.8'!G25*1000</f>
        <v>52.040000000000006</v>
      </c>
      <c r="H27" s="1018">
        <f>'4.8'!D38*1000</f>
        <v>56.95164111160123</v>
      </c>
      <c r="I27" s="668">
        <f>'4.8'!G38*1000</f>
        <v>55.800000000000004</v>
      </c>
      <c r="J27" s="668">
        <f>'4.8'!J38*1000</f>
        <v>59.4828</v>
      </c>
      <c r="K27" s="668">
        <f>'4.8'!D50*1000</f>
        <v>61.01318985125717</v>
      </c>
      <c r="L27" s="668">
        <f>'4.8'!G50*1000</f>
        <v>59.4828</v>
      </c>
      <c r="M27" s="668">
        <f>'4.8'!J50*1000</f>
        <v>63.468147599999995</v>
      </c>
      <c r="N27" s="668">
        <f>'4.8'!D62*1000</f>
        <v>65.10107357129138</v>
      </c>
      <c r="O27" s="668">
        <f>'4.8'!G62*1000</f>
        <v>63.468147599999995</v>
      </c>
      <c r="P27" s="668">
        <f>'4.8'!J62*1000</f>
        <v>67.7205134892</v>
      </c>
    </row>
    <row r="28" spans="1:16" ht="66">
      <c r="A28" s="676" t="s">
        <v>1024</v>
      </c>
      <c r="B28" s="677" t="s">
        <v>794</v>
      </c>
      <c r="C28" s="678" t="s">
        <v>793</v>
      </c>
      <c r="D28" s="679">
        <f>D27</f>
        <v>0</v>
      </c>
      <c r="E28" s="679">
        <f>E27</f>
        <v>0</v>
      </c>
      <c r="F28" s="679">
        <f>F27</f>
        <v>52.040000000000006</v>
      </c>
      <c r="G28" s="679">
        <f>G27</f>
        <v>52.040000000000006</v>
      </c>
      <c r="H28" s="1019">
        <f>H27</f>
        <v>56.95164111160123</v>
      </c>
      <c r="I28" s="679">
        <f aca="true" t="shared" si="2" ref="I28:P28">I27</f>
        <v>55.800000000000004</v>
      </c>
      <c r="J28" s="679">
        <f t="shared" si="2"/>
        <v>59.4828</v>
      </c>
      <c r="K28" s="679">
        <f t="shared" si="2"/>
        <v>61.01318985125717</v>
      </c>
      <c r="L28" s="679">
        <f t="shared" si="2"/>
        <v>59.4828</v>
      </c>
      <c r="M28" s="679">
        <f t="shared" si="2"/>
        <v>63.468147599999995</v>
      </c>
      <c r="N28" s="679">
        <f t="shared" si="2"/>
        <v>65.10107357129138</v>
      </c>
      <c r="O28" s="679">
        <f t="shared" si="2"/>
        <v>63.468147599999995</v>
      </c>
      <c r="P28" s="679">
        <f t="shared" si="2"/>
        <v>67.7205134892</v>
      </c>
    </row>
    <row r="29" ht="15" outlineLevel="1">
      <c r="A29" s="113" t="s">
        <v>35</v>
      </c>
    </row>
    <row r="30" spans="1:64" ht="31.5" customHeight="1" outlineLevel="1">
      <c r="A30" s="116" t="s">
        <v>637</v>
      </c>
      <c r="B30" s="2293" t="s">
        <v>795</v>
      </c>
      <c r="C30" s="2293"/>
      <c r="D30" s="2293"/>
      <c r="E30" s="2293"/>
      <c r="F30" s="2293"/>
      <c r="G30" s="2293"/>
      <c r="H30" s="2293"/>
      <c r="I30" s="2293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</row>
    <row r="31" spans="1:64" ht="15" outlineLevel="1">
      <c r="A31" s="139" t="s">
        <v>639</v>
      </c>
      <c r="B31" s="113" t="s">
        <v>796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</row>
    <row r="32" spans="1:64" ht="15" outlineLevel="1">
      <c r="A32" s="139" t="s">
        <v>640</v>
      </c>
      <c r="B32" s="113" t="s">
        <v>797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</row>
    <row r="33" spans="1:64" ht="15" outlineLevel="1">
      <c r="A33" s="139" t="s">
        <v>641</v>
      </c>
      <c r="B33" s="113" t="s">
        <v>798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</row>
    <row r="34" spans="2:64" ht="15"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  <c r="AM34" s="680"/>
      <c r="AN34" s="680"/>
      <c r="AO34" s="680"/>
      <c r="AP34" s="680"/>
      <c r="AQ34" s="680"/>
      <c r="AR34" s="680"/>
      <c r="AS34" s="680"/>
      <c r="AT34" s="680"/>
      <c r="AU34" s="680"/>
      <c r="AV34" s="680"/>
      <c r="AW34" s="680"/>
      <c r="AX34" s="680"/>
      <c r="AY34" s="680"/>
      <c r="AZ34" s="680"/>
      <c r="BA34" s="680"/>
      <c r="BB34" s="680"/>
      <c r="BC34" s="680"/>
      <c r="BD34" s="680"/>
      <c r="BE34" s="680"/>
      <c r="BF34" s="680"/>
      <c r="BG34" s="680"/>
      <c r="BH34" s="680"/>
      <c r="BI34" s="680"/>
      <c r="BJ34" s="680"/>
      <c r="BK34" s="680"/>
      <c r="BL34" s="680"/>
    </row>
    <row r="35" spans="2:7" ht="15">
      <c r="B35" s="2292" t="s">
        <v>1042</v>
      </c>
      <c r="C35" s="2292"/>
      <c r="D35" s="2292"/>
      <c r="E35" s="2292"/>
      <c r="F35" s="2292"/>
      <c r="G35" s="2292"/>
    </row>
    <row r="36" ht="15">
      <c r="A36" s="1"/>
    </row>
    <row r="37" spans="1:9" ht="15">
      <c r="A37" s="1"/>
      <c r="B37" s="138"/>
      <c r="C37" s="138"/>
      <c r="D37" s="138"/>
      <c r="E37" s="138">
        <f>'[2]4.1'!U40</f>
        <v>0</v>
      </c>
      <c r="F37" s="138"/>
      <c r="G37" s="138"/>
      <c r="H37" s="138"/>
      <c r="I37" s="138"/>
    </row>
  </sheetData>
  <sheetProtection/>
  <mergeCells count="16">
    <mergeCell ref="A4:P4"/>
    <mergeCell ref="K7:M7"/>
    <mergeCell ref="N7:P7"/>
    <mergeCell ref="B30:I30"/>
    <mergeCell ref="G5:I5"/>
    <mergeCell ref="A6:A8"/>
    <mergeCell ref="B6:B8"/>
    <mergeCell ref="C6:C8"/>
    <mergeCell ref="D7:D8"/>
    <mergeCell ref="D6:G6"/>
    <mergeCell ref="H6:P6"/>
    <mergeCell ref="H7:J7"/>
    <mergeCell ref="B35:G35"/>
    <mergeCell ref="E7:E8"/>
    <mergeCell ref="G7:G8"/>
    <mergeCell ref="F7:F8"/>
  </mergeCells>
  <printOptions/>
  <pageMargins left="0.58" right="0.39" top="0.5905511811023623" bottom="0.3937007874015748" header="0.31496062992125984" footer="0.31496062992125984"/>
  <pageSetup fitToHeight="1" fitToWidth="1" horizontalDpi="600" verticalDpi="600" orientation="portrait" paperSize="9" scale="5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O28"/>
  <sheetViews>
    <sheetView zoomScaleSheetLayoutView="100" workbookViewId="0" topLeftCell="A1">
      <pane xSplit="3" ySplit="10" topLeftCell="D11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I18" sqref="I18"/>
    </sheetView>
  </sheetViews>
  <sheetFormatPr defaultColWidth="9.140625" defaultRowHeight="15" outlineLevelRow="1" outlineLevelCol="1"/>
  <cols>
    <col min="1" max="1" width="8.00390625" style="10" customWidth="1"/>
    <col min="2" max="2" width="36.00390625" style="10" customWidth="1"/>
    <col min="3" max="3" width="11.8515625" style="10" customWidth="1"/>
    <col min="4" max="5" width="11.8515625" style="10" hidden="1" customWidth="1"/>
    <col min="6" max="6" width="11.28125" style="10" customWidth="1"/>
    <col min="7" max="9" width="10.7109375" style="10" customWidth="1"/>
    <col min="10" max="10" width="11.140625" style="10" customWidth="1"/>
    <col min="11" max="11" width="10.7109375" style="10" customWidth="1" outlineLevel="1"/>
    <col min="12" max="12" width="10.8515625" style="10" customWidth="1" outlineLevel="1"/>
    <col min="13" max="13" width="11.57421875" style="10" customWidth="1" outlineLevel="1"/>
    <col min="14" max="14" width="9.140625" style="10" customWidth="1"/>
    <col min="15" max="16" width="10.7109375" style="10" customWidth="1"/>
    <col min="17" max="16384" width="9.140625" style="10" customWidth="1"/>
  </cols>
  <sheetData>
    <row r="1" spans="1:13" ht="15" hidden="1">
      <c r="A1" s="681">
        <v>2</v>
      </c>
      <c r="B1" s="681">
        <v>3</v>
      </c>
      <c r="C1" s="681">
        <v>4</v>
      </c>
      <c r="D1" s="681">
        <v>5</v>
      </c>
      <c r="E1" s="681">
        <v>5</v>
      </c>
      <c r="F1" s="681">
        <v>6</v>
      </c>
      <c r="G1" s="681">
        <v>7</v>
      </c>
      <c r="H1" s="681">
        <v>8</v>
      </c>
      <c r="I1" s="681">
        <v>9</v>
      </c>
      <c r="J1" s="681">
        <v>10</v>
      </c>
      <c r="K1" s="681">
        <v>11</v>
      </c>
      <c r="L1" s="681">
        <v>12</v>
      </c>
      <c r="M1" s="681">
        <v>13</v>
      </c>
    </row>
    <row r="2" spans="1:13" ht="15">
      <c r="A2" s="7" t="s">
        <v>7</v>
      </c>
      <c r="B2" s="145"/>
      <c r="C2" s="52"/>
      <c r="D2" s="52"/>
      <c r="E2" s="1"/>
      <c r="J2" s="11"/>
      <c r="K2" s="11"/>
      <c r="L2" s="11"/>
      <c r="M2" s="11" t="s">
        <v>799</v>
      </c>
    </row>
    <row r="3" spans="1:5" ht="15">
      <c r="A3" s="1" t="s">
        <v>1656</v>
      </c>
      <c r="B3" s="145"/>
      <c r="C3" s="52"/>
      <c r="D3" s="52"/>
      <c r="E3" s="1"/>
    </row>
    <row r="5" spans="1:13" ht="16.5" customHeight="1">
      <c r="A5" s="33" t="s">
        <v>1186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">
      <c r="A6" s="179"/>
      <c r="K6" s="2295"/>
      <c r="L6" s="2295"/>
      <c r="M6" s="2295"/>
    </row>
    <row r="7" spans="1:16" ht="15.75" customHeight="1">
      <c r="A7" s="2006" t="s">
        <v>1008</v>
      </c>
      <c r="B7" s="2029" t="s">
        <v>1016</v>
      </c>
      <c r="C7" s="2005" t="s">
        <v>161</v>
      </c>
      <c r="D7" s="2241" t="s">
        <v>1005</v>
      </c>
      <c r="E7" s="2242"/>
      <c r="F7" s="2242"/>
      <c r="G7" s="2242"/>
      <c r="H7" s="2241" t="s">
        <v>1007</v>
      </c>
      <c r="I7" s="2242"/>
      <c r="J7" s="2242"/>
      <c r="K7" s="2242"/>
      <c r="L7" s="2242"/>
      <c r="M7" s="2242"/>
      <c r="N7" s="2242"/>
      <c r="O7" s="2242"/>
      <c r="P7" s="2243"/>
    </row>
    <row r="8" spans="1:16" ht="15.75" customHeight="1">
      <c r="A8" s="2007"/>
      <c r="B8" s="2010"/>
      <c r="C8" s="2005"/>
      <c r="D8" s="2296" t="s">
        <v>197</v>
      </c>
      <c r="E8" s="2296" t="s">
        <v>1788</v>
      </c>
      <c r="F8" s="2296" t="s">
        <v>812</v>
      </c>
      <c r="G8" s="2296" t="s">
        <v>813</v>
      </c>
      <c r="H8" s="1943" t="s">
        <v>465</v>
      </c>
      <c r="I8" s="1944"/>
      <c r="J8" s="1945"/>
      <c r="K8" s="1943" t="s">
        <v>1489</v>
      </c>
      <c r="L8" s="1944"/>
      <c r="M8" s="1945"/>
      <c r="N8" s="1943" t="s">
        <v>814</v>
      </c>
      <c r="O8" s="1944"/>
      <c r="P8" s="1945"/>
    </row>
    <row r="9" spans="1:16" ht="24" customHeight="1">
      <c r="A9" s="2003"/>
      <c r="B9" s="2021"/>
      <c r="C9" s="2005"/>
      <c r="D9" s="2189"/>
      <c r="E9" s="2189"/>
      <c r="F9" s="2189"/>
      <c r="G9" s="2189"/>
      <c r="H9" s="50" t="s">
        <v>142</v>
      </c>
      <c r="I9" s="50" t="s">
        <v>707</v>
      </c>
      <c r="J9" s="22" t="s">
        <v>708</v>
      </c>
      <c r="K9" s="50" t="s">
        <v>142</v>
      </c>
      <c r="L9" s="50" t="s">
        <v>707</v>
      </c>
      <c r="M9" s="22" t="s">
        <v>708</v>
      </c>
      <c r="N9" s="50" t="s">
        <v>142</v>
      </c>
      <c r="O9" s="50" t="s">
        <v>707</v>
      </c>
      <c r="P9" s="22" t="s">
        <v>708</v>
      </c>
    </row>
    <row r="10" spans="1:16" ht="24" customHeight="1">
      <c r="A10" s="43">
        <v>1</v>
      </c>
      <c r="B10" s="49">
        <v>2</v>
      </c>
      <c r="C10" s="43">
        <v>3</v>
      </c>
      <c r="D10" s="43">
        <v>4</v>
      </c>
      <c r="E10" s="49">
        <v>5</v>
      </c>
      <c r="F10" s="43">
        <v>6</v>
      </c>
      <c r="G10" s="43">
        <v>7</v>
      </c>
      <c r="H10" s="49">
        <v>8</v>
      </c>
      <c r="I10" s="43">
        <v>9</v>
      </c>
      <c r="J10" s="43">
        <v>10</v>
      </c>
      <c r="K10" s="49">
        <v>17</v>
      </c>
      <c r="L10" s="43">
        <v>18</v>
      </c>
      <c r="M10" s="43">
        <v>19</v>
      </c>
      <c r="N10" s="49">
        <v>17</v>
      </c>
      <c r="O10" s="43">
        <v>18</v>
      </c>
      <c r="P10" s="43">
        <v>19</v>
      </c>
    </row>
    <row r="11" spans="1:16" ht="27">
      <c r="A11" s="47">
        <v>1</v>
      </c>
      <c r="B11" s="23" t="s">
        <v>800</v>
      </c>
      <c r="C11" s="29"/>
      <c r="D11" s="4"/>
      <c r="E11" s="4"/>
      <c r="F11" s="4"/>
      <c r="G11" s="4"/>
      <c r="H11" s="4"/>
      <c r="I11" s="4"/>
      <c r="J11" s="4"/>
      <c r="K11" s="4"/>
      <c r="L11" s="4"/>
      <c r="M11" s="70"/>
      <c r="N11" s="4"/>
      <c r="O11" s="4"/>
      <c r="P11" s="70"/>
    </row>
    <row r="12" spans="1:16" ht="15">
      <c r="A12" s="30" t="s">
        <v>1009</v>
      </c>
      <c r="B12" s="45" t="s">
        <v>801</v>
      </c>
      <c r="C12" s="29" t="s">
        <v>793</v>
      </c>
      <c r="D12" s="592" t="e">
        <f>'6.6'!#REF!</f>
        <v>#REF!</v>
      </c>
      <c r="E12" s="592" t="e">
        <f>'6.6'!#REF!</f>
        <v>#REF!</v>
      </c>
      <c r="F12" s="592">
        <f>'6.6'!F28</f>
        <v>52.040000000000006</v>
      </c>
      <c r="G12" s="592">
        <f>'6.6'!G28</f>
        <v>52.040000000000006</v>
      </c>
      <c r="H12" s="592">
        <f>'6.6'!H28</f>
        <v>56.95164111160123</v>
      </c>
      <c r="I12" s="592">
        <f>'6.6'!I28</f>
        <v>55.800000000000004</v>
      </c>
      <c r="J12" s="592">
        <f>'6.6'!J28</f>
        <v>59.4828</v>
      </c>
      <c r="K12" s="592">
        <f>'6.6'!K28</f>
        <v>61.01318985125717</v>
      </c>
      <c r="L12" s="592">
        <f>'6.6'!L28</f>
        <v>59.4828</v>
      </c>
      <c r="M12" s="592">
        <f>'6.6'!M28</f>
        <v>63.468147599999995</v>
      </c>
      <c r="N12" s="592">
        <f>'6.6'!N28</f>
        <v>65.10107357129138</v>
      </c>
      <c r="O12" s="592">
        <f>'6.6'!O28</f>
        <v>63.468147599999995</v>
      </c>
      <c r="P12" s="592">
        <f>'6.6'!P28</f>
        <v>67.7205134892</v>
      </c>
    </row>
    <row r="13" spans="1:16" ht="53.25">
      <c r="A13" s="30" t="s">
        <v>145</v>
      </c>
      <c r="B13" s="45" t="s">
        <v>1211</v>
      </c>
      <c r="C13" s="29" t="s">
        <v>1182</v>
      </c>
      <c r="D13" s="118" t="e">
        <f>#REF!</f>
        <v>#REF!</v>
      </c>
      <c r="E13" s="118" t="e">
        <f>#REF!</f>
        <v>#REF!</v>
      </c>
      <c r="F13" s="118">
        <f>'4.2'!M26</f>
        <v>4.474</v>
      </c>
      <c r="G13" s="118">
        <f>'4.2'!P26</f>
        <v>4.474</v>
      </c>
      <c r="H13" s="118">
        <f>'4.2'!S26</f>
        <v>4.474</v>
      </c>
      <c r="I13" s="118">
        <f>'4.2'!V26</f>
        <v>2.737</v>
      </c>
      <c r="J13" s="118">
        <f>'4.2'!Y26</f>
        <v>1.716</v>
      </c>
      <c r="K13" s="118">
        <f>'4.2'!AB26</f>
        <v>4.474</v>
      </c>
      <c r="L13" s="118">
        <f>'4.2'!AE26</f>
        <v>2.737</v>
      </c>
      <c r="M13" s="118">
        <f>'4.2'!AH26</f>
        <v>1.736</v>
      </c>
      <c r="N13" s="118">
        <f>'4.2'!AK26</f>
        <v>4.474</v>
      </c>
      <c r="O13" s="118">
        <f>'4.2'!AN26</f>
        <v>2.737</v>
      </c>
      <c r="P13" s="118">
        <f>'4.2'!AQ26</f>
        <v>1.736</v>
      </c>
    </row>
    <row r="14" spans="1:16" ht="15.75" customHeight="1" hidden="1">
      <c r="A14" s="30"/>
      <c r="B14" s="615" t="s">
        <v>1006</v>
      </c>
      <c r="C14" s="29"/>
      <c r="D14" s="4"/>
      <c r="E14" s="4"/>
      <c r="F14" s="4"/>
      <c r="G14" s="4"/>
      <c r="H14" s="4"/>
      <c r="I14" s="4"/>
      <c r="J14" s="4"/>
      <c r="K14" s="4"/>
      <c r="L14" s="4"/>
      <c r="M14" s="70"/>
      <c r="N14" s="4"/>
      <c r="O14" s="4"/>
      <c r="P14" s="70"/>
    </row>
    <row r="15" spans="1:16" ht="26.25" customHeight="1" hidden="1">
      <c r="A15" s="47" t="s">
        <v>854</v>
      </c>
      <c r="B15" s="23" t="s">
        <v>1212</v>
      </c>
      <c r="C15" s="29"/>
      <c r="D15" s="4"/>
      <c r="E15" s="4"/>
      <c r="F15" s="4"/>
      <c r="G15" s="4"/>
      <c r="H15" s="4"/>
      <c r="I15" s="4"/>
      <c r="J15" s="4"/>
      <c r="K15" s="4"/>
      <c r="L15" s="4"/>
      <c r="M15" s="70"/>
      <c r="N15" s="4"/>
      <c r="O15" s="4"/>
      <c r="P15" s="70"/>
    </row>
    <row r="16" spans="1:16" ht="15.75" customHeight="1" hidden="1">
      <c r="A16" s="30" t="s">
        <v>1213</v>
      </c>
      <c r="B16" s="45" t="s">
        <v>801</v>
      </c>
      <c r="C16" s="29" t="s">
        <v>793</v>
      </c>
      <c r="D16" s="592"/>
      <c r="E16" s="592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</row>
    <row r="17" spans="1:16" ht="51.75" customHeight="1" hidden="1">
      <c r="A17" s="30" t="s">
        <v>1214</v>
      </c>
      <c r="B17" s="45" t="s">
        <v>1198</v>
      </c>
      <c r="C17" s="29" t="s">
        <v>1182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</row>
    <row r="18" spans="1:16" ht="51" customHeight="1">
      <c r="A18" s="47" t="s">
        <v>1012</v>
      </c>
      <c r="B18" s="682" t="s">
        <v>1199</v>
      </c>
      <c r="C18" s="29" t="s">
        <v>638</v>
      </c>
      <c r="D18" s="118" t="e">
        <f>D13+D17</f>
        <v>#REF!</v>
      </c>
      <c r="E18" s="118" t="e">
        <f>E13+E17</f>
        <v>#REF!</v>
      </c>
      <c r="F18" s="118">
        <f>F13+F17</f>
        <v>4.474</v>
      </c>
      <c r="G18" s="118">
        <f>G13</f>
        <v>4.474</v>
      </c>
      <c r="H18" s="118">
        <f>H13</f>
        <v>4.474</v>
      </c>
      <c r="I18" s="118">
        <f>I13</f>
        <v>2.737</v>
      </c>
      <c r="J18" s="118">
        <f>J13</f>
        <v>1.716</v>
      </c>
      <c r="K18" s="118">
        <f aca="true" t="shared" si="0" ref="K18:P18">K13+K17</f>
        <v>4.474</v>
      </c>
      <c r="L18" s="118">
        <f t="shared" si="0"/>
        <v>2.737</v>
      </c>
      <c r="M18" s="118">
        <f t="shared" si="0"/>
        <v>1.736</v>
      </c>
      <c r="N18" s="118">
        <f t="shared" si="0"/>
        <v>4.474</v>
      </c>
      <c r="O18" s="118">
        <f t="shared" si="0"/>
        <v>2.737</v>
      </c>
      <c r="P18" s="118">
        <f t="shared" si="0"/>
        <v>1.736</v>
      </c>
    </row>
    <row r="19" spans="1:16" ht="27">
      <c r="A19" s="47" t="s">
        <v>1018</v>
      </c>
      <c r="B19" s="682" t="s">
        <v>1200</v>
      </c>
      <c r="C19" s="29" t="s">
        <v>793</v>
      </c>
      <c r="D19" s="683" t="e">
        <f aca="true" t="shared" si="1" ref="D19:M19">IF(D18&gt;0,((D12*D13+D16*D17)/D18),0)</f>
        <v>#REF!</v>
      </c>
      <c r="E19" s="683" t="e">
        <f t="shared" si="1"/>
        <v>#REF!</v>
      </c>
      <c r="F19" s="683">
        <f t="shared" si="1"/>
        <v>52.040000000000006</v>
      </c>
      <c r="G19" s="683">
        <f t="shared" si="1"/>
        <v>52.040000000000006</v>
      </c>
      <c r="H19" s="683">
        <f>IF(H18&gt;0,((H12*H13+H16*H17)/H18),0)</f>
        <v>56.95164111160123</v>
      </c>
      <c r="I19" s="683">
        <f t="shared" si="1"/>
        <v>55.800000000000004</v>
      </c>
      <c r="J19" s="683">
        <f t="shared" si="1"/>
        <v>59.4828</v>
      </c>
      <c r="K19" s="683">
        <f t="shared" si="1"/>
        <v>61.01318985125717</v>
      </c>
      <c r="L19" s="683">
        <f t="shared" si="1"/>
        <v>59.4828</v>
      </c>
      <c r="M19" s="683">
        <f t="shared" si="1"/>
        <v>63.4681476</v>
      </c>
      <c r="N19" s="683">
        <f>IF(N18&gt;0,((N12*N13+N16*N17)/N18),0)</f>
        <v>65.10107357129138</v>
      </c>
      <c r="O19" s="683">
        <f>IF(O18&gt;0,((O12*O13+O16*O17)/O18),0)</f>
        <v>63.468147599999995</v>
      </c>
      <c r="P19" s="683">
        <f>IF(P18&gt;0,((P12*P13+P16*P17)/P18),0)</f>
        <v>67.7205134892</v>
      </c>
    </row>
    <row r="20" ht="15" hidden="1" outlineLevel="1">
      <c r="A20" s="113" t="s">
        <v>35</v>
      </c>
    </row>
    <row r="21" spans="1:93" ht="48.75" customHeight="1" hidden="1" outlineLevel="1">
      <c r="A21" s="116" t="s">
        <v>637</v>
      </c>
      <c r="B21" s="1951" t="s">
        <v>1201</v>
      </c>
      <c r="C21" s="1951"/>
      <c r="D21" s="1951"/>
      <c r="E21" s="1951"/>
      <c r="F21" s="1951"/>
      <c r="G21" s="1951"/>
      <c r="H21" s="1951"/>
      <c r="I21" s="1951"/>
      <c r="J21" s="1951"/>
      <c r="K21" s="1951"/>
      <c r="L21" s="1951"/>
      <c r="M21" s="1951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</row>
    <row r="22" spans="1:93" ht="15" hidden="1" outlineLevel="1">
      <c r="A22" s="139" t="s">
        <v>639</v>
      </c>
      <c r="B22" s="113" t="s">
        <v>1202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</row>
    <row r="23" spans="1:93" ht="15" hidden="1" outlineLevel="1">
      <c r="A23" s="139" t="s">
        <v>640</v>
      </c>
      <c r="B23" s="113" t="s">
        <v>536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</row>
    <row r="24" ht="15" collapsed="1"/>
    <row r="26" spans="1:3" ht="15">
      <c r="A26" s="52"/>
      <c r="B26" s="52"/>
      <c r="C26" s="52"/>
    </row>
    <row r="27" spans="1:13" ht="15">
      <c r="A27" s="1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2:6" ht="15">
      <c r="B28" s="10" t="s">
        <v>1187</v>
      </c>
      <c r="F28" s="10" t="s">
        <v>1658</v>
      </c>
    </row>
  </sheetData>
  <sheetProtection/>
  <mergeCells count="14">
    <mergeCell ref="N8:P8"/>
    <mergeCell ref="H7:P7"/>
    <mergeCell ref="H8:J8"/>
    <mergeCell ref="K8:M8"/>
    <mergeCell ref="K6:M6"/>
    <mergeCell ref="B21:M21"/>
    <mergeCell ref="A7:A9"/>
    <mergeCell ref="B7:B9"/>
    <mergeCell ref="C7:C9"/>
    <mergeCell ref="D7:G7"/>
    <mergeCell ref="D8:D9"/>
    <mergeCell ref="E8:E9"/>
    <mergeCell ref="F8:F9"/>
    <mergeCell ref="G8:G9"/>
  </mergeCells>
  <printOptions/>
  <pageMargins left="0.7086614173228347" right="0.7086614173228347" top="0.6" bottom="0.38" header="0.31496062992125984" footer="0.31496062992125984"/>
  <pageSetup fitToHeight="1" fitToWidth="1" horizontalDpi="600" verticalDpi="600" orientation="landscape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O29"/>
  <sheetViews>
    <sheetView zoomScaleSheetLayoutView="100" workbookViewId="0" topLeftCell="A1">
      <pane xSplit="3" ySplit="9" topLeftCell="F10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F17" sqref="F17:P17"/>
    </sheetView>
  </sheetViews>
  <sheetFormatPr defaultColWidth="9.140625" defaultRowHeight="15" outlineLevelRow="1" outlineLevelCol="1"/>
  <cols>
    <col min="1" max="1" width="8.00390625" style="10" customWidth="1"/>
    <col min="2" max="2" width="38.421875" style="10" customWidth="1"/>
    <col min="3" max="3" width="11.8515625" style="10" customWidth="1"/>
    <col min="4" max="5" width="11.8515625" style="10" hidden="1" customWidth="1"/>
    <col min="6" max="6" width="11.28125" style="10" customWidth="1"/>
    <col min="7" max="7" width="10.7109375" style="10" customWidth="1"/>
    <col min="8" max="8" width="10.421875" style="10" customWidth="1"/>
    <col min="9" max="10" width="9.421875" style="10" customWidth="1"/>
    <col min="11" max="11" width="10.421875" style="10" customWidth="1" outlineLevel="1"/>
    <col min="12" max="12" width="9.57421875" style="10" customWidth="1" outlineLevel="1"/>
    <col min="13" max="13" width="9.8515625" style="10" customWidth="1" outlineLevel="1"/>
    <col min="14" max="16384" width="9.140625" style="10" customWidth="1"/>
  </cols>
  <sheetData>
    <row r="1" spans="1:13" ht="15">
      <c r="A1" s="7" t="s">
        <v>7</v>
      </c>
      <c r="B1" s="145"/>
      <c r="C1" s="52"/>
      <c r="D1" s="52"/>
      <c r="E1" s="1"/>
      <c r="J1" s="11"/>
      <c r="K1" s="138"/>
      <c r="L1" s="138"/>
      <c r="M1" s="11" t="s">
        <v>537</v>
      </c>
    </row>
    <row r="2" spans="1:5" ht="15">
      <c r="A2" s="1" t="s">
        <v>1659</v>
      </c>
      <c r="B2" s="145"/>
      <c r="C2" s="52"/>
      <c r="D2" s="52"/>
      <c r="E2" s="1"/>
    </row>
    <row r="4" spans="1:13" ht="43.5" customHeight="1">
      <c r="A4" s="2297" t="s">
        <v>1551</v>
      </c>
      <c r="B4" s="2297"/>
      <c r="C4" s="2297"/>
      <c r="D4" s="2297"/>
      <c r="E4" s="2297"/>
      <c r="F4" s="2297"/>
      <c r="G4" s="2297"/>
      <c r="H4" s="2297"/>
      <c r="I4" s="2297"/>
      <c r="J4" s="2297"/>
      <c r="K4" s="2297"/>
      <c r="L4" s="2297"/>
      <c r="M4" s="2297"/>
    </row>
    <row r="5" spans="1:13" ht="15">
      <c r="A5" s="666" t="str">
        <f>'[2]4.1'!B6</f>
        <v>Усть-Камчатское сельское поселение Усть-Камчатского муниципального района</v>
      </c>
      <c r="K5" s="2295"/>
      <c r="L5" s="2295"/>
      <c r="M5" s="2295"/>
    </row>
    <row r="6" spans="1:16" ht="15.75" customHeight="1">
      <c r="A6" s="2006" t="s">
        <v>1008</v>
      </c>
      <c r="B6" s="2029" t="s">
        <v>1016</v>
      </c>
      <c r="C6" s="2005" t="s">
        <v>161</v>
      </c>
      <c r="D6" s="2141" t="s">
        <v>1005</v>
      </c>
      <c r="E6" s="2142"/>
      <c r="F6" s="2142"/>
      <c r="G6" s="2143"/>
      <c r="H6" s="2241" t="s">
        <v>1007</v>
      </c>
      <c r="I6" s="2242"/>
      <c r="J6" s="2242"/>
      <c r="K6" s="2242"/>
      <c r="L6" s="2242"/>
      <c r="M6" s="2242"/>
      <c r="N6" s="2242"/>
      <c r="O6" s="2242"/>
      <c r="P6" s="2243"/>
    </row>
    <row r="7" spans="1:16" ht="15.75" customHeight="1">
      <c r="A7" s="2007"/>
      <c r="B7" s="2010"/>
      <c r="C7" s="2005"/>
      <c r="D7" s="2006" t="s">
        <v>197</v>
      </c>
      <c r="E7" s="2006" t="s">
        <v>1788</v>
      </c>
      <c r="F7" s="2006" t="s">
        <v>812</v>
      </c>
      <c r="G7" s="2006" t="s">
        <v>813</v>
      </c>
      <c r="H7" s="2024" t="s">
        <v>465</v>
      </c>
      <c r="I7" s="2025"/>
      <c r="J7" s="2026"/>
      <c r="K7" s="2024" t="s">
        <v>1489</v>
      </c>
      <c r="L7" s="2025"/>
      <c r="M7" s="2026"/>
      <c r="N7" s="2024" t="s">
        <v>814</v>
      </c>
      <c r="O7" s="2025"/>
      <c r="P7" s="2026"/>
    </row>
    <row r="8" spans="1:16" ht="24" customHeight="1">
      <c r="A8" s="2003"/>
      <c r="B8" s="2021"/>
      <c r="C8" s="2005"/>
      <c r="D8" s="2003"/>
      <c r="E8" s="2003"/>
      <c r="F8" s="2003"/>
      <c r="G8" s="2003"/>
      <c r="H8" s="50" t="s">
        <v>142</v>
      </c>
      <c r="I8" s="50" t="s">
        <v>707</v>
      </c>
      <c r="J8" s="22" t="s">
        <v>708</v>
      </c>
      <c r="K8" s="50" t="s">
        <v>142</v>
      </c>
      <c r="L8" s="50" t="s">
        <v>707</v>
      </c>
      <c r="M8" s="22" t="s">
        <v>708</v>
      </c>
      <c r="N8" s="50" t="s">
        <v>142</v>
      </c>
      <c r="O8" s="50" t="s">
        <v>707</v>
      </c>
      <c r="P8" s="22" t="s">
        <v>708</v>
      </c>
    </row>
    <row r="9" spans="1:16" ht="24" customHeight="1">
      <c r="A9" s="43">
        <v>1</v>
      </c>
      <c r="B9" s="49">
        <v>2</v>
      </c>
      <c r="C9" s="43">
        <v>3</v>
      </c>
      <c r="D9" s="43">
        <v>4</v>
      </c>
      <c r="E9" s="49">
        <v>5</v>
      </c>
      <c r="F9" s="43">
        <v>6</v>
      </c>
      <c r="G9" s="43">
        <v>7</v>
      </c>
      <c r="H9" s="49">
        <v>8</v>
      </c>
      <c r="I9" s="43">
        <v>9</v>
      </c>
      <c r="J9" s="43">
        <v>10</v>
      </c>
      <c r="K9" s="49">
        <v>17</v>
      </c>
      <c r="L9" s="43">
        <v>18</v>
      </c>
      <c r="M9" s="43">
        <v>19</v>
      </c>
      <c r="N9" s="49">
        <v>17</v>
      </c>
      <c r="O9" s="43">
        <v>18</v>
      </c>
      <c r="P9" s="43">
        <v>19</v>
      </c>
    </row>
    <row r="10" spans="1:16" ht="15">
      <c r="A10" s="47" t="s">
        <v>538</v>
      </c>
      <c r="B10" s="23" t="s">
        <v>1575</v>
      </c>
      <c r="C10" s="29" t="s">
        <v>793</v>
      </c>
      <c r="D10" s="4"/>
      <c r="E10" s="4"/>
      <c r="F10" s="4"/>
      <c r="G10" s="4"/>
      <c r="H10" s="4"/>
      <c r="I10" s="4"/>
      <c r="J10" s="4"/>
      <c r="K10" s="4"/>
      <c r="L10" s="4"/>
      <c r="M10" s="70"/>
      <c r="N10" s="4"/>
      <c r="O10" s="4"/>
      <c r="P10" s="70"/>
    </row>
    <row r="11" spans="1:16" ht="30" customHeight="1">
      <c r="A11" s="30" t="s">
        <v>1009</v>
      </c>
      <c r="B11" s="684" t="s">
        <v>1576</v>
      </c>
      <c r="C11" s="29" t="s">
        <v>793</v>
      </c>
      <c r="D11" s="592" t="e">
        <f>'6.7'!D12</f>
        <v>#REF!</v>
      </c>
      <c r="E11" s="592" t="e">
        <f>'6.7'!E12</f>
        <v>#REF!</v>
      </c>
      <c r="F11" s="592">
        <f>'6.7'!F19</f>
        <v>52.040000000000006</v>
      </c>
      <c r="G11" s="592">
        <f>'6.7'!G12</f>
        <v>52.040000000000006</v>
      </c>
      <c r="H11" s="592">
        <f>'6.7'!H12</f>
        <v>56.95164111160123</v>
      </c>
      <c r="I11" s="592">
        <f>'6.7'!I12</f>
        <v>55.800000000000004</v>
      </c>
      <c r="J11" s="592">
        <f>'6.7'!J12</f>
        <v>59.4828</v>
      </c>
      <c r="K11" s="592">
        <f>'6.7'!K12</f>
        <v>61.01318985125717</v>
      </c>
      <c r="L11" s="592">
        <f>'6.7'!L12</f>
        <v>59.4828</v>
      </c>
      <c r="M11" s="592">
        <f>'6.7'!M12</f>
        <v>63.468147599999995</v>
      </c>
      <c r="N11" s="592">
        <f>'6.7'!N12</f>
        <v>65.10107357129138</v>
      </c>
      <c r="O11" s="592">
        <f>'6.7'!O12</f>
        <v>63.468147599999995</v>
      </c>
      <c r="P11" s="592">
        <f>'6.7'!P12</f>
        <v>67.7205134892</v>
      </c>
    </row>
    <row r="12" spans="1:16" ht="39.75">
      <c r="A12" s="30" t="s">
        <v>145</v>
      </c>
      <c r="B12" s="684" t="s">
        <v>1211</v>
      </c>
      <c r="C12" s="29" t="s">
        <v>1182</v>
      </c>
      <c r="D12" s="18" t="e">
        <f>'6.7'!D13</f>
        <v>#REF!</v>
      </c>
      <c r="E12" s="18" t="e">
        <f>'6.7'!E13</f>
        <v>#REF!</v>
      </c>
      <c r="F12" s="18">
        <f>'6.7'!F13</f>
        <v>4.474</v>
      </c>
      <c r="G12" s="516">
        <f>'6.7'!G13</f>
        <v>4.474</v>
      </c>
      <c r="H12" s="516">
        <f>'6.7'!H13</f>
        <v>4.474</v>
      </c>
      <c r="I12" s="516">
        <f>'6.7'!I13</f>
        <v>2.737</v>
      </c>
      <c r="J12" s="516">
        <f>'6.7'!J13</f>
        <v>1.716</v>
      </c>
      <c r="K12" s="18">
        <f>'6.7'!K13</f>
        <v>4.474</v>
      </c>
      <c r="L12" s="18">
        <f>'6.7'!L13</f>
        <v>2.737</v>
      </c>
      <c r="M12" s="18">
        <f>'6.7'!M13</f>
        <v>1.736</v>
      </c>
      <c r="N12" s="18">
        <f>'6.7'!N13</f>
        <v>4.474</v>
      </c>
      <c r="O12" s="18">
        <f>'6.7'!O13</f>
        <v>2.737</v>
      </c>
      <c r="P12" s="18">
        <f>'6.7'!P13</f>
        <v>1.736</v>
      </c>
    </row>
    <row r="13" spans="1:16" ht="15" hidden="1">
      <c r="A13" s="30"/>
      <c r="B13" s="685" t="s">
        <v>1006</v>
      </c>
      <c r="C13" s="29"/>
      <c r="D13" s="4"/>
      <c r="E13" s="4"/>
      <c r="F13" s="4"/>
      <c r="G13" s="4"/>
      <c r="H13" s="4"/>
      <c r="I13" s="4"/>
      <c r="J13" s="4"/>
      <c r="K13" s="4"/>
      <c r="L13" s="4"/>
      <c r="M13" s="70"/>
      <c r="N13" s="4"/>
      <c r="O13" s="4"/>
      <c r="P13" s="70"/>
    </row>
    <row r="14" spans="1:16" ht="27" hidden="1">
      <c r="A14" s="30" t="s">
        <v>1577</v>
      </c>
      <c r="B14" s="684" t="s">
        <v>1246</v>
      </c>
      <c r="C14" s="29" t="s">
        <v>793</v>
      </c>
      <c r="D14" s="4"/>
      <c r="E14" s="4"/>
      <c r="F14" s="4"/>
      <c r="G14" s="4"/>
      <c r="H14" s="4"/>
      <c r="I14" s="4"/>
      <c r="J14" s="4"/>
      <c r="K14" s="4"/>
      <c r="L14" s="4"/>
      <c r="M14" s="70"/>
      <c r="N14" s="4"/>
      <c r="O14" s="4"/>
      <c r="P14" s="70"/>
    </row>
    <row r="15" spans="1:16" ht="15" hidden="1">
      <c r="A15" s="30" t="s">
        <v>1247</v>
      </c>
      <c r="B15" s="684" t="s">
        <v>801</v>
      </c>
      <c r="C15" s="29" t="s">
        <v>1182</v>
      </c>
      <c r="D15" s="4"/>
      <c r="E15" s="4"/>
      <c r="F15" s="4"/>
      <c r="G15" s="4"/>
      <c r="H15" s="4"/>
      <c r="I15" s="4"/>
      <c r="J15" s="4"/>
      <c r="K15" s="4"/>
      <c r="L15" s="4"/>
      <c r="M15" s="70"/>
      <c r="N15" s="4"/>
      <c r="O15" s="4"/>
      <c r="P15" s="70"/>
    </row>
    <row r="16" spans="1:16" ht="15">
      <c r="A16" s="47" t="s">
        <v>1248</v>
      </c>
      <c r="B16" s="686" t="s">
        <v>1249</v>
      </c>
      <c r="C16" s="29"/>
      <c r="D16" s="4"/>
      <c r="E16" s="4"/>
      <c r="F16" s="4"/>
      <c r="G16" s="4"/>
      <c r="H16" s="4"/>
      <c r="I16" s="4"/>
      <c r="J16" s="4"/>
      <c r="K16" s="4"/>
      <c r="L16" s="4"/>
      <c r="M16" s="70"/>
      <c r="N16" s="4"/>
      <c r="O16" s="4"/>
      <c r="P16" s="70"/>
    </row>
    <row r="17" spans="1:16" ht="27">
      <c r="A17" s="30" t="s">
        <v>1017</v>
      </c>
      <c r="B17" s="15" t="s">
        <v>808</v>
      </c>
      <c r="C17" s="29" t="s">
        <v>616</v>
      </c>
      <c r="D17" s="592">
        <f>'6.4'!J32</f>
        <v>10296.146243673085</v>
      </c>
      <c r="E17" s="592">
        <f>'6.4'!M32</f>
        <v>11294.373086011865</v>
      </c>
      <c r="F17" s="1975">
        <f>'6.4'!J32</f>
        <v>10296.146243673085</v>
      </c>
      <c r="G17" s="1975">
        <f>'6.4'!M32</f>
        <v>11294.373086011865</v>
      </c>
      <c r="H17" s="1975">
        <f>'6.4'!P32</f>
        <v>11604.628624744026</v>
      </c>
      <c r="I17" s="1975">
        <f>'6.4'!S32</f>
        <v>10454.89646098344</v>
      </c>
      <c r="J17" s="1975">
        <f>'6.4'!V32</f>
        <v>13203.614901346671</v>
      </c>
      <c r="K17" s="1975">
        <f>'6.4'!Y32</f>
        <v>12229.259806487738</v>
      </c>
      <c r="L17" s="1975">
        <f>'6.4'!AB32</f>
        <v>11165.365526584139</v>
      </c>
      <c r="M17" s="1975">
        <f>'6.4'!AE32</f>
        <v>13669.64164303133</v>
      </c>
      <c r="N17" s="1975">
        <f>'6.4'!AH32</f>
        <v>12999.496853550925</v>
      </c>
      <c r="O17" s="1975">
        <f>'6.4'!AK32</f>
        <v>11868.71931352742</v>
      </c>
      <c r="P17" s="1975">
        <f>'6.4'!AN32</f>
        <v>14530.543514202025</v>
      </c>
    </row>
    <row r="18" spans="1:16" ht="27">
      <c r="A18" s="30" t="s">
        <v>1010</v>
      </c>
      <c r="B18" s="15" t="s">
        <v>809</v>
      </c>
      <c r="C18" s="29"/>
      <c r="D18" s="4"/>
      <c r="E18" s="4"/>
      <c r="F18" s="4"/>
      <c r="G18" s="4"/>
      <c r="H18" s="4"/>
      <c r="I18" s="4"/>
      <c r="J18" s="4"/>
      <c r="K18" s="4"/>
      <c r="L18" s="4"/>
      <c r="M18" s="70"/>
      <c r="N18" s="4"/>
      <c r="O18" s="4"/>
      <c r="P18" s="70"/>
    </row>
    <row r="19" spans="1:16" ht="18.75" customHeight="1">
      <c r="A19" s="70"/>
      <c r="B19" s="687" t="s">
        <v>1066</v>
      </c>
      <c r="C19" s="29" t="s">
        <v>616</v>
      </c>
      <c r="D19" s="4"/>
      <c r="E19" s="4"/>
      <c r="F19" s="4"/>
      <c r="G19" s="4"/>
      <c r="H19" s="4"/>
      <c r="I19" s="4"/>
      <c r="J19" s="4"/>
      <c r="K19" s="4"/>
      <c r="L19" s="4"/>
      <c r="M19" s="70"/>
      <c r="N19" s="4"/>
      <c r="O19" s="4"/>
      <c r="P19" s="70"/>
    </row>
    <row r="20" spans="1:16" ht="29.25" customHeight="1">
      <c r="A20" s="70"/>
      <c r="B20" s="688" t="s">
        <v>1067</v>
      </c>
      <c r="C20" s="689" t="s">
        <v>810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2" ht="15" hidden="1" outlineLevel="1">
      <c r="A21" s="114" t="s">
        <v>35</v>
      </c>
      <c r="B21" s="1"/>
    </row>
    <row r="22" spans="1:93" ht="66.75" customHeight="1" hidden="1" outlineLevel="1">
      <c r="A22" s="116" t="s">
        <v>637</v>
      </c>
      <c r="B22" s="1951" t="s">
        <v>873</v>
      </c>
      <c r="C22" s="1951"/>
      <c r="D22" s="1951"/>
      <c r="E22" s="1951"/>
      <c r="F22" s="1951"/>
      <c r="G22" s="1951"/>
      <c r="H22" s="1951"/>
      <c r="I22" s="1951"/>
      <c r="J22" s="1951"/>
      <c r="K22" s="1951"/>
      <c r="L22" s="1951"/>
      <c r="M22" s="1951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</row>
    <row r="23" spans="1:93" ht="15" hidden="1" outlineLevel="1">
      <c r="A23" s="139" t="s">
        <v>639</v>
      </c>
      <c r="B23" s="113" t="s">
        <v>874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</row>
    <row r="24" ht="15" collapsed="1"/>
    <row r="25" ht="15">
      <c r="A25" s="10" t="s">
        <v>875</v>
      </c>
    </row>
    <row r="26" ht="15">
      <c r="A26" s="1"/>
    </row>
    <row r="27" spans="1:13" ht="15">
      <c r="A27" s="1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9" ht="15">
      <c r="B29" s="83"/>
    </row>
  </sheetData>
  <sheetProtection/>
  <mergeCells count="15">
    <mergeCell ref="N7:P7"/>
    <mergeCell ref="H6:P6"/>
    <mergeCell ref="B22:M22"/>
    <mergeCell ref="A6:A8"/>
    <mergeCell ref="B6:B8"/>
    <mergeCell ref="C6:C8"/>
    <mergeCell ref="D6:G6"/>
    <mergeCell ref="E7:E8"/>
    <mergeCell ref="D7:D8"/>
    <mergeCell ref="F7:F8"/>
    <mergeCell ref="G7:G8"/>
    <mergeCell ref="H7:J7"/>
    <mergeCell ref="K7:M7"/>
    <mergeCell ref="A4:M4"/>
    <mergeCell ref="K5:M5"/>
  </mergeCells>
  <printOptions/>
  <pageMargins left="0.7086614173228347" right="0.7086614173228347" top="0.6" bottom="0.38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F48"/>
  <sheetViews>
    <sheetView zoomScaleSheetLayoutView="100" zoomScalePageLayoutView="0" workbookViewId="0" topLeftCell="A1">
      <pane xSplit="3" ySplit="12" topLeftCell="T19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AJ30" sqref="AJ30"/>
    </sheetView>
  </sheetViews>
  <sheetFormatPr defaultColWidth="9.140625" defaultRowHeight="15" outlineLevelRow="1" outlineLevelCol="4"/>
  <cols>
    <col min="1" max="1" width="5.00390625" style="212" customWidth="1"/>
    <col min="2" max="2" width="7.421875" style="10" customWidth="1"/>
    <col min="3" max="3" width="28.57421875" style="10" customWidth="1"/>
    <col min="4" max="4" width="6.28125" style="10" hidden="1" customWidth="1"/>
    <col min="5" max="5" width="7.57421875" style="10" hidden="1" customWidth="1"/>
    <col min="6" max="6" width="6.8515625" style="10" hidden="1" customWidth="1"/>
    <col min="7" max="10" width="6.140625" style="10" hidden="1" customWidth="1" outlineLevel="1"/>
    <col min="11" max="11" width="8.28125" style="10" hidden="1" customWidth="1" outlineLevel="1"/>
    <col min="12" max="12" width="6.28125" style="10" hidden="1" customWidth="1" collapsed="1"/>
    <col min="13" max="13" width="7.57421875" style="10" hidden="1" customWidth="1"/>
    <col min="14" max="14" width="6.8515625" style="10" hidden="1" customWidth="1"/>
    <col min="15" max="18" width="6.140625" style="10" hidden="1" customWidth="1" outlineLevel="1"/>
    <col min="19" max="19" width="8.28125" style="10" hidden="1" customWidth="1" outlineLevel="1"/>
    <col min="20" max="20" width="6.28125" style="10" customWidth="1" collapsed="1"/>
    <col min="21" max="21" width="9.00390625" style="10" customWidth="1"/>
    <col min="22" max="22" width="7.00390625" style="10" customWidth="1"/>
    <col min="23" max="26" width="6.140625" style="10" hidden="1" customWidth="1" outlineLevel="1"/>
    <col min="27" max="27" width="8.00390625" style="10" hidden="1" customWidth="1" outlineLevel="1"/>
    <col min="28" max="28" width="7.8515625" style="10" customWidth="1" collapsed="1"/>
    <col min="29" max="29" width="7.57421875" style="10" customWidth="1"/>
    <col min="30" max="30" width="6.140625" style="10" customWidth="1"/>
    <col min="31" max="35" width="6.140625" style="10" hidden="1" customWidth="1" outlineLevel="1"/>
    <col min="36" max="36" width="8.421875" style="10" customWidth="1" collapsed="1"/>
    <col min="37" max="37" width="6.28125" style="10" customWidth="1"/>
    <col min="38" max="38" width="6.140625" style="10" customWidth="1"/>
    <col min="39" max="42" width="6.140625" style="10" hidden="1" customWidth="1" outlineLevel="1"/>
    <col min="43" max="43" width="8.28125" style="10" hidden="1" customWidth="1" outlineLevel="1"/>
    <col min="44" max="44" width="6.140625" style="10" customWidth="1" collapsed="1"/>
    <col min="45" max="45" width="7.140625" style="10" customWidth="1"/>
    <col min="46" max="46" width="6.140625" style="10" customWidth="1"/>
    <col min="47" max="50" width="6.140625" style="10" hidden="1" customWidth="1" outlineLevel="1"/>
    <col min="51" max="51" width="8.8515625" style="10" hidden="1" customWidth="1" outlineLevel="1"/>
    <col min="52" max="52" width="6.140625" style="10" customWidth="1" collapsed="1"/>
    <col min="53" max="53" width="6.140625" style="10" customWidth="1"/>
    <col min="54" max="54" width="6.140625" style="10" customWidth="1" outlineLevel="1"/>
    <col min="55" max="58" width="6.140625" style="10" hidden="1" customWidth="1" outlineLevel="3"/>
    <col min="59" max="59" width="8.421875" style="10" hidden="1" customWidth="1" outlineLevel="3"/>
    <col min="60" max="64" width="8.421875" style="10" hidden="1" customWidth="1" outlineLevel="4"/>
    <col min="65" max="65" width="8.140625" style="10" customWidth="1" outlineLevel="1" collapsed="1"/>
    <col min="66" max="66" width="6.00390625" style="10" customWidth="1" outlineLevel="1"/>
    <col min="67" max="67" width="6.140625" style="10" customWidth="1" outlineLevel="1"/>
    <col min="68" max="72" width="6.140625" style="10" hidden="1" customWidth="1" outlineLevel="2"/>
    <col min="73" max="73" width="6.421875" style="10" customWidth="1" outlineLevel="1" collapsed="1"/>
    <col min="74" max="74" width="6.421875" style="10" customWidth="1" outlineLevel="1"/>
    <col min="75" max="75" width="6.140625" style="10" customWidth="1" outlineLevel="1"/>
    <col min="76" max="80" width="6.140625" style="10" hidden="1" customWidth="1" outlineLevel="2"/>
    <col min="81" max="81" width="6.140625" style="10" customWidth="1" outlineLevel="1" collapsed="1"/>
    <col min="82" max="83" width="6.140625" style="10" customWidth="1" outlineLevel="1"/>
    <col min="84" max="88" width="6.140625" style="10" hidden="1" customWidth="1" outlineLevel="2"/>
    <col min="89" max="93" width="0" style="10" hidden="1" customWidth="1" outlineLevel="1"/>
    <col min="94" max="94" width="8.7109375" style="10" customWidth="1" collapsed="1"/>
    <col min="95" max="95" width="5.7109375" style="10" customWidth="1"/>
    <col min="96" max="96" width="6.28125" style="10" customWidth="1"/>
    <col min="97" max="100" width="0" style="10" hidden="1" customWidth="1"/>
    <col min="101" max="101" width="6.8515625" style="10" hidden="1" customWidth="1"/>
    <col min="102" max="102" width="7.8515625" style="10" customWidth="1"/>
    <col min="103" max="103" width="6.140625" style="10" customWidth="1"/>
    <col min="104" max="104" width="7.140625" style="10" customWidth="1"/>
    <col min="105" max="109" width="0" style="10" hidden="1" customWidth="1"/>
    <col min="110" max="110" width="9.28125" style="10" bestFit="1" customWidth="1"/>
    <col min="111" max="111" width="6.7109375" style="10" customWidth="1"/>
    <col min="112" max="112" width="7.57421875" style="10" customWidth="1"/>
    <col min="113" max="117" width="0" style="10" hidden="1" customWidth="1"/>
    <col min="118" max="16384" width="9.140625" style="10" customWidth="1"/>
  </cols>
  <sheetData>
    <row r="1" spans="1:88" s="212" customFormat="1" ht="13.5" customHeight="1" hidden="1">
      <c r="A1" s="211">
        <v>1</v>
      </c>
      <c r="B1" s="211">
        <v>2</v>
      </c>
      <c r="C1" s="211">
        <v>3</v>
      </c>
      <c r="D1" s="211">
        <v>4</v>
      </c>
      <c r="E1" s="211">
        <v>5</v>
      </c>
      <c r="F1" s="211">
        <v>6</v>
      </c>
      <c r="G1" s="211">
        <v>7</v>
      </c>
      <c r="H1" s="211">
        <v>8</v>
      </c>
      <c r="I1" s="211">
        <v>9</v>
      </c>
      <c r="J1" s="211">
        <v>10</v>
      </c>
      <c r="K1" s="211">
        <v>11</v>
      </c>
      <c r="L1" s="211">
        <v>4</v>
      </c>
      <c r="M1" s="211">
        <v>5</v>
      </c>
      <c r="N1" s="211">
        <v>6</v>
      </c>
      <c r="O1" s="211">
        <v>7</v>
      </c>
      <c r="P1" s="211">
        <v>8</v>
      </c>
      <c r="Q1" s="211">
        <v>9</v>
      </c>
      <c r="R1" s="211">
        <v>10</v>
      </c>
      <c r="S1" s="211">
        <v>11</v>
      </c>
      <c r="T1" s="211">
        <v>12</v>
      </c>
      <c r="U1" s="211">
        <v>13</v>
      </c>
      <c r="V1" s="211">
        <v>14</v>
      </c>
      <c r="W1" s="211">
        <v>15</v>
      </c>
      <c r="X1" s="211">
        <v>16</v>
      </c>
      <c r="Y1" s="211">
        <v>17</v>
      </c>
      <c r="Z1" s="211">
        <v>18</v>
      </c>
      <c r="AA1" s="211">
        <v>19</v>
      </c>
      <c r="AB1" s="211">
        <v>20</v>
      </c>
      <c r="AC1" s="211">
        <v>21</v>
      </c>
      <c r="AD1" s="211">
        <v>22</v>
      </c>
      <c r="AE1" s="211">
        <v>23</v>
      </c>
      <c r="AF1" s="211">
        <v>24</v>
      </c>
      <c r="AG1" s="211">
        <v>25</v>
      </c>
      <c r="AH1" s="211">
        <v>26</v>
      </c>
      <c r="AI1" s="211">
        <v>27</v>
      </c>
      <c r="AJ1" s="211">
        <v>28</v>
      </c>
      <c r="AK1" s="211">
        <v>29</v>
      </c>
      <c r="AL1" s="211">
        <v>30</v>
      </c>
      <c r="AM1" s="211">
        <v>31</v>
      </c>
      <c r="AN1" s="211">
        <v>32</v>
      </c>
      <c r="AO1" s="211">
        <v>33</v>
      </c>
      <c r="AP1" s="211">
        <v>34</v>
      </c>
      <c r="AQ1" s="211">
        <v>35</v>
      </c>
      <c r="AR1" s="211">
        <v>36</v>
      </c>
      <c r="AS1" s="211">
        <v>37</v>
      </c>
      <c r="AT1" s="211">
        <v>38</v>
      </c>
      <c r="AU1" s="211">
        <v>39</v>
      </c>
      <c r="AV1" s="211">
        <v>40</v>
      </c>
      <c r="AW1" s="211">
        <v>41</v>
      </c>
      <c r="AX1" s="211">
        <v>42</v>
      </c>
      <c r="AY1" s="211">
        <v>43</v>
      </c>
      <c r="AZ1" s="211">
        <v>44</v>
      </c>
      <c r="BA1" s="211">
        <v>45</v>
      </c>
      <c r="BB1" s="211">
        <v>46</v>
      </c>
      <c r="BC1" s="211">
        <v>47</v>
      </c>
      <c r="BD1" s="211">
        <v>48</v>
      </c>
      <c r="BE1" s="211">
        <v>49</v>
      </c>
      <c r="BF1" s="211">
        <v>50</v>
      </c>
      <c r="BG1" s="211">
        <v>51</v>
      </c>
      <c r="BH1" s="211"/>
      <c r="BI1" s="211"/>
      <c r="BJ1" s="211"/>
      <c r="BK1" s="211"/>
      <c r="BL1" s="211"/>
      <c r="BM1" s="211">
        <v>52</v>
      </c>
      <c r="BN1" s="211">
        <v>53</v>
      </c>
      <c r="BO1" s="211">
        <v>54</v>
      </c>
      <c r="BP1" s="211">
        <v>55</v>
      </c>
      <c r="BQ1" s="211">
        <v>56</v>
      </c>
      <c r="BR1" s="211">
        <v>57</v>
      </c>
      <c r="BS1" s="211">
        <v>58</v>
      </c>
      <c r="BT1" s="211">
        <v>59</v>
      </c>
      <c r="BU1" s="211">
        <v>60</v>
      </c>
      <c r="BV1" s="211">
        <v>61</v>
      </c>
      <c r="BW1" s="211">
        <v>62</v>
      </c>
      <c r="BX1" s="211">
        <v>63</v>
      </c>
      <c r="BY1" s="211">
        <v>64</v>
      </c>
      <c r="BZ1" s="211">
        <v>65</v>
      </c>
      <c r="CA1" s="211">
        <v>66</v>
      </c>
      <c r="CB1" s="211">
        <v>67</v>
      </c>
      <c r="CC1" s="211">
        <v>68</v>
      </c>
      <c r="CD1" s="211">
        <v>69</v>
      </c>
      <c r="CE1" s="211">
        <v>70</v>
      </c>
      <c r="CF1" s="211">
        <v>71</v>
      </c>
      <c r="CG1" s="211">
        <v>72</v>
      </c>
      <c r="CH1" s="211">
        <v>73</v>
      </c>
      <c r="CI1" s="211">
        <v>74</v>
      </c>
      <c r="CJ1" s="211">
        <v>75</v>
      </c>
    </row>
    <row r="2" spans="1:112" s="1" customFormat="1" ht="29.25" customHeight="1">
      <c r="A2" s="64"/>
      <c r="B2" s="52" t="s">
        <v>1152</v>
      </c>
      <c r="C2" s="52"/>
      <c r="D2" s="52"/>
      <c r="E2" s="52"/>
      <c r="F2" s="52"/>
      <c r="G2" s="52"/>
      <c r="L2" s="52"/>
      <c r="M2" s="506">
        <v>42116</v>
      </c>
      <c r="N2" s="505"/>
      <c r="O2" s="509"/>
      <c r="P2" s="510"/>
      <c r="Q2" s="510"/>
      <c r="R2" s="510"/>
      <c r="S2" s="510"/>
      <c r="T2" s="511"/>
      <c r="U2" s="16"/>
      <c r="V2" s="16"/>
      <c r="AB2" s="16"/>
      <c r="AC2" s="16"/>
      <c r="AD2" s="16"/>
      <c r="AJ2" s="16"/>
      <c r="AK2" s="16"/>
      <c r="AL2" s="16"/>
      <c r="AR2" s="16"/>
      <c r="AS2" s="16"/>
      <c r="AT2" s="16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035"/>
      <c r="CD2" s="2035"/>
      <c r="CE2" s="2035"/>
      <c r="CF2" s="2"/>
      <c r="CG2" s="2"/>
      <c r="CH2" s="2"/>
      <c r="CI2" s="2"/>
      <c r="CJ2" s="2"/>
      <c r="DF2" s="2035" t="s">
        <v>196</v>
      </c>
      <c r="DG2" s="2035"/>
      <c r="DH2" s="2035"/>
    </row>
    <row r="3" spans="1:112" s="1" customFormat="1" ht="11.25" customHeight="1">
      <c r="A3" s="64"/>
      <c r="B3" s="52" t="s">
        <v>1651</v>
      </c>
      <c r="C3" s="52"/>
      <c r="D3" s="52"/>
      <c r="E3" s="107"/>
      <c r="F3" s="107"/>
      <c r="G3" s="37"/>
      <c r="L3" s="52"/>
      <c r="M3" s="107"/>
      <c r="N3" s="107"/>
      <c r="O3" s="37"/>
      <c r="T3" s="17"/>
      <c r="U3" s="16"/>
      <c r="V3" s="16"/>
      <c r="AB3" s="17"/>
      <c r="AC3" s="16"/>
      <c r="AD3" s="16"/>
      <c r="AJ3" s="17"/>
      <c r="AK3" s="16"/>
      <c r="AL3" s="16"/>
      <c r="AR3" s="17"/>
      <c r="AS3" s="16"/>
      <c r="AT3" s="16"/>
      <c r="BM3" s="51"/>
      <c r="BN3" s="51"/>
      <c r="BO3" s="51"/>
      <c r="BU3" s="51"/>
      <c r="BV3" s="51"/>
      <c r="BW3" s="51"/>
      <c r="CC3" s="64"/>
      <c r="CD3" s="64"/>
      <c r="CE3" s="64"/>
      <c r="CF3" s="64"/>
      <c r="CG3" s="64"/>
      <c r="CI3" s="52"/>
      <c r="DF3" s="64"/>
      <c r="DG3" s="64"/>
      <c r="DH3" s="64"/>
    </row>
    <row r="4" spans="2:15" ht="11.25" customHeight="1">
      <c r="B4" s="83"/>
      <c r="C4" s="83"/>
      <c r="D4" s="83"/>
      <c r="E4" s="83"/>
      <c r="F4" s="83"/>
      <c r="G4" s="83"/>
      <c r="L4" s="83"/>
      <c r="M4" s="83"/>
      <c r="N4" s="83"/>
      <c r="O4" s="83"/>
    </row>
    <row r="5" spans="2:112" ht="14.25" customHeight="1">
      <c r="B5" s="33" t="s">
        <v>195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DF5" s="33"/>
      <c r="DG5" s="33"/>
      <c r="DH5" s="33"/>
    </row>
    <row r="6" spans="2:112" ht="15" customHeight="1">
      <c r="B6" s="308" t="s">
        <v>1445</v>
      </c>
      <c r="BB6" s="448"/>
      <c r="BC6" s="448"/>
      <c r="BD6" s="448"/>
      <c r="BE6" s="448"/>
      <c r="BF6" s="448"/>
      <c r="BG6" s="448"/>
      <c r="BH6" s="448"/>
      <c r="BI6" s="448"/>
      <c r="BJ6" s="448"/>
      <c r="BK6" s="448"/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BX6" s="448"/>
      <c r="BY6" s="448"/>
      <c r="BZ6" s="448"/>
      <c r="CA6" s="448"/>
      <c r="CB6" s="448"/>
      <c r="CC6" s="448"/>
      <c r="CD6" s="448"/>
      <c r="CE6" s="448"/>
      <c r="CF6" s="448"/>
      <c r="CG6" s="448"/>
      <c r="CH6" s="448"/>
      <c r="CI6" s="448"/>
      <c r="CJ6" s="448"/>
      <c r="DF6" s="448"/>
      <c r="DG6" s="448"/>
      <c r="DH6" s="448" t="s">
        <v>621</v>
      </c>
    </row>
    <row r="7" spans="1:112" s="1" customFormat="1" ht="11.25" customHeight="1">
      <c r="A7" s="64"/>
      <c r="B7" s="2006" t="s">
        <v>1008</v>
      </c>
      <c r="C7" s="2029" t="s">
        <v>1016</v>
      </c>
      <c r="D7" s="2032" t="s">
        <v>1005</v>
      </c>
      <c r="E7" s="2033"/>
      <c r="F7" s="2033"/>
      <c r="G7" s="2033"/>
      <c r="H7" s="2033"/>
      <c r="I7" s="2033"/>
      <c r="J7" s="2033"/>
      <c r="K7" s="2033"/>
      <c r="L7" s="2033"/>
      <c r="M7" s="2033"/>
      <c r="N7" s="2033"/>
      <c r="O7" s="2033"/>
      <c r="P7" s="2033"/>
      <c r="Q7" s="2033"/>
      <c r="R7" s="2033"/>
      <c r="S7" s="2033"/>
      <c r="T7" s="2033"/>
      <c r="U7" s="2033"/>
      <c r="V7" s="2033"/>
      <c r="W7" s="2033"/>
      <c r="X7" s="2033"/>
      <c r="Y7" s="2033"/>
      <c r="Z7" s="2033"/>
      <c r="AA7" s="2033"/>
      <c r="AB7" s="2033"/>
      <c r="AC7" s="2033"/>
      <c r="AD7" s="2033"/>
      <c r="AE7" s="2033"/>
      <c r="AF7" s="2033"/>
      <c r="AG7" s="2033"/>
      <c r="AH7" s="2033"/>
      <c r="AI7" s="2034"/>
      <c r="AJ7" s="2032" t="s">
        <v>1007</v>
      </c>
      <c r="AK7" s="2033"/>
      <c r="AL7" s="2033"/>
      <c r="AM7" s="2033"/>
      <c r="AN7" s="2033"/>
      <c r="AO7" s="2033"/>
      <c r="AP7" s="2033"/>
      <c r="AQ7" s="2033"/>
      <c r="AR7" s="2033"/>
      <c r="AS7" s="2033"/>
      <c r="AT7" s="2033"/>
      <c r="AU7" s="2033"/>
      <c r="AV7" s="2033"/>
      <c r="AW7" s="2033"/>
      <c r="AX7" s="2033"/>
      <c r="AY7" s="2033"/>
      <c r="AZ7" s="2033"/>
      <c r="BA7" s="2033"/>
      <c r="BB7" s="2033"/>
      <c r="BC7" s="2033"/>
      <c r="BD7" s="2033"/>
      <c r="BE7" s="2033"/>
      <c r="BF7" s="2033"/>
      <c r="BG7" s="2033"/>
      <c r="BH7" s="2033"/>
      <c r="BI7" s="2033"/>
      <c r="BJ7" s="2033"/>
      <c r="BK7" s="2033"/>
      <c r="BL7" s="2033"/>
      <c r="BM7" s="2033"/>
      <c r="BN7" s="2033"/>
      <c r="BO7" s="2033"/>
      <c r="BP7" s="2033"/>
      <c r="BQ7" s="2033"/>
      <c r="BR7" s="2033"/>
      <c r="BS7" s="2033"/>
      <c r="BT7" s="2033"/>
      <c r="BU7" s="2033"/>
      <c r="BV7" s="2033"/>
      <c r="BW7" s="2033"/>
      <c r="BX7" s="2033"/>
      <c r="BY7" s="2033"/>
      <c r="BZ7" s="2033"/>
      <c r="CA7" s="2033"/>
      <c r="CB7" s="2033"/>
      <c r="CC7" s="2033"/>
      <c r="CD7" s="2033"/>
      <c r="CE7" s="2033"/>
      <c r="CF7" s="2033"/>
      <c r="CG7" s="2033"/>
      <c r="CH7" s="2033"/>
      <c r="CI7" s="2033"/>
      <c r="CJ7" s="2033"/>
      <c r="CK7" s="2033"/>
      <c r="CL7" s="2033"/>
      <c r="CM7" s="2033"/>
      <c r="CN7" s="2033"/>
      <c r="CO7" s="2033"/>
      <c r="CP7" s="2033"/>
      <c r="CQ7" s="2033"/>
      <c r="CR7" s="2033"/>
      <c r="CS7" s="2033"/>
      <c r="CT7" s="2033"/>
      <c r="CU7" s="2033"/>
      <c r="CV7" s="2033"/>
      <c r="CW7" s="2033"/>
      <c r="CX7" s="2033"/>
      <c r="CY7" s="2033"/>
      <c r="CZ7" s="2033"/>
      <c r="DA7" s="2033"/>
      <c r="DB7" s="2033"/>
      <c r="DC7" s="2033"/>
      <c r="DD7" s="2033"/>
      <c r="DE7" s="2033"/>
      <c r="DF7" s="2033"/>
      <c r="DG7" s="2033"/>
      <c r="DH7" s="2034"/>
    </row>
    <row r="8" spans="1:117" s="1" customFormat="1" ht="15" customHeight="1">
      <c r="A8" s="64"/>
      <c r="B8" s="2007"/>
      <c r="C8" s="2010"/>
      <c r="D8" s="2029" t="s">
        <v>197</v>
      </c>
      <c r="E8" s="2030"/>
      <c r="F8" s="2030"/>
      <c r="G8" s="2030"/>
      <c r="H8" s="2030"/>
      <c r="I8" s="2030"/>
      <c r="J8" s="2030"/>
      <c r="K8" s="2020"/>
      <c r="L8" s="2029" t="s">
        <v>1788</v>
      </c>
      <c r="M8" s="2030"/>
      <c r="N8" s="2030"/>
      <c r="O8" s="2030"/>
      <c r="P8" s="2030"/>
      <c r="Q8" s="2030"/>
      <c r="R8" s="2030"/>
      <c r="S8" s="2020"/>
      <c r="T8" s="2029" t="s">
        <v>1153</v>
      </c>
      <c r="U8" s="2030"/>
      <c r="V8" s="2030"/>
      <c r="W8" s="2030"/>
      <c r="X8" s="2030"/>
      <c r="Y8" s="2030"/>
      <c r="Z8" s="2030"/>
      <c r="AA8" s="2020"/>
      <c r="AB8" s="2029" t="s">
        <v>813</v>
      </c>
      <c r="AC8" s="2030"/>
      <c r="AD8" s="2030"/>
      <c r="AE8" s="2030"/>
      <c r="AF8" s="2030"/>
      <c r="AG8" s="2030"/>
      <c r="AH8" s="2030"/>
      <c r="AI8" s="2020"/>
      <c r="AJ8" s="2024" t="s">
        <v>465</v>
      </c>
      <c r="AK8" s="2025"/>
      <c r="AL8" s="2025"/>
      <c r="AM8" s="2025"/>
      <c r="AN8" s="2025"/>
      <c r="AO8" s="2025"/>
      <c r="AP8" s="2025"/>
      <c r="AQ8" s="2025"/>
      <c r="AR8" s="2025"/>
      <c r="AS8" s="2025"/>
      <c r="AT8" s="2025"/>
      <c r="AU8" s="2025"/>
      <c r="AV8" s="2025"/>
      <c r="AW8" s="2025"/>
      <c r="AX8" s="2025"/>
      <c r="AY8" s="2025"/>
      <c r="AZ8" s="2025"/>
      <c r="BA8" s="2025"/>
      <c r="BB8" s="2025"/>
      <c r="BC8" s="2025"/>
      <c r="BD8" s="2025"/>
      <c r="BE8" s="2025"/>
      <c r="BF8" s="2025"/>
      <c r="BG8" s="2026"/>
      <c r="BH8" s="2025"/>
      <c r="BI8" s="2025"/>
      <c r="BJ8" s="2025"/>
      <c r="BK8" s="2025"/>
      <c r="BL8" s="2026"/>
      <c r="BM8" s="2024" t="s">
        <v>1489</v>
      </c>
      <c r="BN8" s="2025"/>
      <c r="BO8" s="2025"/>
      <c r="BP8" s="2025"/>
      <c r="BQ8" s="2025"/>
      <c r="BR8" s="2025"/>
      <c r="BS8" s="2025"/>
      <c r="BT8" s="2025"/>
      <c r="BU8" s="2025"/>
      <c r="BV8" s="2025"/>
      <c r="BW8" s="2025"/>
      <c r="BX8" s="2025"/>
      <c r="BY8" s="2025"/>
      <c r="BZ8" s="2025"/>
      <c r="CA8" s="2025"/>
      <c r="CB8" s="2025"/>
      <c r="CC8" s="2025"/>
      <c r="CD8" s="2025"/>
      <c r="CE8" s="2025"/>
      <c r="CF8" s="2025"/>
      <c r="CG8" s="2025"/>
      <c r="CH8" s="2025"/>
      <c r="CI8" s="2025"/>
      <c r="CJ8" s="2026"/>
      <c r="CK8" s="2012"/>
      <c r="CL8" s="2012"/>
      <c r="CM8" s="2012"/>
      <c r="CN8" s="2012"/>
      <c r="CO8" s="2012"/>
      <c r="CP8" s="2024" t="s">
        <v>814</v>
      </c>
      <c r="CQ8" s="2025"/>
      <c r="CR8" s="2025"/>
      <c r="CS8" s="2025"/>
      <c r="CT8" s="2025"/>
      <c r="CU8" s="2025"/>
      <c r="CV8" s="2025"/>
      <c r="CW8" s="2025"/>
      <c r="CX8" s="2025"/>
      <c r="CY8" s="2025"/>
      <c r="CZ8" s="2025"/>
      <c r="DA8" s="2025"/>
      <c r="DB8" s="2025"/>
      <c r="DC8" s="2025"/>
      <c r="DD8" s="2025"/>
      <c r="DE8" s="2025"/>
      <c r="DF8" s="2025"/>
      <c r="DG8" s="2025"/>
      <c r="DH8" s="2025"/>
      <c r="DI8" s="2025"/>
      <c r="DJ8" s="2025"/>
      <c r="DK8" s="2025"/>
      <c r="DL8" s="2025"/>
      <c r="DM8" s="2026"/>
    </row>
    <row r="9" spans="1:117" s="1" customFormat="1" ht="12.75" customHeight="1">
      <c r="A9" s="64"/>
      <c r="B9" s="2007"/>
      <c r="C9" s="2010"/>
      <c r="D9" s="2021"/>
      <c r="E9" s="2022"/>
      <c r="F9" s="2022"/>
      <c r="G9" s="2022"/>
      <c r="H9" s="2022"/>
      <c r="I9" s="2022"/>
      <c r="J9" s="2022"/>
      <c r="K9" s="2023"/>
      <c r="L9" s="2021"/>
      <c r="M9" s="2022"/>
      <c r="N9" s="2022"/>
      <c r="O9" s="2022"/>
      <c r="P9" s="2022"/>
      <c r="Q9" s="2022"/>
      <c r="R9" s="2022"/>
      <c r="S9" s="2023"/>
      <c r="T9" s="2021"/>
      <c r="U9" s="2022"/>
      <c r="V9" s="2022"/>
      <c r="W9" s="2022"/>
      <c r="X9" s="2022"/>
      <c r="Y9" s="2022"/>
      <c r="Z9" s="2022"/>
      <c r="AA9" s="2023"/>
      <c r="AB9" s="2021"/>
      <c r="AC9" s="2022"/>
      <c r="AD9" s="2022"/>
      <c r="AE9" s="2022"/>
      <c r="AF9" s="2022"/>
      <c r="AG9" s="2022"/>
      <c r="AH9" s="2022"/>
      <c r="AI9" s="2023"/>
      <c r="AJ9" s="2024" t="s">
        <v>142</v>
      </c>
      <c r="AK9" s="2025"/>
      <c r="AL9" s="2025"/>
      <c r="AM9" s="2025"/>
      <c r="AN9" s="2025"/>
      <c r="AO9" s="2025"/>
      <c r="AP9" s="2025"/>
      <c r="AQ9" s="2026"/>
      <c r="AR9" s="2005" t="s">
        <v>707</v>
      </c>
      <c r="AS9" s="2005"/>
      <c r="AT9" s="2005"/>
      <c r="AU9" s="2005"/>
      <c r="AV9" s="2005"/>
      <c r="AW9" s="2005"/>
      <c r="AX9" s="2005"/>
      <c r="AY9" s="2005"/>
      <c r="AZ9" s="2024" t="s">
        <v>708</v>
      </c>
      <c r="BA9" s="2025"/>
      <c r="BB9" s="2025"/>
      <c r="BC9" s="2025"/>
      <c r="BD9" s="2025"/>
      <c r="BE9" s="2025"/>
      <c r="BF9" s="2025"/>
      <c r="BG9" s="2026"/>
      <c r="BH9" s="2025"/>
      <c r="BI9" s="2025"/>
      <c r="BJ9" s="2025"/>
      <c r="BK9" s="2025"/>
      <c r="BL9" s="2026"/>
      <c r="BM9" s="2011" t="s">
        <v>142</v>
      </c>
      <c r="BN9" s="2012"/>
      <c r="BO9" s="2012"/>
      <c r="BP9" s="2012"/>
      <c r="BQ9" s="2012"/>
      <c r="BR9" s="2012"/>
      <c r="BS9" s="2012"/>
      <c r="BT9" s="2016"/>
      <c r="BU9" s="2011" t="s">
        <v>707</v>
      </c>
      <c r="BV9" s="2012"/>
      <c r="BW9" s="2012"/>
      <c r="BX9" s="2012"/>
      <c r="BY9" s="2012"/>
      <c r="BZ9" s="2012"/>
      <c r="CA9" s="2012"/>
      <c r="CB9" s="2016"/>
      <c r="CC9" s="2011" t="s">
        <v>708</v>
      </c>
      <c r="CD9" s="2012"/>
      <c r="CE9" s="2012"/>
      <c r="CF9" s="2012"/>
      <c r="CG9" s="2012"/>
      <c r="CH9" s="2012"/>
      <c r="CI9" s="2012"/>
      <c r="CJ9" s="2012"/>
      <c r="CK9" s="2012"/>
      <c r="CL9" s="2012"/>
      <c r="CM9" s="2012"/>
      <c r="CN9" s="2012"/>
      <c r="CO9" s="2012"/>
      <c r="CP9" s="2011" t="s">
        <v>142</v>
      </c>
      <c r="CQ9" s="2012"/>
      <c r="CR9" s="2012"/>
      <c r="CS9" s="2012"/>
      <c r="CT9" s="2012"/>
      <c r="CU9" s="2012"/>
      <c r="CV9" s="2012"/>
      <c r="CW9" s="2016"/>
      <c r="CX9" s="2011" t="s">
        <v>707</v>
      </c>
      <c r="CY9" s="2012"/>
      <c r="CZ9" s="2012"/>
      <c r="DA9" s="2012"/>
      <c r="DB9" s="2012"/>
      <c r="DC9" s="2012"/>
      <c r="DD9" s="2012"/>
      <c r="DE9" s="2016"/>
      <c r="DF9" s="2011" t="s">
        <v>708</v>
      </c>
      <c r="DG9" s="2012"/>
      <c r="DH9" s="2012"/>
      <c r="DI9" s="2012"/>
      <c r="DJ9" s="2012"/>
      <c r="DK9" s="2012"/>
      <c r="DL9" s="2012"/>
      <c r="DM9" s="2012"/>
    </row>
    <row r="10" spans="1:117" s="1" customFormat="1" ht="12.75">
      <c r="A10" s="64"/>
      <c r="B10" s="2008"/>
      <c r="C10" s="2010"/>
      <c r="D10" s="2036" t="s">
        <v>1022</v>
      </c>
      <c r="E10" s="2013" t="s">
        <v>1032</v>
      </c>
      <c r="F10" s="2014"/>
      <c r="G10" s="2014"/>
      <c r="H10" s="2014"/>
      <c r="I10" s="2014"/>
      <c r="J10" s="2014"/>
      <c r="K10" s="2015"/>
      <c r="L10" s="2036" t="s">
        <v>1022</v>
      </c>
      <c r="M10" s="2013" t="s">
        <v>1032</v>
      </c>
      <c r="N10" s="2014"/>
      <c r="O10" s="2014"/>
      <c r="P10" s="2014"/>
      <c r="Q10" s="2014"/>
      <c r="R10" s="2014"/>
      <c r="S10" s="2015"/>
      <c r="T10" s="2036" t="s">
        <v>1022</v>
      </c>
      <c r="U10" s="2013" t="s">
        <v>1032</v>
      </c>
      <c r="V10" s="2014"/>
      <c r="W10" s="2014"/>
      <c r="X10" s="2014"/>
      <c r="Y10" s="2014"/>
      <c r="Z10" s="2014"/>
      <c r="AA10" s="2015"/>
      <c r="AB10" s="2036" t="s">
        <v>1022</v>
      </c>
      <c r="AC10" s="2013" t="s">
        <v>1032</v>
      </c>
      <c r="AD10" s="2014"/>
      <c r="AE10" s="2014"/>
      <c r="AF10" s="2014"/>
      <c r="AG10" s="2014"/>
      <c r="AH10" s="2014"/>
      <c r="AI10" s="2015"/>
      <c r="AJ10" s="2036" t="s">
        <v>1022</v>
      </c>
      <c r="AK10" s="2013" t="s">
        <v>1032</v>
      </c>
      <c r="AL10" s="2014"/>
      <c r="AM10" s="2014"/>
      <c r="AN10" s="2014"/>
      <c r="AO10" s="2014"/>
      <c r="AP10" s="2014"/>
      <c r="AQ10" s="2015"/>
      <c r="AR10" s="2036" t="s">
        <v>1022</v>
      </c>
      <c r="AS10" s="2013" t="s">
        <v>1032</v>
      </c>
      <c r="AT10" s="2014"/>
      <c r="AU10" s="2014"/>
      <c r="AV10" s="2014"/>
      <c r="AW10" s="2014"/>
      <c r="AX10" s="2014"/>
      <c r="AY10" s="2015"/>
      <c r="AZ10" s="2036" t="s">
        <v>1022</v>
      </c>
      <c r="BA10" s="2013" t="s">
        <v>1032</v>
      </c>
      <c r="BB10" s="2014"/>
      <c r="BC10" s="2014"/>
      <c r="BD10" s="2014"/>
      <c r="BE10" s="2014"/>
      <c r="BF10" s="2014"/>
      <c r="BG10" s="2015"/>
      <c r="BH10" s="2014"/>
      <c r="BI10" s="2014"/>
      <c r="BJ10" s="2014"/>
      <c r="BK10" s="2014"/>
      <c r="BL10" s="2015"/>
      <c r="BM10" s="2036" t="s">
        <v>1022</v>
      </c>
      <c r="BN10" s="2043" t="s">
        <v>1032</v>
      </c>
      <c r="BO10" s="2031"/>
      <c r="BP10" s="2031"/>
      <c r="BQ10" s="2031"/>
      <c r="BR10" s="2031"/>
      <c r="BS10" s="2031"/>
      <c r="BT10" s="2028"/>
      <c r="BU10" s="2036" t="s">
        <v>1022</v>
      </c>
      <c r="BV10" s="2043" t="s">
        <v>1032</v>
      </c>
      <c r="BW10" s="2031"/>
      <c r="BX10" s="2031"/>
      <c r="BY10" s="2031"/>
      <c r="BZ10" s="2031"/>
      <c r="CA10" s="2031"/>
      <c r="CB10" s="2028"/>
      <c r="CC10" s="2036" t="s">
        <v>1022</v>
      </c>
      <c r="CD10" s="2043" t="s">
        <v>1032</v>
      </c>
      <c r="CE10" s="2031"/>
      <c r="CF10" s="2031"/>
      <c r="CG10" s="2031"/>
      <c r="CH10" s="2031"/>
      <c r="CI10" s="2031"/>
      <c r="CJ10" s="2031"/>
      <c r="CK10" s="2031"/>
      <c r="CL10" s="2031"/>
      <c r="CM10" s="2031"/>
      <c r="CN10" s="2031"/>
      <c r="CO10" s="2031"/>
      <c r="CP10" s="2036" t="s">
        <v>1022</v>
      </c>
      <c r="CQ10" s="2043" t="s">
        <v>1032</v>
      </c>
      <c r="CR10" s="2031"/>
      <c r="CS10" s="2031"/>
      <c r="CT10" s="2031"/>
      <c r="CU10" s="2031"/>
      <c r="CV10" s="2031"/>
      <c r="CW10" s="2028"/>
      <c r="CX10" s="2036" t="s">
        <v>1022</v>
      </c>
      <c r="CY10" s="2043" t="s">
        <v>1032</v>
      </c>
      <c r="CZ10" s="2031"/>
      <c r="DA10" s="2031"/>
      <c r="DB10" s="2031"/>
      <c r="DC10" s="2031"/>
      <c r="DD10" s="2031"/>
      <c r="DE10" s="2028"/>
      <c r="DF10" s="2036" t="s">
        <v>1022</v>
      </c>
      <c r="DG10" s="2043" t="s">
        <v>1032</v>
      </c>
      <c r="DH10" s="2031"/>
      <c r="DI10" s="2031"/>
      <c r="DJ10" s="2031"/>
      <c r="DK10" s="2031"/>
      <c r="DL10" s="2031"/>
      <c r="DM10" s="2031"/>
    </row>
    <row r="11" spans="1:117" s="1" customFormat="1" ht="15.75" customHeight="1">
      <c r="A11" s="64"/>
      <c r="B11" s="2008"/>
      <c r="C11" s="2010"/>
      <c r="D11" s="2037"/>
      <c r="E11" s="2017" t="s">
        <v>703</v>
      </c>
      <c r="F11" s="2017" t="s">
        <v>1313</v>
      </c>
      <c r="G11" s="2013" t="s">
        <v>1032</v>
      </c>
      <c r="H11" s="2014"/>
      <c r="I11" s="2014"/>
      <c r="J11" s="2014"/>
      <c r="K11" s="2015"/>
      <c r="L11" s="2037"/>
      <c r="M11" s="2017" t="s">
        <v>703</v>
      </c>
      <c r="N11" s="2017" t="s">
        <v>1313</v>
      </c>
      <c r="O11" s="2013" t="s">
        <v>1032</v>
      </c>
      <c r="P11" s="2014"/>
      <c r="Q11" s="2014"/>
      <c r="R11" s="2014"/>
      <c r="S11" s="2015"/>
      <c r="T11" s="2037"/>
      <c r="U11" s="2017" t="s">
        <v>703</v>
      </c>
      <c r="V11" s="2019" t="s">
        <v>1313</v>
      </c>
      <c r="W11" s="2013" t="s">
        <v>1032</v>
      </c>
      <c r="X11" s="2014"/>
      <c r="Y11" s="2014"/>
      <c r="Z11" s="2014"/>
      <c r="AA11" s="2015"/>
      <c r="AB11" s="2037"/>
      <c r="AC11" s="2017" t="s">
        <v>664</v>
      </c>
      <c r="AD11" s="2017" t="s">
        <v>1313</v>
      </c>
      <c r="AE11" s="2013" t="s">
        <v>1032</v>
      </c>
      <c r="AF11" s="2014"/>
      <c r="AG11" s="2014"/>
      <c r="AH11" s="2014"/>
      <c r="AI11" s="2015"/>
      <c r="AJ11" s="2037"/>
      <c r="AK11" s="2017" t="s">
        <v>703</v>
      </c>
      <c r="AL11" s="2017" t="s">
        <v>1313</v>
      </c>
      <c r="AM11" s="2013" t="s">
        <v>1032</v>
      </c>
      <c r="AN11" s="2014"/>
      <c r="AO11" s="2014"/>
      <c r="AP11" s="2014"/>
      <c r="AQ11" s="2015"/>
      <c r="AR11" s="2037"/>
      <c r="AS11" s="2017" t="s">
        <v>664</v>
      </c>
      <c r="AT11" s="2017" t="s">
        <v>1313</v>
      </c>
      <c r="AU11" s="2013" t="s">
        <v>1032</v>
      </c>
      <c r="AV11" s="2014"/>
      <c r="AW11" s="2014"/>
      <c r="AX11" s="2014"/>
      <c r="AY11" s="2015"/>
      <c r="AZ11" s="2037"/>
      <c r="BA11" s="2017" t="s">
        <v>664</v>
      </c>
      <c r="BB11" s="2017" t="s">
        <v>1313</v>
      </c>
      <c r="BC11" s="2013" t="s">
        <v>1032</v>
      </c>
      <c r="BD11" s="2014"/>
      <c r="BE11" s="2014"/>
      <c r="BF11" s="2014"/>
      <c r="BG11" s="2015"/>
      <c r="BH11" s="2013" t="s">
        <v>1032</v>
      </c>
      <c r="BI11" s="2014"/>
      <c r="BJ11" s="2014"/>
      <c r="BK11" s="2014"/>
      <c r="BL11" s="2015"/>
      <c r="BM11" s="2037"/>
      <c r="BN11" s="2039" t="s">
        <v>664</v>
      </c>
      <c r="BO11" s="2039" t="s">
        <v>1313</v>
      </c>
      <c r="BP11" s="2043" t="s">
        <v>1032</v>
      </c>
      <c r="BQ11" s="2031"/>
      <c r="BR11" s="2031"/>
      <c r="BS11" s="2031"/>
      <c r="BT11" s="2028"/>
      <c r="BU11" s="2037"/>
      <c r="BV11" s="2039" t="s">
        <v>703</v>
      </c>
      <c r="BW11" s="2039" t="s">
        <v>1313</v>
      </c>
      <c r="BX11" s="2043" t="s">
        <v>1032</v>
      </c>
      <c r="BY11" s="2031"/>
      <c r="BZ11" s="2031"/>
      <c r="CA11" s="2031"/>
      <c r="CB11" s="2028"/>
      <c r="CC11" s="2037"/>
      <c r="CD11" s="2039" t="s">
        <v>703</v>
      </c>
      <c r="CE11" s="2039" t="s">
        <v>1313</v>
      </c>
      <c r="CF11" s="2043" t="s">
        <v>1032</v>
      </c>
      <c r="CG11" s="2031"/>
      <c r="CH11" s="2031"/>
      <c r="CI11" s="2031"/>
      <c r="CJ11" s="2031"/>
      <c r="CK11" s="2043" t="s">
        <v>1032</v>
      </c>
      <c r="CL11" s="2031"/>
      <c r="CM11" s="2031"/>
      <c r="CN11" s="2031"/>
      <c r="CO11" s="2031"/>
      <c r="CP11" s="2037"/>
      <c r="CQ11" s="2039" t="s">
        <v>664</v>
      </c>
      <c r="CR11" s="2039" t="s">
        <v>1313</v>
      </c>
      <c r="CS11" s="2043" t="s">
        <v>1032</v>
      </c>
      <c r="CT11" s="2031"/>
      <c r="CU11" s="2031"/>
      <c r="CV11" s="2031"/>
      <c r="CW11" s="2028"/>
      <c r="CX11" s="2037"/>
      <c r="CY11" s="2039" t="s">
        <v>703</v>
      </c>
      <c r="CZ11" s="2039" t="s">
        <v>1313</v>
      </c>
      <c r="DA11" s="2043" t="s">
        <v>1032</v>
      </c>
      <c r="DB11" s="2031"/>
      <c r="DC11" s="2031"/>
      <c r="DD11" s="2031"/>
      <c r="DE11" s="2028"/>
      <c r="DF11" s="2037"/>
      <c r="DG11" s="2039" t="s">
        <v>703</v>
      </c>
      <c r="DH11" s="2039" t="s">
        <v>1313</v>
      </c>
      <c r="DI11" s="2043" t="s">
        <v>1032</v>
      </c>
      <c r="DJ11" s="2031"/>
      <c r="DK11" s="2031"/>
      <c r="DL11" s="2031"/>
      <c r="DM11" s="2031"/>
    </row>
    <row r="12" spans="1:117" s="1" customFormat="1" ht="45" customHeight="1">
      <c r="A12" s="64"/>
      <c r="B12" s="2009"/>
      <c r="C12" s="2021"/>
      <c r="D12" s="2038"/>
      <c r="E12" s="2018"/>
      <c r="F12" s="2018"/>
      <c r="G12" s="3" t="s">
        <v>76</v>
      </c>
      <c r="H12" s="3" t="s">
        <v>77</v>
      </c>
      <c r="I12" s="3" t="s">
        <v>32</v>
      </c>
      <c r="J12" s="3" t="s">
        <v>33</v>
      </c>
      <c r="K12" s="3" t="s">
        <v>34</v>
      </c>
      <c r="L12" s="2038"/>
      <c r="M12" s="2018"/>
      <c r="N12" s="2018"/>
      <c r="O12" s="3" t="s">
        <v>76</v>
      </c>
      <c r="P12" s="3" t="s">
        <v>77</v>
      </c>
      <c r="Q12" s="3" t="s">
        <v>32</v>
      </c>
      <c r="R12" s="3" t="s">
        <v>33</v>
      </c>
      <c r="S12" s="3" t="s">
        <v>34</v>
      </c>
      <c r="T12" s="2038"/>
      <c r="U12" s="2018"/>
      <c r="V12" s="2004"/>
      <c r="W12" s="3" t="s">
        <v>617</v>
      </c>
      <c r="X12" s="3" t="s">
        <v>618</v>
      </c>
      <c r="Y12" s="3" t="s">
        <v>619</v>
      </c>
      <c r="Z12" s="3" t="s">
        <v>620</v>
      </c>
      <c r="AA12" s="3" t="s">
        <v>600</v>
      </c>
      <c r="AB12" s="2038"/>
      <c r="AC12" s="2018"/>
      <c r="AD12" s="2018"/>
      <c r="AE12" s="3" t="s">
        <v>617</v>
      </c>
      <c r="AF12" s="3" t="s">
        <v>618</v>
      </c>
      <c r="AG12" s="3" t="s">
        <v>619</v>
      </c>
      <c r="AH12" s="3" t="s">
        <v>620</v>
      </c>
      <c r="AI12" s="3" t="s">
        <v>600</v>
      </c>
      <c r="AJ12" s="2038"/>
      <c r="AK12" s="2018"/>
      <c r="AL12" s="2018"/>
      <c r="AM12" s="3" t="s">
        <v>617</v>
      </c>
      <c r="AN12" s="3" t="s">
        <v>618</v>
      </c>
      <c r="AO12" s="3" t="s">
        <v>619</v>
      </c>
      <c r="AP12" s="3" t="s">
        <v>620</v>
      </c>
      <c r="AQ12" s="3" t="s">
        <v>600</v>
      </c>
      <c r="AR12" s="2038"/>
      <c r="AS12" s="2018"/>
      <c r="AT12" s="2018"/>
      <c r="AU12" s="3" t="s">
        <v>617</v>
      </c>
      <c r="AV12" s="3" t="s">
        <v>618</v>
      </c>
      <c r="AW12" s="3" t="s">
        <v>619</v>
      </c>
      <c r="AX12" s="3" t="s">
        <v>620</v>
      </c>
      <c r="AY12" s="3" t="s">
        <v>600</v>
      </c>
      <c r="AZ12" s="2038"/>
      <c r="BA12" s="2018"/>
      <c r="BB12" s="2018"/>
      <c r="BC12" s="3" t="s">
        <v>617</v>
      </c>
      <c r="BD12" s="3" t="s">
        <v>618</v>
      </c>
      <c r="BE12" s="3" t="s">
        <v>619</v>
      </c>
      <c r="BF12" s="3" t="s">
        <v>620</v>
      </c>
      <c r="BG12" s="3" t="s">
        <v>600</v>
      </c>
      <c r="BH12" s="3" t="s">
        <v>617</v>
      </c>
      <c r="BI12" s="3" t="s">
        <v>618</v>
      </c>
      <c r="BJ12" s="3" t="s">
        <v>619</v>
      </c>
      <c r="BK12" s="3" t="s">
        <v>620</v>
      </c>
      <c r="BL12" s="3" t="s">
        <v>600</v>
      </c>
      <c r="BM12" s="2038"/>
      <c r="BN12" s="2027"/>
      <c r="BO12" s="2027"/>
      <c r="BP12" s="365" t="s">
        <v>617</v>
      </c>
      <c r="BQ12" s="365" t="s">
        <v>618</v>
      </c>
      <c r="BR12" s="365" t="s">
        <v>619</v>
      </c>
      <c r="BS12" s="365" t="s">
        <v>620</v>
      </c>
      <c r="BT12" s="365" t="s">
        <v>600</v>
      </c>
      <c r="BU12" s="2038"/>
      <c r="BV12" s="2027"/>
      <c r="BW12" s="2027"/>
      <c r="BX12" s="365" t="s">
        <v>617</v>
      </c>
      <c r="BY12" s="365" t="s">
        <v>618</v>
      </c>
      <c r="BZ12" s="365" t="s">
        <v>619</v>
      </c>
      <c r="CA12" s="365" t="s">
        <v>620</v>
      </c>
      <c r="CB12" s="365" t="s">
        <v>600</v>
      </c>
      <c r="CC12" s="2038"/>
      <c r="CD12" s="2027"/>
      <c r="CE12" s="2027"/>
      <c r="CF12" s="365" t="s">
        <v>617</v>
      </c>
      <c r="CG12" s="365" t="s">
        <v>618</v>
      </c>
      <c r="CH12" s="365" t="s">
        <v>619</v>
      </c>
      <c r="CI12" s="365" t="s">
        <v>620</v>
      </c>
      <c r="CJ12" s="366" t="s">
        <v>600</v>
      </c>
      <c r="CK12" s="365" t="s">
        <v>617</v>
      </c>
      <c r="CL12" s="365" t="s">
        <v>618</v>
      </c>
      <c r="CM12" s="365" t="s">
        <v>619</v>
      </c>
      <c r="CN12" s="365" t="s">
        <v>620</v>
      </c>
      <c r="CO12" s="366" t="s">
        <v>600</v>
      </c>
      <c r="CP12" s="2038"/>
      <c r="CQ12" s="2027"/>
      <c r="CR12" s="2027"/>
      <c r="CS12" s="365" t="s">
        <v>617</v>
      </c>
      <c r="CT12" s="365" t="s">
        <v>618</v>
      </c>
      <c r="CU12" s="365" t="s">
        <v>619</v>
      </c>
      <c r="CV12" s="365" t="s">
        <v>620</v>
      </c>
      <c r="CW12" s="365" t="s">
        <v>600</v>
      </c>
      <c r="CX12" s="2038"/>
      <c r="CY12" s="2027"/>
      <c r="CZ12" s="2027"/>
      <c r="DA12" s="365" t="s">
        <v>617</v>
      </c>
      <c r="DB12" s="365" t="s">
        <v>618</v>
      </c>
      <c r="DC12" s="365" t="s">
        <v>619</v>
      </c>
      <c r="DD12" s="365" t="s">
        <v>620</v>
      </c>
      <c r="DE12" s="365" t="s">
        <v>600</v>
      </c>
      <c r="DF12" s="2038"/>
      <c r="DG12" s="2027"/>
      <c r="DH12" s="2027"/>
      <c r="DI12" s="365" t="s">
        <v>617</v>
      </c>
      <c r="DJ12" s="365" t="s">
        <v>618</v>
      </c>
      <c r="DK12" s="365" t="s">
        <v>619</v>
      </c>
      <c r="DL12" s="365" t="s">
        <v>620</v>
      </c>
      <c r="DM12" s="366" t="s">
        <v>600</v>
      </c>
    </row>
    <row r="13" spans="1:117" s="1" customFormat="1" ht="12.75">
      <c r="A13" s="64"/>
      <c r="B13" s="4">
        <v>1</v>
      </c>
      <c r="C13" s="5">
        <v>2</v>
      </c>
      <c r="D13" s="4">
        <v>3</v>
      </c>
      <c r="E13" s="5">
        <v>4</v>
      </c>
      <c r="F13" s="4">
        <v>5</v>
      </c>
      <c r="G13" s="5">
        <v>6</v>
      </c>
      <c r="H13" s="4">
        <v>7</v>
      </c>
      <c r="I13" s="5">
        <v>8</v>
      </c>
      <c r="J13" s="4">
        <v>9</v>
      </c>
      <c r="K13" s="5">
        <v>10</v>
      </c>
      <c r="L13" s="4">
        <v>11</v>
      </c>
      <c r="M13" s="5">
        <v>12</v>
      </c>
      <c r="N13" s="4">
        <v>13</v>
      </c>
      <c r="O13" s="5">
        <v>14</v>
      </c>
      <c r="P13" s="4">
        <v>15</v>
      </c>
      <c r="Q13" s="5">
        <v>16</v>
      </c>
      <c r="R13" s="4">
        <v>17</v>
      </c>
      <c r="S13" s="5">
        <v>18</v>
      </c>
      <c r="T13" s="797">
        <v>19</v>
      </c>
      <c r="U13" s="5">
        <v>20</v>
      </c>
      <c r="V13" s="512">
        <v>21</v>
      </c>
      <c r="W13" s="5">
        <v>22</v>
      </c>
      <c r="X13" s="4">
        <v>23</v>
      </c>
      <c r="Y13" s="5">
        <v>24</v>
      </c>
      <c r="Z13" s="4">
        <v>25</v>
      </c>
      <c r="AA13" s="5">
        <v>26</v>
      </c>
      <c r="AB13" s="797">
        <v>27</v>
      </c>
      <c r="AC13" s="5">
        <v>28</v>
      </c>
      <c r="AD13" s="4">
        <v>29</v>
      </c>
      <c r="AE13" s="5">
        <v>30</v>
      </c>
      <c r="AF13" s="4">
        <v>31</v>
      </c>
      <c r="AG13" s="5">
        <v>32</v>
      </c>
      <c r="AH13" s="4">
        <v>33</v>
      </c>
      <c r="AI13" s="5">
        <v>34</v>
      </c>
      <c r="AJ13" s="4">
        <v>35</v>
      </c>
      <c r="AK13" s="5">
        <v>36</v>
      </c>
      <c r="AL13" s="4">
        <v>37</v>
      </c>
      <c r="AM13" s="5">
        <v>38</v>
      </c>
      <c r="AN13" s="4">
        <v>39</v>
      </c>
      <c r="AO13" s="5">
        <v>40</v>
      </c>
      <c r="AP13" s="4">
        <v>41</v>
      </c>
      <c r="AQ13" s="5">
        <v>42</v>
      </c>
      <c r="AR13" s="4">
        <v>43</v>
      </c>
      <c r="AS13" s="5">
        <v>44</v>
      </c>
      <c r="AT13" s="4">
        <v>45</v>
      </c>
      <c r="AU13" s="5">
        <v>46</v>
      </c>
      <c r="AV13" s="4">
        <v>47</v>
      </c>
      <c r="AW13" s="5">
        <v>48</v>
      </c>
      <c r="AX13" s="4">
        <v>49</v>
      </c>
      <c r="AY13" s="5">
        <v>50</v>
      </c>
      <c r="AZ13" s="797">
        <v>51</v>
      </c>
      <c r="BA13" s="5">
        <v>52</v>
      </c>
      <c r="BB13" s="4">
        <v>53</v>
      </c>
      <c r="BC13" s="5">
        <v>54</v>
      </c>
      <c r="BD13" s="4">
        <v>55</v>
      </c>
      <c r="BE13" s="5">
        <v>56</v>
      </c>
      <c r="BF13" s="4">
        <v>57</v>
      </c>
      <c r="BG13" s="5">
        <v>58</v>
      </c>
      <c r="BH13" s="5">
        <v>54</v>
      </c>
      <c r="BI13" s="4">
        <v>55</v>
      </c>
      <c r="BJ13" s="5">
        <v>56</v>
      </c>
      <c r="BK13" s="4">
        <v>57</v>
      </c>
      <c r="BL13" s="5">
        <v>58</v>
      </c>
      <c r="BM13" s="797">
        <v>59</v>
      </c>
      <c r="BN13" s="364">
        <v>60</v>
      </c>
      <c r="BO13" s="32">
        <v>61</v>
      </c>
      <c r="BP13" s="364">
        <v>62</v>
      </c>
      <c r="BQ13" s="32">
        <v>63</v>
      </c>
      <c r="BR13" s="364">
        <v>64</v>
      </c>
      <c r="BS13" s="32">
        <v>65</v>
      </c>
      <c r="BT13" s="364">
        <v>66</v>
      </c>
      <c r="BU13" s="797">
        <v>67</v>
      </c>
      <c r="BV13" s="364">
        <v>68</v>
      </c>
      <c r="BW13" s="32">
        <v>69</v>
      </c>
      <c r="BX13" s="364">
        <v>70</v>
      </c>
      <c r="BY13" s="32">
        <v>71</v>
      </c>
      <c r="BZ13" s="364">
        <v>72</v>
      </c>
      <c r="CA13" s="32">
        <v>73</v>
      </c>
      <c r="CB13" s="364">
        <v>74</v>
      </c>
      <c r="CC13" s="797">
        <v>75</v>
      </c>
      <c r="CD13" s="364">
        <v>76</v>
      </c>
      <c r="CE13" s="32">
        <v>77</v>
      </c>
      <c r="CF13" s="364">
        <v>78</v>
      </c>
      <c r="CG13" s="32">
        <v>79</v>
      </c>
      <c r="CH13" s="364">
        <v>80</v>
      </c>
      <c r="CI13" s="32">
        <v>81</v>
      </c>
      <c r="CJ13" s="364">
        <v>82</v>
      </c>
      <c r="CK13" s="364">
        <v>78</v>
      </c>
      <c r="CL13" s="32">
        <v>79</v>
      </c>
      <c r="CM13" s="364">
        <v>80</v>
      </c>
      <c r="CN13" s="32">
        <v>81</v>
      </c>
      <c r="CO13" s="364">
        <v>82</v>
      </c>
      <c r="CP13" s="797">
        <v>59</v>
      </c>
      <c r="CQ13" s="364">
        <v>60</v>
      </c>
      <c r="CR13" s="32">
        <v>61</v>
      </c>
      <c r="CS13" s="364">
        <v>62</v>
      </c>
      <c r="CT13" s="32">
        <v>63</v>
      </c>
      <c r="CU13" s="364">
        <v>64</v>
      </c>
      <c r="CV13" s="32">
        <v>65</v>
      </c>
      <c r="CW13" s="364">
        <v>66</v>
      </c>
      <c r="CX13" s="797">
        <v>67</v>
      </c>
      <c r="CY13" s="364">
        <v>68</v>
      </c>
      <c r="CZ13" s="32">
        <v>69</v>
      </c>
      <c r="DA13" s="364">
        <v>70</v>
      </c>
      <c r="DB13" s="32">
        <v>71</v>
      </c>
      <c r="DC13" s="364">
        <v>72</v>
      </c>
      <c r="DD13" s="32">
        <v>73</v>
      </c>
      <c r="DE13" s="364">
        <v>74</v>
      </c>
      <c r="DF13" s="797">
        <v>75</v>
      </c>
      <c r="DG13" s="364">
        <v>76</v>
      </c>
      <c r="DH13" s="32">
        <v>77</v>
      </c>
      <c r="DI13" s="364">
        <v>78</v>
      </c>
      <c r="DJ13" s="32">
        <v>79</v>
      </c>
      <c r="DK13" s="364">
        <v>80</v>
      </c>
      <c r="DL13" s="32">
        <v>81</v>
      </c>
      <c r="DM13" s="364">
        <v>82</v>
      </c>
    </row>
    <row r="14" spans="1:118" ht="51">
      <c r="A14" s="211">
        <v>1</v>
      </c>
      <c r="B14" s="47" t="s">
        <v>1017</v>
      </c>
      <c r="C14" s="23" t="s">
        <v>198</v>
      </c>
      <c r="D14" s="90">
        <f>SUM(E14:F14)</f>
        <v>1.965</v>
      </c>
      <c r="E14" s="19">
        <f>SUM(E16:E19)</f>
        <v>1.965</v>
      </c>
      <c r="F14" s="19">
        <f>SUM(F16:F19)</f>
        <v>0</v>
      </c>
      <c r="G14" s="19"/>
      <c r="H14" s="19"/>
      <c r="I14" s="19"/>
      <c r="J14" s="19"/>
      <c r="K14" s="19"/>
      <c r="L14" s="90">
        <f>SUM(M14:N14)</f>
        <v>1.772</v>
      </c>
      <c r="M14" s="19">
        <f>SUM(M16:M19)</f>
        <v>1.772</v>
      </c>
      <c r="N14" s="19">
        <f>SUM(N16:N19)</f>
        <v>0</v>
      </c>
      <c r="O14" s="19"/>
      <c r="P14" s="19"/>
      <c r="Q14" s="19"/>
      <c r="R14" s="19"/>
      <c r="S14" s="19"/>
      <c r="T14" s="90">
        <f>SUM(U14:V14)</f>
        <v>2.529</v>
      </c>
      <c r="U14" s="90">
        <f>SUM(U16:U19)</f>
        <v>2.529</v>
      </c>
      <c r="V14" s="513">
        <f>SUM(V16:V19)</f>
        <v>0</v>
      </c>
      <c r="W14" s="90"/>
      <c r="X14" s="90"/>
      <c r="Y14" s="90"/>
      <c r="Z14" s="90"/>
      <c r="AA14" s="90"/>
      <c r="AB14" s="484">
        <f>SUM(AB16:AB19)</f>
        <v>2.529</v>
      </c>
      <c r="AC14" s="484">
        <f>SUM(AC16:AC19)</f>
        <v>2.529</v>
      </c>
      <c r="AD14" s="484"/>
      <c r="AE14" s="484"/>
      <c r="AF14" s="484"/>
      <c r="AG14" s="484"/>
      <c r="AH14" s="484"/>
      <c r="AI14" s="484"/>
      <c r="AJ14" s="484">
        <f>SUM(AK14:AL14)</f>
        <v>2.529</v>
      </c>
      <c r="AK14" s="484">
        <f>SUM(AK16:AK19)</f>
        <v>2.529</v>
      </c>
      <c r="AL14" s="484"/>
      <c r="AM14" s="484"/>
      <c r="AN14" s="484"/>
      <c r="AO14" s="484"/>
      <c r="AP14" s="484"/>
      <c r="AQ14" s="484"/>
      <c r="AR14" s="484">
        <f>SUM(AS14:AT14)</f>
        <v>1.562</v>
      </c>
      <c r="AS14" s="484">
        <f>SUM(AS16:AS19)</f>
        <v>1.562</v>
      </c>
      <c r="AT14" s="484"/>
      <c r="AU14" s="484"/>
      <c r="AV14" s="484"/>
      <c r="AW14" s="484"/>
      <c r="AX14" s="484"/>
      <c r="AY14" s="484"/>
      <c r="AZ14" s="484">
        <f>SUM(BA14:BB14)</f>
        <v>0.967</v>
      </c>
      <c r="BA14" s="484">
        <f>SUM(BA16:BA19)</f>
        <v>0.967</v>
      </c>
      <c r="BB14" s="484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484">
        <f>BN14+BO14</f>
        <v>2.529</v>
      </c>
      <c r="BN14" s="484">
        <f>SUM(BN16:BN19)</f>
        <v>2.529</v>
      </c>
      <c r="BO14" s="484"/>
      <c r="BP14" s="484"/>
      <c r="BQ14" s="484"/>
      <c r="BR14" s="484"/>
      <c r="BS14" s="484"/>
      <c r="BT14" s="484"/>
      <c r="BU14" s="484">
        <f>SUM(BV14:BW14)</f>
        <v>1.562</v>
      </c>
      <c r="BV14" s="484">
        <f>SUM(BV16:BV19)</f>
        <v>1.562</v>
      </c>
      <c r="BW14" s="484"/>
      <c r="BX14" s="484"/>
      <c r="BY14" s="484"/>
      <c r="BZ14" s="484"/>
      <c r="CA14" s="484"/>
      <c r="CB14" s="484"/>
      <c r="CC14" s="484">
        <f>SUM(CD14:CE14)</f>
        <v>0.967</v>
      </c>
      <c r="CD14" s="484">
        <f>SUM(CD16:CD19)</f>
        <v>0.967</v>
      </c>
      <c r="CE14" s="484"/>
      <c r="CF14" s="90"/>
      <c r="CG14" s="90"/>
      <c r="CH14" s="90"/>
      <c r="CI14" s="90"/>
      <c r="CJ14" s="367"/>
      <c r="CK14" s="90"/>
      <c r="CL14" s="90"/>
      <c r="CM14" s="90"/>
      <c r="CN14" s="90"/>
      <c r="CO14" s="367"/>
      <c r="CP14" s="484">
        <f>CQ14+CR14</f>
        <v>2.529</v>
      </c>
      <c r="CQ14" s="484">
        <f>SUM(CQ16:CQ19)</f>
        <v>2.529</v>
      </c>
      <c r="CR14" s="484"/>
      <c r="CS14" s="484"/>
      <c r="CT14" s="484"/>
      <c r="CU14" s="484"/>
      <c r="CV14" s="484"/>
      <c r="CW14" s="484"/>
      <c r="CX14" s="484">
        <f>SUM(CY14:CZ14)</f>
        <v>1.562</v>
      </c>
      <c r="CY14" s="484">
        <f>SUM(CY16:CY19)</f>
        <v>1.562</v>
      </c>
      <c r="CZ14" s="484"/>
      <c r="DA14" s="484"/>
      <c r="DB14" s="484"/>
      <c r="DC14" s="484"/>
      <c r="DD14" s="484"/>
      <c r="DE14" s="484"/>
      <c r="DF14" s="484">
        <f>SUM(DG14:DH14)</f>
        <v>0.967</v>
      </c>
      <c r="DG14" s="484">
        <f>SUM(DG16:DG19)</f>
        <v>0.967</v>
      </c>
      <c r="DH14" s="484"/>
      <c r="DI14" s="90"/>
      <c r="DJ14" s="90"/>
      <c r="DK14" s="90"/>
      <c r="DL14" s="90"/>
      <c r="DM14" s="367"/>
      <c r="DN14" s="97"/>
    </row>
    <row r="15" spans="1:118" ht="15.75">
      <c r="A15" s="211"/>
      <c r="B15" s="1998"/>
      <c r="C15" s="27" t="s">
        <v>1034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1"/>
      <c r="U15" s="111"/>
      <c r="V15" s="514"/>
      <c r="W15" s="111"/>
      <c r="X15" s="111"/>
      <c r="Y15" s="111"/>
      <c r="Z15" s="111"/>
      <c r="AA15" s="111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368"/>
      <c r="CK15" s="111"/>
      <c r="CL15" s="111"/>
      <c r="CM15" s="111"/>
      <c r="CN15" s="111"/>
      <c r="CO15" s="368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368"/>
      <c r="DN15" s="97"/>
    </row>
    <row r="16" spans="1:118" ht="15.75">
      <c r="A16" s="211"/>
      <c r="B16" s="1999"/>
      <c r="C16" s="44" t="s">
        <v>199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2"/>
      <c r="U16" s="112"/>
      <c r="V16" s="515"/>
      <c r="W16" s="112"/>
      <c r="X16" s="112"/>
      <c r="Y16" s="112"/>
      <c r="Z16" s="112"/>
      <c r="AA16" s="112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6"/>
      <c r="AU16" s="486"/>
      <c r="AV16" s="486"/>
      <c r="AW16" s="486"/>
      <c r="AX16" s="486"/>
      <c r="AY16" s="486"/>
      <c r="AZ16" s="486"/>
      <c r="BA16" s="486"/>
      <c r="BB16" s="486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369"/>
      <c r="CK16" s="112"/>
      <c r="CL16" s="112"/>
      <c r="CM16" s="112"/>
      <c r="CN16" s="112"/>
      <c r="CO16" s="369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369"/>
      <c r="DN16" s="97"/>
    </row>
    <row r="17" spans="1:118" ht="15.75">
      <c r="A17" s="211"/>
      <c r="B17" s="1999"/>
      <c r="C17" s="45" t="s">
        <v>200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91"/>
      <c r="U17" s="91"/>
      <c r="V17" s="516"/>
      <c r="W17" s="91"/>
      <c r="X17" s="91"/>
      <c r="Y17" s="91"/>
      <c r="Z17" s="91"/>
      <c r="AA17" s="91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370"/>
      <c r="CK17" s="91"/>
      <c r="CL17" s="91"/>
      <c r="CM17" s="91"/>
      <c r="CN17" s="91"/>
      <c r="CO17" s="370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370"/>
      <c r="DN17" s="97"/>
    </row>
    <row r="18" spans="1:118" ht="15.75">
      <c r="A18" s="211"/>
      <c r="B18" s="1999"/>
      <c r="C18" s="45" t="s">
        <v>193</v>
      </c>
      <c r="D18" s="91">
        <f>SUM(E18:F18)</f>
        <v>1.965</v>
      </c>
      <c r="E18" s="310">
        <v>1.965</v>
      </c>
      <c r="F18" s="18"/>
      <c r="G18" s="18"/>
      <c r="H18" s="18"/>
      <c r="I18" s="18"/>
      <c r="J18" s="18"/>
      <c r="K18" s="18"/>
      <c r="L18" s="91">
        <f>SUM(M18:N18)</f>
        <v>1.772</v>
      </c>
      <c r="M18" s="310">
        <v>1.772</v>
      </c>
      <c r="N18" s="18"/>
      <c r="O18" s="18"/>
      <c r="P18" s="18"/>
      <c r="Q18" s="18"/>
      <c r="R18" s="18"/>
      <c r="S18" s="18"/>
      <c r="T18" s="91">
        <f>SUM(U18:V18)</f>
        <v>2.529</v>
      </c>
      <c r="U18" s="91">
        <v>2.529</v>
      </c>
      <c r="V18" s="516"/>
      <c r="W18" s="91"/>
      <c r="X18" s="91"/>
      <c r="Y18" s="91"/>
      <c r="Z18" s="91"/>
      <c r="AA18" s="91"/>
      <c r="AB18" s="488">
        <f>AC18+AD18</f>
        <v>2.529</v>
      </c>
      <c r="AC18" s="488">
        <f>U18</f>
        <v>2.529</v>
      </c>
      <c r="AD18" s="488"/>
      <c r="AE18" s="488"/>
      <c r="AF18" s="488"/>
      <c r="AG18" s="488"/>
      <c r="AH18" s="488"/>
      <c r="AI18" s="488"/>
      <c r="AJ18" s="488">
        <f>SUM(AK18:AL18)</f>
        <v>2.529</v>
      </c>
      <c r="AK18" s="488">
        <f>AS18+BA18</f>
        <v>2.529</v>
      </c>
      <c r="AL18" s="488"/>
      <c r="AM18" s="488"/>
      <c r="AN18" s="488"/>
      <c r="AO18" s="488"/>
      <c r="AP18" s="488"/>
      <c r="AQ18" s="488"/>
      <c r="AR18" s="488">
        <f>SUM(AS18:AT18)</f>
        <v>1.562</v>
      </c>
      <c r="AS18" s="488">
        <v>1.562</v>
      </c>
      <c r="AT18" s="488"/>
      <c r="AU18" s="488"/>
      <c r="AV18" s="488"/>
      <c r="AW18" s="488"/>
      <c r="AX18" s="488"/>
      <c r="AY18" s="488"/>
      <c r="AZ18" s="488">
        <f>SUM(BA18:BB18)</f>
        <v>0.967</v>
      </c>
      <c r="BA18" s="488">
        <v>0.967</v>
      </c>
      <c r="BB18" s="488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488">
        <f>BN18+BO18</f>
        <v>2.529</v>
      </c>
      <c r="BN18" s="488">
        <f>BM24</f>
        <v>2.529</v>
      </c>
      <c r="BO18" s="91"/>
      <c r="BP18" s="91"/>
      <c r="BQ18" s="91"/>
      <c r="BR18" s="91"/>
      <c r="BS18" s="91"/>
      <c r="BT18" s="91"/>
      <c r="BU18" s="488">
        <f>BV18+BW18</f>
        <v>1.562</v>
      </c>
      <c r="BV18" s="488">
        <v>1.562</v>
      </c>
      <c r="BW18" s="488"/>
      <c r="BX18" s="488"/>
      <c r="BY18" s="488"/>
      <c r="BZ18" s="488"/>
      <c r="CA18" s="488"/>
      <c r="CB18" s="488"/>
      <c r="CC18" s="488">
        <f>CD18+CE18</f>
        <v>0.967</v>
      </c>
      <c r="CD18" s="488">
        <v>0.967</v>
      </c>
      <c r="CE18" s="91"/>
      <c r="CF18" s="91"/>
      <c r="CG18" s="91"/>
      <c r="CH18" s="91"/>
      <c r="CI18" s="91"/>
      <c r="CJ18" s="370"/>
      <c r="CK18" s="91"/>
      <c r="CL18" s="91"/>
      <c r="CM18" s="91"/>
      <c r="CN18" s="91"/>
      <c r="CO18" s="370"/>
      <c r="CP18" s="488">
        <f>CQ18+CR18</f>
        <v>2.529</v>
      </c>
      <c r="CQ18" s="488">
        <f>BN18</f>
        <v>2.529</v>
      </c>
      <c r="CR18" s="91"/>
      <c r="CS18" s="91"/>
      <c r="CT18" s="91"/>
      <c r="CU18" s="91"/>
      <c r="CV18" s="91"/>
      <c r="CW18" s="91"/>
      <c r="CX18" s="488">
        <f>CY18+CZ18</f>
        <v>1.562</v>
      </c>
      <c r="CY18" s="488">
        <f>BV18</f>
        <v>1.562</v>
      </c>
      <c r="CZ18" s="488"/>
      <c r="DA18" s="488"/>
      <c r="DB18" s="488"/>
      <c r="DC18" s="488"/>
      <c r="DD18" s="488"/>
      <c r="DE18" s="488"/>
      <c r="DF18" s="488">
        <f>DG18+DH18</f>
        <v>0.967</v>
      </c>
      <c r="DG18" s="488">
        <f>CD18</f>
        <v>0.967</v>
      </c>
      <c r="DH18" s="91"/>
      <c r="DI18" s="91"/>
      <c r="DJ18" s="91"/>
      <c r="DK18" s="91"/>
      <c r="DL18" s="91"/>
      <c r="DM18" s="370"/>
      <c r="DN18" s="97"/>
    </row>
    <row r="19" spans="1:118" ht="15.75">
      <c r="A19" s="211"/>
      <c r="B19" s="2000"/>
      <c r="C19" s="44" t="s">
        <v>194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91"/>
      <c r="U19" s="91"/>
      <c r="V19" s="516"/>
      <c r="W19" s="91"/>
      <c r="X19" s="91"/>
      <c r="Y19" s="91"/>
      <c r="Z19" s="91"/>
      <c r="AA19" s="91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88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370"/>
      <c r="CK19" s="91"/>
      <c r="CL19" s="91"/>
      <c r="CM19" s="91"/>
      <c r="CN19" s="91"/>
      <c r="CO19" s="370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370"/>
      <c r="DN19" s="97"/>
    </row>
    <row r="20" spans="1:118" ht="15.75">
      <c r="A20" s="211"/>
      <c r="B20" s="47" t="s">
        <v>1010</v>
      </c>
      <c r="C20" s="23" t="s">
        <v>601</v>
      </c>
      <c r="D20" s="90">
        <f>SUM(E20:F20)</f>
        <v>0</v>
      </c>
      <c r="E20" s="18"/>
      <c r="F20" s="18"/>
      <c r="G20" s="18"/>
      <c r="H20" s="18"/>
      <c r="I20" s="18"/>
      <c r="J20" s="18"/>
      <c r="K20" s="18"/>
      <c r="L20" s="90">
        <f>SUM(M20:N20)</f>
        <v>0</v>
      </c>
      <c r="M20" s="18"/>
      <c r="N20" s="18"/>
      <c r="O20" s="18"/>
      <c r="P20" s="18"/>
      <c r="Q20" s="18"/>
      <c r="R20" s="18"/>
      <c r="S20" s="18"/>
      <c r="T20" s="90">
        <f>SUM(U20:V20)</f>
        <v>0</v>
      </c>
      <c r="U20" s="91"/>
      <c r="V20" s="516"/>
      <c r="W20" s="91"/>
      <c r="X20" s="91"/>
      <c r="Y20" s="91"/>
      <c r="Z20" s="91"/>
      <c r="AA20" s="91"/>
      <c r="AB20" s="488"/>
      <c r="AC20" s="488"/>
      <c r="AD20" s="488"/>
      <c r="AE20" s="488"/>
      <c r="AF20" s="488"/>
      <c r="AG20" s="488"/>
      <c r="AH20" s="488"/>
      <c r="AI20" s="488"/>
      <c r="AJ20" s="484"/>
      <c r="AK20" s="488"/>
      <c r="AL20" s="488"/>
      <c r="AM20" s="488"/>
      <c r="AN20" s="488"/>
      <c r="AO20" s="488"/>
      <c r="AP20" s="488"/>
      <c r="AQ20" s="488"/>
      <c r="AR20" s="484"/>
      <c r="AS20" s="488"/>
      <c r="AT20" s="488"/>
      <c r="AU20" s="488"/>
      <c r="AV20" s="488"/>
      <c r="AW20" s="488"/>
      <c r="AX20" s="488"/>
      <c r="AY20" s="488"/>
      <c r="AZ20" s="484"/>
      <c r="BA20" s="488"/>
      <c r="BB20" s="488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0"/>
      <c r="BN20" s="91"/>
      <c r="BO20" s="91"/>
      <c r="BP20" s="91"/>
      <c r="BQ20" s="91"/>
      <c r="BR20" s="91"/>
      <c r="BS20" s="91"/>
      <c r="BT20" s="91"/>
      <c r="BU20" s="90"/>
      <c r="BV20" s="91"/>
      <c r="BW20" s="91"/>
      <c r="BX20" s="91"/>
      <c r="BY20" s="91"/>
      <c r="BZ20" s="91"/>
      <c r="CA20" s="91"/>
      <c r="CB20" s="91"/>
      <c r="CC20" s="90"/>
      <c r="CD20" s="91"/>
      <c r="CE20" s="91"/>
      <c r="CF20" s="91"/>
      <c r="CG20" s="91"/>
      <c r="CH20" s="91"/>
      <c r="CI20" s="91"/>
      <c r="CJ20" s="370"/>
      <c r="CK20" s="91"/>
      <c r="CL20" s="91"/>
      <c r="CM20" s="91"/>
      <c r="CN20" s="91"/>
      <c r="CO20" s="370"/>
      <c r="CP20" s="90"/>
      <c r="CQ20" s="91"/>
      <c r="CR20" s="91"/>
      <c r="CS20" s="91"/>
      <c r="CT20" s="91"/>
      <c r="CU20" s="91"/>
      <c r="CV20" s="91"/>
      <c r="CW20" s="91"/>
      <c r="CX20" s="90"/>
      <c r="CY20" s="91"/>
      <c r="CZ20" s="91"/>
      <c r="DA20" s="91"/>
      <c r="DB20" s="91"/>
      <c r="DC20" s="91"/>
      <c r="DD20" s="91"/>
      <c r="DE20" s="91"/>
      <c r="DF20" s="90"/>
      <c r="DG20" s="91"/>
      <c r="DH20" s="91"/>
      <c r="DI20" s="91"/>
      <c r="DJ20" s="91"/>
      <c r="DK20" s="91"/>
      <c r="DL20" s="91"/>
      <c r="DM20" s="370"/>
      <c r="DN20" s="97"/>
    </row>
    <row r="21" spans="1:118" ht="15.75">
      <c r="A21" s="211"/>
      <c r="B21" s="1998"/>
      <c r="C21" s="27" t="s">
        <v>1034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91"/>
      <c r="U21" s="91"/>
      <c r="V21" s="516"/>
      <c r="W21" s="91"/>
      <c r="X21" s="91"/>
      <c r="Y21" s="91"/>
      <c r="Z21" s="91"/>
      <c r="AA21" s="91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370"/>
      <c r="CK21" s="91"/>
      <c r="CL21" s="91"/>
      <c r="CM21" s="91"/>
      <c r="CN21" s="91"/>
      <c r="CO21" s="370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370"/>
      <c r="DN21" s="97"/>
    </row>
    <row r="22" spans="1:118" ht="15.75">
      <c r="A22" s="211"/>
      <c r="B22" s="1999"/>
      <c r="C22" s="44" t="s">
        <v>1006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91"/>
      <c r="U22" s="91"/>
      <c r="V22" s="516"/>
      <c r="W22" s="91"/>
      <c r="X22" s="91"/>
      <c r="Y22" s="91"/>
      <c r="Z22" s="91"/>
      <c r="AA22" s="91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370"/>
      <c r="CK22" s="91"/>
      <c r="CL22" s="91"/>
      <c r="CM22" s="91"/>
      <c r="CN22" s="91"/>
      <c r="CO22" s="370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370"/>
      <c r="DN22" s="97"/>
    </row>
    <row r="23" spans="1:118" ht="27" customHeight="1">
      <c r="A23" s="211">
        <v>2</v>
      </c>
      <c r="B23" s="47" t="s">
        <v>1012</v>
      </c>
      <c r="C23" s="46" t="s">
        <v>1700</v>
      </c>
      <c r="D23" s="90">
        <f>SUM(E23:F23)</f>
        <v>0</v>
      </c>
      <c r="E23" s="309">
        <v>0</v>
      </c>
      <c r="F23" s="20"/>
      <c r="G23" s="20"/>
      <c r="H23" s="20"/>
      <c r="I23" s="20"/>
      <c r="J23" s="20"/>
      <c r="K23" s="20"/>
      <c r="L23" s="90">
        <f>SUM(M23:N23)</f>
        <v>0</v>
      </c>
      <c r="M23" s="309">
        <v>0</v>
      </c>
      <c r="N23" s="20"/>
      <c r="O23" s="20"/>
      <c r="P23" s="20"/>
      <c r="Q23" s="20"/>
      <c r="R23" s="20"/>
      <c r="S23" s="20"/>
      <c r="T23" s="90">
        <f>SUM(U23:V23)</f>
        <v>0</v>
      </c>
      <c r="U23" s="1818"/>
      <c r="V23" s="517"/>
      <c r="W23" s="93"/>
      <c r="X23" s="93"/>
      <c r="Y23" s="93"/>
      <c r="Z23" s="93"/>
      <c r="AA23" s="93"/>
      <c r="AB23" s="488"/>
      <c r="AC23" s="488"/>
      <c r="AD23" s="489"/>
      <c r="AE23" s="489"/>
      <c r="AF23" s="489"/>
      <c r="AG23" s="489"/>
      <c r="AH23" s="489"/>
      <c r="AI23" s="489"/>
      <c r="AJ23" s="484"/>
      <c r="AK23" s="489"/>
      <c r="AL23" s="489"/>
      <c r="AM23" s="489"/>
      <c r="AN23" s="489"/>
      <c r="AO23" s="489"/>
      <c r="AP23" s="489"/>
      <c r="AQ23" s="489"/>
      <c r="AR23" s="484"/>
      <c r="AS23" s="488"/>
      <c r="AT23" s="488"/>
      <c r="AU23" s="489"/>
      <c r="AV23" s="489"/>
      <c r="AW23" s="489"/>
      <c r="AX23" s="489"/>
      <c r="AY23" s="489"/>
      <c r="AZ23" s="484"/>
      <c r="BA23" s="489"/>
      <c r="BB23" s="489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0"/>
      <c r="BN23" s="91"/>
      <c r="BO23" s="91"/>
      <c r="BP23" s="93"/>
      <c r="BQ23" s="93"/>
      <c r="BR23" s="93"/>
      <c r="BS23" s="93"/>
      <c r="BT23" s="93"/>
      <c r="BU23" s="90"/>
      <c r="BV23" s="93"/>
      <c r="BW23" s="93"/>
      <c r="BX23" s="93"/>
      <c r="BY23" s="93"/>
      <c r="BZ23" s="93"/>
      <c r="CA23" s="93"/>
      <c r="CB23" s="93"/>
      <c r="CC23" s="90"/>
      <c r="CD23" s="93"/>
      <c r="CE23" s="93"/>
      <c r="CF23" s="371"/>
      <c r="CG23" s="371"/>
      <c r="CH23" s="371"/>
      <c r="CI23" s="371"/>
      <c r="CJ23" s="371"/>
      <c r="CK23" s="371"/>
      <c r="CL23" s="371"/>
      <c r="CM23" s="371"/>
      <c r="CN23" s="371"/>
      <c r="CO23" s="371"/>
      <c r="CP23" s="90"/>
      <c r="CQ23" s="91"/>
      <c r="CR23" s="91"/>
      <c r="CS23" s="93"/>
      <c r="CT23" s="93"/>
      <c r="CU23" s="93"/>
      <c r="CV23" s="93"/>
      <c r="CW23" s="93"/>
      <c r="CX23" s="90"/>
      <c r="CY23" s="93"/>
      <c r="CZ23" s="93"/>
      <c r="DA23" s="93"/>
      <c r="DB23" s="93"/>
      <c r="DC23" s="93"/>
      <c r="DD23" s="93"/>
      <c r="DE23" s="93"/>
      <c r="DF23" s="90"/>
      <c r="DG23" s="93"/>
      <c r="DH23" s="93"/>
      <c r="DI23" s="371"/>
      <c r="DJ23" s="371"/>
      <c r="DK23" s="371"/>
      <c r="DL23" s="371"/>
      <c r="DM23" s="371"/>
      <c r="DN23" s="97"/>
    </row>
    <row r="24" spans="1:117" s="95" customFormat="1" ht="60.75" customHeight="1">
      <c r="A24" s="317">
        <v>3</v>
      </c>
      <c r="B24" s="318" t="s">
        <v>1018</v>
      </c>
      <c r="C24" s="319" t="s">
        <v>1279</v>
      </c>
      <c r="D24" s="320">
        <f>SUM(E24:F24)</f>
        <v>1.965</v>
      </c>
      <c r="E24" s="320">
        <f>E14+E20-E23</f>
        <v>1.965</v>
      </c>
      <c r="F24" s="320">
        <f>F14+F20-F23</f>
        <v>0</v>
      </c>
      <c r="G24" s="320"/>
      <c r="H24" s="320"/>
      <c r="I24" s="320"/>
      <c r="J24" s="320"/>
      <c r="K24" s="320"/>
      <c r="L24" s="320">
        <f>SUM(M24:N24)</f>
        <v>1.772</v>
      </c>
      <c r="M24" s="320">
        <f>M14+M20-M23</f>
        <v>1.772</v>
      </c>
      <c r="N24" s="320">
        <f>N14+N20-N23</f>
        <v>0</v>
      </c>
      <c r="O24" s="320"/>
      <c r="P24" s="320"/>
      <c r="Q24" s="320"/>
      <c r="R24" s="320"/>
      <c r="S24" s="320"/>
      <c r="T24" s="90">
        <f>SUM(U24:V24)</f>
        <v>2.529</v>
      </c>
      <c r="U24" s="90">
        <f>U14+U20-U23</f>
        <v>2.529</v>
      </c>
      <c r="V24" s="513">
        <f>V14+V20-V23</f>
        <v>0</v>
      </c>
      <c r="W24" s="90"/>
      <c r="X24" s="90"/>
      <c r="Y24" s="90"/>
      <c r="Z24" s="90"/>
      <c r="AA24" s="90"/>
      <c r="AB24" s="1819">
        <f>AC24</f>
        <v>2.529</v>
      </c>
      <c r="AC24" s="484">
        <f>U24</f>
        <v>2.529</v>
      </c>
      <c r="AD24" s="484"/>
      <c r="AE24" s="484"/>
      <c r="AF24" s="484"/>
      <c r="AG24" s="484"/>
      <c r="AH24" s="484"/>
      <c r="AI24" s="484"/>
      <c r="AJ24" s="484">
        <f>SUM(AK24:AL24)</f>
        <v>2.529</v>
      </c>
      <c r="AK24" s="484">
        <f>AS24+BA24</f>
        <v>2.529</v>
      </c>
      <c r="AL24" s="484"/>
      <c r="AM24" s="484"/>
      <c r="AN24" s="484"/>
      <c r="AO24" s="484"/>
      <c r="AP24" s="484"/>
      <c r="AQ24" s="484"/>
      <c r="AR24" s="484">
        <f>SUM(AS24:AT24)</f>
        <v>1.562</v>
      </c>
      <c r="AS24" s="484">
        <f>AS18</f>
        <v>1.562</v>
      </c>
      <c r="AT24" s="484"/>
      <c r="AU24" s="484"/>
      <c r="AV24" s="484"/>
      <c r="AW24" s="484"/>
      <c r="AX24" s="484"/>
      <c r="AY24" s="484"/>
      <c r="AZ24" s="484">
        <f>SUM(BA24:BB24)</f>
        <v>0.967</v>
      </c>
      <c r="BA24" s="484">
        <f>BA18</f>
        <v>0.967</v>
      </c>
      <c r="BB24" s="484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484">
        <f>BN24+BO24</f>
        <v>2.529</v>
      </c>
      <c r="BN24" s="484">
        <f>BV24+CD24</f>
        <v>2.529</v>
      </c>
      <c r="BO24" s="484"/>
      <c r="BP24" s="484"/>
      <c r="BQ24" s="484"/>
      <c r="BR24" s="484"/>
      <c r="BS24" s="484"/>
      <c r="BT24" s="484"/>
      <c r="BU24" s="484">
        <f>BU18</f>
        <v>1.562</v>
      </c>
      <c r="BV24" s="484">
        <f>BV18</f>
        <v>1.562</v>
      </c>
      <c r="BW24" s="484"/>
      <c r="BX24" s="484"/>
      <c r="BY24" s="484"/>
      <c r="BZ24" s="484"/>
      <c r="CA24" s="484"/>
      <c r="CB24" s="484"/>
      <c r="CC24" s="484">
        <f>CC18</f>
        <v>0.967</v>
      </c>
      <c r="CD24" s="484">
        <f>CD18</f>
        <v>0.967</v>
      </c>
      <c r="CE24" s="484"/>
      <c r="CF24" s="90"/>
      <c r="CG24" s="90"/>
      <c r="CH24" s="90"/>
      <c r="CI24" s="90"/>
      <c r="CJ24" s="367"/>
      <c r="CK24" s="90"/>
      <c r="CL24" s="90"/>
      <c r="CM24" s="90"/>
      <c r="CN24" s="90"/>
      <c r="CO24" s="367"/>
      <c r="CP24" s="484">
        <f>CQ24+CR24</f>
        <v>2.529</v>
      </c>
      <c r="CQ24" s="484">
        <f>CQ14+CQ20-CQ23</f>
        <v>2.529</v>
      </c>
      <c r="CR24" s="484"/>
      <c r="CS24" s="484"/>
      <c r="CT24" s="484"/>
      <c r="CU24" s="484"/>
      <c r="CV24" s="484"/>
      <c r="CW24" s="484"/>
      <c r="CX24" s="484">
        <f>CY24</f>
        <v>1.562</v>
      </c>
      <c r="CY24" s="484">
        <f>CY14+CY20-CY23</f>
        <v>1.562</v>
      </c>
      <c r="CZ24" s="484"/>
      <c r="DA24" s="484"/>
      <c r="DB24" s="484"/>
      <c r="DC24" s="484"/>
      <c r="DD24" s="484"/>
      <c r="DE24" s="484"/>
      <c r="DF24" s="484">
        <f>DG24+DH24</f>
        <v>0.967</v>
      </c>
      <c r="DG24" s="484">
        <f>DG18</f>
        <v>0.967</v>
      </c>
      <c r="DH24" s="484"/>
      <c r="DI24" s="90"/>
      <c r="DJ24" s="90"/>
      <c r="DK24" s="90"/>
      <c r="DL24" s="90"/>
      <c r="DM24" s="367"/>
    </row>
    <row r="25" spans="1:117" s="95" customFormat="1" ht="36.75" customHeight="1">
      <c r="A25" s="211">
        <v>4</v>
      </c>
      <c r="B25" s="67" t="s">
        <v>1019</v>
      </c>
      <c r="C25" s="108" t="s">
        <v>1701</v>
      </c>
      <c r="D25" s="90">
        <f>SUM(E25:F25)</f>
        <v>0.352</v>
      </c>
      <c r="E25" s="311">
        <v>0.352</v>
      </c>
      <c r="F25" s="90"/>
      <c r="G25" s="90"/>
      <c r="H25" s="90"/>
      <c r="I25" s="90"/>
      <c r="J25" s="90"/>
      <c r="K25" s="90"/>
      <c r="L25" s="90">
        <f>SUM(M25:N25)</f>
        <v>0.327</v>
      </c>
      <c r="M25" s="311">
        <v>0.327</v>
      </c>
      <c r="N25" s="90"/>
      <c r="O25" s="90"/>
      <c r="P25" s="90"/>
      <c r="Q25" s="90"/>
      <c r="R25" s="90"/>
      <c r="S25" s="90"/>
      <c r="T25" s="90">
        <f>SUM(U25:V25)</f>
        <v>0.162</v>
      </c>
      <c r="U25" s="90">
        <f>U27+U28</f>
        <v>0.162</v>
      </c>
      <c r="V25" s="513"/>
      <c r="W25" s="90"/>
      <c r="X25" s="90"/>
      <c r="Y25" s="90"/>
      <c r="Z25" s="90"/>
      <c r="AA25" s="90"/>
      <c r="AB25" s="484">
        <f>AB27+AB28</f>
        <v>0.162</v>
      </c>
      <c r="AC25" s="484">
        <f>AC27+AC28</f>
        <v>0.162</v>
      </c>
      <c r="AD25" s="484"/>
      <c r="AE25" s="484"/>
      <c r="AF25" s="484"/>
      <c r="AG25" s="484"/>
      <c r="AH25" s="484"/>
      <c r="AI25" s="484"/>
      <c r="AJ25" s="484">
        <f>AJ27+AJ28</f>
        <v>0.162</v>
      </c>
      <c r="AK25" s="484">
        <f>AS25+BA25</f>
        <v>0.162</v>
      </c>
      <c r="AL25" s="484"/>
      <c r="AM25" s="484"/>
      <c r="AN25" s="484"/>
      <c r="AO25" s="484"/>
      <c r="AP25" s="484"/>
      <c r="AQ25" s="484"/>
      <c r="AR25" s="484">
        <f>SUM(AS25:AT25)</f>
        <v>0.104</v>
      </c>
      <c r="AS25" s="488">
        <v>0.104</v>
      </c>
      <c r="AT25" s="488"/>
      <c r="AU25" s="484"/>
      <c r="AV25" s="484"/>
      <c r="AW25" s="484"/>
      <c r="AX25" s="484"/>
      <c r="AY25" s="484"/>
      <c r="AZ25" s="484">
        <f>SUM(BA25:BB25)</f>
        <v>0.058</v>
      </c>
      <c r="BA25" s="484">
        <v>0.058</v>
      </c>
      <c r="BB25" s="484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484">
        <f>SUM(BN25:BO25)</f>
        <v>0.162</v>
      </c>
      <c r="BN25" s="488">
        <f>BV25+CD25</f>
        <v>0.162</v>
      </c>
      <c r="BO25" s="488"/>
      <c r="BP25" s="484"/>
      <c r="BQ25" s="484"/>
      <c r="BR25" s="484"/>
      <c r="BS25" s="484"/>
      <c r="BT25" s="484"/>
      <c r="BU25" s="484">
        <f>SUM(BV25:BW25)</f>
        <v>0.104</v>
      </c>
      <c r="BV25" s="484">
        <f>AS25</f>
        <v>0.104</v>
      </c>
      <c r="BW25" s="484"/>
      <c r="BX25" s="484"/>
      <c r="BY25" s="484"/>
      <c r="BZ25" s="484"/>
      <c r="CA25" s="484"/>
      <c r="CB25" s="484"/>
      <c r="CC25" s="484">
        <f>SUM(CD25:CE25)</f>
        <v>0.058</v>
      </c>
      <c r="CD25" s="484">
        <f>BA25</f>
        <v>0.058</v>
      </c>
      <c r="CE25" s="90"/>
      <c r="CF25" s="372"/>
      <c r="CG25" s="372"/>
      <c r="CH25" s="372"/>
      <c r="CI25" s="372"/>
      <c r="CJ25" s="373"/>
      <c r="CK25" s="372"/>
      <c r="CL25" s="372"/>
      <c r="CM25" s="372"/>
      <c r="CN25" s="372"/>
      <c r="CO25" s="373"/>
      <c r="CP25" s="484">
        <f>SUM(CQ25:CR25)</f>
        <v>0.162</v>
      </c>
      <c r="CQ25" s="488">
        <f>CY25+DG25</f>
        <v>0.162</v>
      </c>
      <c r="CR25" s="488"/>
      <c r="CS25" s="484"/>
      <c r="CT25" s="484"/>
      <c r="CU25" s="484"/>
      <c r="CV25" s="484"/>
      <c r="CW25" s="484"/>
      <c r="CX25" s="484">
        <f>SUM(CY25:CZ25)</f>
        <v>0.104</v>
      </c>
      <c r="CY25" s="484">
        <f>BV25</f>
        <v>0.104</v>
      </c>
      <c r="CZ25" s="484"/>
      <c r="DA25" s="484"/>
      <c r="DB25" s="484"/>
      <c r="DC25" s="484"/>
      <c r="DD25" s="484"/>
      <c r="DE25" s="484"/>
      <c r="DF25" s="484">
        <f>SUM(DG25:DH25)</f>
        <v>0.058</v>
      </c>
      <c r="DG25" s="484">
        <f>CD25</f>
        <v>0.058</v>
      </c>
      <c r="DH25" s="90"/>
      <c r="DI25" s="372"/>
      <c r="DJ25" s="372"/>
      <c r="DK25" s="372"/>
      <c r="DL25" s="372"/>
      <c r="DM25" s="373"/>
    </row>
    <row r="26" spans="1:117" s="97" customFormat="1" ht="15.75">
      <c r="A26" s="211"/>
      <c r="B26" s="1996" t="s">
        <v>1308</v>
      </c>
      <c r="C26" s="96" t="s">
        <v>1034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514"/>
      <c r="W26" s="111"/>
      <c r="X26" s="111"/>
      <c r="Y26" s="111"/>
      <c r="Z26" s="111"/>
      <c r="AA26" s="111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9"/>
      <c r="AN26" s="489"/>
      <c r="AO26" s="489"/>
      <c r="AP26" s="489"/>
      <c r="AQ26" s="489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485"/>
      <c r="BN26" s="485"/>
      <c r="BO26" s="485"/>
      <c r="BP26" s="485"/>
      <c r="BQ26" s="485"/>
      <c r="BR26" s="485"/>
      <c r="BS26" s="485"/>
      <c r="BT26" s="485"/>
      <c r="BU26" s="485"/>
      <c r="BV26" s="485"/>
      <c r="BW26" s="485"/>
      <c r="BX26" s="485"/>
      <c r="BY26" s="485"/>
      <c r="BZ26" s="485"/>
      <c r="CA26" s="485"/>
      <c r="CB26" s="485"/>
      <c r="CC26" s="485"/>
      <c r="CD26" s="485"/>
      <c r="CE26" s="111"/>
      <c r="CF26" s="371"/>
      <c r="CG26" s="371"/>
      <c r="CH26" s="371"/>
      <c r="CI26" s="371"/>
      <c r="CJ26" s="371"/>
      <c r="CK26" s="371"/>
      <c r="CL26" s="371"/>
      <c r="CM26" s="371"/>
      <c r="CN26" s="371"/>
      <c r="CO26" s="371"/>
      <c r="CP26" s="485"/>
      <c r="CQ26" s="485"/>
      <c r="CR26" s="485"/>
      <c r="CS26" s="485"/>
      <c r="CT26" s="485"/>
      <c r="CU26" s="485"/>
      <c r="CV26" s="485"/>
      <c r="CW26" s="485"/>
      <c r="CX26" s="485"/>
      <c r="CY26" s="485"/>
      <c r="CZ26" s="485"/>
      <c r="DA26" s="485"/>
      <c r="DB26" s="485"/>
      <c r="DC26" s="485"/>
      <c r="DD26" s="485"/>
      <c r="DE26" s="485"/>
      <c r="DF26" s="485"/>
      <c r="DG26" s="485"/>
      <c r="DH26" s="111"/>
      <c r="DI26" s="371"/>
      <c r="DJ26" s="371"/>
      <c r="DK26" s="371"/>
      <c r="DL26" s="371"/>
      <c r="DM26" s="371"/>
    </row>
    <row r="27" spans="1:117" s="97" customFormat="1" ht="15.75">
      <c r="A27" s="211"/>
      <c r="B27" s="1997"/>
      <c r="C27" s="98" t="s">
        <v>603</v>
      </c>
      <c r="D27" s="94">
        <f>SUM(E27:F27)</f>
        <v>0.348</v>
      </c>
      <c r="E27" s="94">
        <v>0.348</v>
      </c>
      <c r="F27" s="94"/>
      <c r="G27" s="112"/>
      <c r="H27" s="112"/>
      <c r="I27" s="112"/>
      <c r="J27" s="112"/>
      <c r="K27" s="112"/>
      <c r="L27" s="94">
        <f>SUM(M27:N27)</f>
        <v>0.322</v>
      </c>
      <c r="M27" s="94">
        <v>0.322</v>
      </c>
      <c r="N27" s="94"/>
      <c r="O27" s="112"/>
      <c r="P27" s="112"/>
      <c r="Q27" s="112"/>
      <c r="R27" s="112"/>
      <c r="S27" s="112"/>
      <c r="T27" s="94">
        <f>SUM(U27:V27)</f>
        <v>0.162</v>
      </c>
      <c r="U27" s="94">
        <v>0.162</v>
      </c>
      <c r="V27" s="518"/>
      <c r="W27" s="112"/>
      <c r="X27" s="112"/>
      <c r="Y27" s="112"/>
      <c r="Z27" s="112"/>
      <c r="AA27" s="112"/>
      <c r="AB27" s="490">
        <f>AC27</f>
        <v>0.162</v>
      </c>
      <c r="AC27" s="490">
        <v>0.162</v>
      </c>
      <c r="AD27" s="490"/>
      <c r="AE27" s="486"/>
      <c r="AF27" s="486"/>
      <c r="AG27" s="486"/>
      <c r="AH27" s="486"/>
      <c r="AI27" s="486"/>
      <c r="AJ27" s="798">
        <f>SUM(AK27:AL27)</f>
        <v>0.162</v>
      </c>
      <c r="AK27" s="490">
        <f>AK25-AK28</f>
        <v>0.162</v>
      </c>
      <c r="AL27" s="798"/>
      <c r="AM27" s="798"/>
      <c r="AN27" s="798"/>
      <c r="AO27" s="798"/>
      <c r="AP27" s="798"/>
      <c r="AQ27" s="798"/>
      <c r="AR27" s="490">
        <f>SUM(AS27:AT27)</f>
        <v>0.018</v>
      </c>
      <c r="AS27" s="490">
        <v>0.018</v>
      </c>
      <c r="AT27" s="798"/>
      <c r="AU27" s="799"/>
      <c r="AV27" s="799"/>
      <c r="AW27" s="799"/>
      <c r="AX27" s="799"/>
      <c r="AY27" s="799"/>
      <c r="AZ27" s="798">
        <f>SUM(BA27:BB27)</f>
        <v>0.011</v>
      </c>
      <c r="BA27" s="490">
        <v>0.011</v>
      </c>
      <c r="BB27" s="798"/>
      <c r="BC27" s="800"/>
      <c r="BD27" s="800"/>
      <c r="BE27" s="800"/>
      <c r="BF27" s="800"/>
      <c r="BG27" s="800"/>
      <c r="BH27" s="800"/>
      <c r="BI27" s="800"/>
      <c r="BJ27" s="800"/>
      <c r="BK27" s="800"/>
      <c r="BL27" s="800"/>
      <c r="BM27" s="490">
        <f>SUM(BN27:BO27)</f>
        <v>0.028999999999999998</v>
      </c>
      <c r="BN27" s="490">
        <f>BV27+CD27</f>
        <v>0.028999999999999998</v>
      </c>
      <c r="BO27" s="798"/>
      <c r="BP27" s="799"/>
      <c r="BQ27" s="799"/>
      <c r="BR27" s="799"/>
      <c r="BS27" s="799"/>
      <c r="BT27" s="799"/>
      <c r="BU27" s="798">
        <f>SUM(BV27:BW27)</f>
        <v>0.018</v>
      </c>
      <c r="BV27" s="490">
        <f>AS27</f>
        <v>0.018</v>
      </c>
      <c r="BW27" s="798"/>
      <c r="BX27" s="799"/>
      <c r="BY27" s="799"/>
      <c r="BZ27" s="799"/>
      <c r="CA27" s="799"/>
      <c r="CB27" s="799"/>
      <c r="CC27" s="798">
        <f>SUM(CD27:CE27)</f>
        <v>0.011</v>
      </c>
      <c r="CD27" s="490">
        <f>BA27</f>
        <v>0.011</v>
      </c>
      <c r="CE27" s="800"/>
      <c r="CF27" s="801"/>
      <c r="CG27" s="801"/>
      <c r="CH27" s="801"/>
      <c r="CI27" s="801"/>
      <c r="CJ27" s="801"/>
      <c r="CK27" s="801"/>
      <c r="CL27" s="801"/>
      <c r="CM27" s="801"/>
      <c r="CN27" s="801"/>
      <c r="CO27" s="801"/>
      <c r="CP27" s="490">
        <f>SUM(CQ27:CR27)</f>
        <v>0.028999999999999998</v>
      </c>
      <c r="CQ27" s="490">
        <f>CY27+DG27</f>
        <v>0.028999999999999998</v>
      </c>
      <c r="CR27" s="490"/>
      <c r="CS27" s="486"/>
      <c r="CT27" s="486"/>
      <c r="CU27" s="486"/>
      <c r="CV27" s="486"/>
      <c r="CW27" s="486"/>
      <c r="CX27" s="490">
        <f>SUM(CY27:CZ27)</f>
        <v>0.018</v>
      </c>
      <c r="CY27" s="490">
        <f>BV27</f>
        <v>0.018</v>
      </c>
      <c r="CZ27" s="798"/>
      <c r="DA27" s="799"/>
      <c r="DB27" s="799"/>
      <c r="DC27" s="799"/>
      <c r="DD27" s="799"/>
      <c r="DE27" s="799"/>
      <c r="DF27" s="798">
        <f>SUM(DG27:DH27)</f>
        <v>0.011</v>
      </c>
      <c r="DG27" s="798">
        <f>CD27</f>
        <v>0.011</v>
      </c>
      <c r="DH27" s="94"/>
      <c r="DI27" s="374"/>
      <c r="DJ27" s="374"/>
      <c r="DK27" s="374"/>
      <c r="DL27" s="374"/>
      <c r="DM27" s="374"/>
    </row>
    <row r="28" spans="1:117" s="97" customFormat="1" ht="25.5">
      <c r="A28" s="211"/>
      <c r="B28" s="68" t="s">
        <v>1309</v>
      </c>
      <c r="C28" s="99" t="s">
        <v>605</v>
      </c>
      <c r="D28" s="91">
        <f>SUM(E28:F28)</f>
        <v>0.005</v>
      </c>
      <c r="E28" s="91">
        <v>0.005</v>
      </c>
      <c r="F28" s="91">
        <f>F25-F27</f>
        <v>0</v>
      </c>
      <c r="G28" s="91"/>
      <c r="H28" s="91"/>
      <c r="I28" s="91"/>
      <c r="J28" s="91"/>
      <c r="K28" s="91"/>
      <c r="L28" s="91">
        <f>SUM(M28:N28)</f>
        <v>0.0050000000000000044</v>
      </c>
      <c r="M28" s="91">
        <f>M25-M27</f>
        <v>0.0050000000000000044</v>
      </c>
      <c r="N28" s="91">
        <f>N25-N27</f>
        <v>0</v>
      </c>
      <c r="O28" s="91"/>
      <c r="P28" s="91"/>
      <c r="Q28" s="91"/>
      <c r="R28" s="91"/>
      <c r="S28" s="91"/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1">
        <v>0</v>
      </c>
      <c r="BL28" s="91">
        <v>0</v>
      </c>
      <c r="BM28" s="91">
        <v>0</v>
      </c>
      <c r="BN28" s="91">
        <v>0</v>
      </c>
      <c r="BO28" s="91">
        <v>0</v>
      </c>
      <c r="BP28" s="91">
        <v>0</v>
      </c>
      <c r="BQ28" s="91">
        <v>0</v>
      </c>
      <c r="BR28" s="91">
        <v>0</v>
      </c>
      <c r="BS28" s="91">
        <v>0</v>
      </c>
      <c r="BT28" s="91">
        <v>0</v>
      </c>
      <c r="BU28" s="91">
        <v>0</v>
      </c>
      <c r="BV28" s="91">
        <v>0</v>
      </c>
      <c r="BW28" s="91">
        <v>0</v>
      </c>
      <c r="BX28" s="91">
        <v>0</v>
      </c>
      <c r="BY28" s="91">
        <v>0</v>
      </c>
      <c r="BZ28" s="91">
        <v>0</v>
      </c>
      <c r="CA28" s="91">
        <v>0</v>
      </c>
      <c r="CB28" s="91">
        <v>0</v>
      </c>
      <c r="CC28" s="91">
        <v>0</v>
      </c>
      <c r="CD28" s="91">
        <v>0</v>
      </c>
      <c r="CE28" s="91">
        <v>0</v>
      </c>
      <c r="CF28" s="91">
        <v>0</v>
      </c>
      <c r="CG28" s="91">
        <v>0</v>
      </c>
      <c r="CH28" s="91">
        <v>0</v>
      </c>
      <c r="CI28" s="91">
        <v>0</v>
      </c>
      <c r="CJ28" s="91">
        <v>0</v>
      </c>
      <c r="CK28" s="91">
        <v>0</v>
      </c>
      <c r="CL28" s="91">
        <v>0</v>
      </c>
      <c r="CM28" s="91">
        <v>0</v>
      </c>
      <c r="CN28" s="91">
        <v>0</v>
      </c>
      <c r="CO28" s="91">
        <v>0</v>
      </c>
      <c r="CP28" s="91">
        <v>0</v>
      </c>
      <c r="CQ28" s="91">
        <v>0</v>
      </c>
      <c r="CR28" s="91">
        <v>0</v>
      </c>
      <c r="CS28" s="91">
        <v>0</v>
      </c>
      <c r="CT28" s="91">
        <v>0</v>
      </c>
      <c r="CU28" s="91">
        <v>0</v>
      </c>
      <c r="CV28" s="91">
        <v>0</v>
      </c>
      <c r="CW28" s="91">
        <v>0</v>
      </c>
      <c r="CX28" s="91">
        <v>0</v>
      </c>
      <c r="CY28" s="91">
        <v>0</v>
      </c>
      <c r="CZ28" s="91">
        <v>0</v>
      </c>
      <c r="DA28" s="91">
        <v>0</v>
      </c>
      <c r="DB28" s="91">
        <v>0</v>
      </c>
      <c r="DC28" s="91">
        <v>0</v>
      </c>
      <c r="DD28" s="91">
        <v>0</v>
      </c>
      <c r="DE28" s="91">
        <v>0</v>
      </c>
      <c r="DF28" s="91">
        <v>0</v>
      </c>
      <c r="DG28" s="91">
        <v>0</v>
      </c>
      <c r="DH28" s="91">
        <v>0</v>
      </c>
      <c r="DI28" s="91"/>
      <c r="DJ28" s="91"/>
      <c r="DK28" s="91"/>
      <c r="DL28" s="91"/>
      <c r="DM28" s="370"/>
    </row>
    <row r="29" spans="1:117" s="97" customFormat="1" ht="38.25">
      <c r="A29" s="211"/>
      <c r="B29" s="68" t="s">
        <v>1310</v>
      </c>
      <c r="C29" s="100" t="s">
        <v>702</v>
      </c>
      <c r="D29" s="92">
        <f aca="true" t="shared" si="0" ref="D29:K29">IF(D24&gt;0,(D25/D24),0%)</f>
        <v>0.17913486005089058</v>
      </c>
      <c r="E29" s="92">
        <f t="shared" si="0"/>
        <v>0.17913486005089058</v>
      </c>
      <c r="F29" s="92">
        <f t="shared" si="0"/>
        <v>0</v>
      </c>
      <c r="G29" s="92">
        <f t="shared" si="0"/>
        <v>0</v>
      </c>
      <c r="H29" s="92">
        <f t="shared" si="0"/>
        <v>0</v>
      </c>
      <c r="I29" s="92">
        <f t="shared" si="0"/>
        <v>0</v>
      </c>
      <c r="J29" s="92">
        <f t="shared" si="0"/>
        <v>0</v>
      </c>
      <c r="K29" s="92">
        <f t="shared" si="0"/>
        <v>0</v>
      </c>
      <c r="L29" s="92">
        <f aca="true" t="shared" si="1" ref="L29:AA29">IF(L24&gt;0,(L25/L24),0%)</f>
        <v>0.1845372460496614</v>
      </c>
      <c r="M29" s="92">
        <f t="shared" si="1"/>
        <v>0.1845372460496614</v>
      </c>
      <c r="N29" s="92">
        <f t="shared" si="1"/>
        <v>0</v>
      </c>
      <c r="O29" s="92">
        <f t="shared" si="1"/>
        <v>0</v>
      </c>
      <c r="P29" s="92">
        <f t="shared" si="1"/>
        <v>0</v>
      </c>
      <c r="Q29" s="92">
        <f t="shared" si="1"/>
        <v>0</v>
      </c>
      <c r="R29" s="92">
        <f t="shared" si="1"/>
        <v>0</v>
      </c>
      <c r="S29" s="92">
        <f t="shared" si="1"/>
        <v>0</v>
      </c>
      <c r="T29" s="92">
        <f t="shared" si="1"/>
        <v>0.06405693950177936</v>
      </c>
      <c r="U29" s="92">
        <f>IF(U24&gt;0,(U25/U24),0%)</f>
        <v>0.06405693950177936</v>
      </c>
      <c r="V29" s="519">
        <f t="shared" si="1"/>
        <v>0</v>
      </c>
      <c r="W29" s="92">
        <f t="shared" si="1"/>
        <v>0</v>
      </c>
      <c r="X29" s="92">
        <f t="shared" si="1"/>
        <v>0</v>
      </c>
      <c r="Y29" s="92">
        <f t="shared" si="1"/>
        <v>0</v>
      </c>
      <c r="Z29" s="92">
        <f t="shared" si="1"/>
        <v>0</v>
      </c>
      <c r="AA29" s="92">
        <f t="shared" si="1"/>
        <v>0</v>
      </c>
      <c r="AB29" s="491">
        <f>IF(AB24&gt;0,(AB25/AB24),0%)</f>
        <v>0.06405693950177936</v>
      </c>
      <c r="AC29" s="491">
        <f>IF(AC24&gt;0,(AC25/AC24),0%)</f>
        <v>0.06405693950177936</v>
      </c>
      <c r="AD29" s="491"/>
      <c r="AE29" s="491" t="e">
        <f>#N/A</f>
        <v>#N/A</v>
      </c>
      <c r="AF29" s="491" t="e">
        <f>#N/A</f>
        <v>#N/A</v>
      </c>
      <c r="AG29" s="491" t="e">
        <f>#N/A</f>
        <v>#N/A</v>
      </c>
      <c r="AH29" s="491" t="e">
        <f>#N/A</f>
        <v>#N/A</v>
      </c>
      <c r="AI29" s="491" t="e">
        <f>#N/A</f>
        <v>#N/A</v>
      </c>
      <c r="AJ29" s="491">
        <f>IF(AJ24&gt;0,(AJ25/AJ24),0%)</f>
        <v>0.06405693950177936</v>
      </c>
      <c r="AK29" s="491">
        <f>IF(AK24&gt;0,(AK25/AK24),0%)</f>
        <v>0.06405693950177936</v>
      </c>
      <c r="AL29" s="491"/>
      <c r="AM29" s="491" t="e">
        <f>#N/A</f>
        <v>#N/A</v>
      </c>
      <c r="AN29" s="491" t="e">
        <f>#N/A</f>
        <v>#N/A</v>
      </c>
      <c r="AO29" s="491" t="e">
        <f>#N/A</f>
        <v>#N/A</v>
      </c>
      <c r="AP29" s="491" t="e">
        <f>#N/A</f>
        <v>#N/A</v>
      </c>
      <c r="AQ29" s="491" t="e">
        <f>#N/A</f>
        <v>#N/A</v>
      </c>
      <c r="AR29" s="491">
        <f>AS29</f>
        <v>0.06658130601792574</v>
      </c>
      <c r="AS29" s="491">
        <f>IF(AS24&gt;0,(AS25/AS24),0%)</f>
        <v>0.06658130601792574</v>
      </c>
      <c r="AT29" s="491"/>
      <c r="AU29" s="491" t="e">
        <f>#N/A</f>
        <v>#N/A</v>
      </c>
      <c r="AV29" s="491" t="e">
        <f>#N/A</f>
        <v>#N/A</v>
      </c>
      <c r="AW29" s="491" t="e">
        <f>#N/A</f>
        <v>#N/A</v>
      </c>
      <c r="AX29" s="491" t="e">
        <f>#N/A</f>
        <v>#N/A</v>
      </c>
      <c r="AY29" s="491" t="e">
        <f>#N/A</f>
        <v>#N/A</v>
      </c>
      <c r="AZ29" s="491">
        <f>BA29</f>
        <v>0.059979317476732165</v>
      </c>
      <c r="BA29" s="491">
        <f>IF(BA24&gt;0,(BA25/BA24),0%)</f>
        <v>0.059979317476732165</v>
      </c>
      <c r="BB29" s="491"/>
      <c r="BC29" s="92">
        <f aca="true" t="shared" si="2" ref="BC29:CE29">IF(BC24&gt;0,(BC25/BC24),0%)</f>
        <v>0</v>
      </c>
      <c r="BD29" s="92">
        <f t="shared" si="2"/>
        <v>0</v>
      </c>
      <c r="BE29" s="92">
        <f t="shared" si="2"/>
        <v>0</v>
      </c>
      <c r="BF29" s="92">
        <f t="shared" si="2"/>
        <v>0</v>
      </c>
      <c r="BG29" s="92">
        <f t="shared" si="2"/>
        <v>0</v>
      </c>
      <c r="BH29" s="92">
        <f t="shared" si="2"/>
        <v>0</v>
      </c>
      <c r="BI29" s="92">
        <f t="shared" si="2"/>
        <v>0</v>
      </c>
      <c r="BJ29" s="92">
        <f t="shared" si="2"/>
        <v>0</v>
      </c>
      <c r="BK29" s="92">
        <f t="shared" si="2"/>
        <v>0</v>
      </c>
      <c r="BL29" s="92">
        <f t="shared" si="2"/>
        <v>0</v>
      </c>
      <c r="BM29" s="92">
        <f t="shared" si="2"/>
        <v>0.06405693950177936</v>
      </c>
      <c r="BN29" s="92">
        <f t="shared" si="2"/>
        <v>0.06405693950177936</v>
      </c>
      <c r="BO29" s="92">
        <f t="shared" si="2"/>
        <v>0</v>
      </c>
      <c r="BP29" s="92">
        <f t="shared" si="2"/>
        <v>0</v>
      </c>
      <c r="BQ29" s="92">
        <f t="shared" si="2"/>
        <v>0</v>
      </c>
      <c r="BR29" s="92">
        <f t="shared" si="2"/>
        <v>0</v>
      </c>
      <c r="BS29" s="92">
        <f t="shared" si="2"/>
        <v>0</v>
      </c>
      <c r="BT29" s="92">
        <f t="shared" si="2"/>
        <v>0</v>
      </c>
      <c r="BU29" s="92">
        <f t="shared" si="2"/>
        <v>0.06658130601792574</v>
      </c>
      <c r="BV29" s="92">
        <f t="shared" si="2"/>
        <v>0.06658130601792574</v>
      </c>
      <c r="BW29" s="92">
        <f t="shared" si="2"/>
        <v>0</v>
      </c>
      <c r="BX29" s="92">
        <f t="shared" si="2"/>
        <v>0</v>
      </c>
      <c r="BY29" s="92">
        <f t="shared" si="2"/>
        <v>0</v>
      </c>
      <c r="BZ29" s="92">
        <f t="shared" si="2"/>
        <v>0</v>
      </c>
      <c r="CA29" s="92">
        <f t="shared" si="2"/>
        <v>0</v>
      </c>
      <c r="CB29" s="92">
        <f t="shared" si="2"/>
        <v>0</v>
      </c>
      <c r="CC29" s="92">
        <f t="shared" si="2"/>
        <v>0.059979317476732165</v>
      </c>
      <c r="CD29" s="92">
        <f t="shared" si="2"/>
        <v>0.059979317476732165</v>
      </c>
      <c r="CE29" s="92">
        <f t="shared" si="2"/>
        <v>0</v>
      </c>
      <c r="CF29" s="92"/>
      <c r="CG29" s="92"/>
      <c r="CH29" s="92"/>
      <c r="CI29" s="92"/>
      <c r="CJ29" s="375"/>
      <c r="CK29" s="92"/>
      <c r="CL29" s="92"/>
      <c r="CM29" s="92"/>
      <c r="CN29" s="92"/>
      <c r="CO29" s="375"/>
      <c r="CP29" s="92">
        <f aca="true" t="shared" si="3" ref="CP29:DG29">IF(CP24&gt;0,(CP25/CP24),0%)</f>
        <v>0.06405693950177936</v>
      </c>
      <c r="CQ29" s="92">
        <f t="shared" si="3"/>
        <v>0.06405693950177936</v>
      </c>
      <c r="CR29" s="92"/>
      <c r="CS29" s="92">
        <f t="shared" si="3"/>
        <v>0</v>
      </c>
      <c r="CT29" s="92">
        <f t="shared" si="3"/>
        <v>0</v>
      </c>
      <c r="CU29" s="92">
        <f t="shared" si="3"/>
        <v>0</v>
      </c>
      <c r="CV29" s="92">
        <f t="shared" si="3"/>
        <v>0</v>
      </c>
      <c r="CW29" s="92">
        <f t="shared" si="3"/>
        <v>0</v>
      </c>
      <c r="CX29" s="92">
        <f t="shared" si="3"/>
        <v>0.06658130601792574</v>
      </c>
      <c r="CY29" s="92">
        <f t="shared" si="3"/>
        <v>0.06658130601792574</v>
      </c>
      <c r="CZ29" s="92">
        <f t="shared" si="3"/>
        <v>0</v>
      </c>
      <c r="DA29" s="92">
        <f t="shared" si="3"/>
        <v>0</v>
      </c>
      <c r="DB29" s="92">
        <f t="shared" si="3"/>
        <v>0</v>
      </c>
      <c r="DC29" s="92">
        <f t="shared" si="3"/>
        <v>0</v>
      </c>
      <c r="DD29" s="92">
        <f t="shared" si="3"/>
        <v>0</v>
      </c>
      <c r="DE29" s="92">
        <f t="shared" si="3"/>
        <v>0</v>
      </c>
      <c r="DF29" s="92">
        <f t="shared" si="3"/>
        <v>0.059979317476732165</v>
      </c>
      <c r="DG29" s="92">
        <f t="shared" si="3"/>
        <v>0.059979317476732165</v>
      </c>
      <c r="DH29" s="92"/>
      <c r="DI29" s="92"/>
      <c r="DJ29" s="92"/>
      <c r="DK29" s="92"/>
      <c r="DL29" s="92"/>
      <c r="DM29" s="375"/>
    </row>
    <row r="30" spans="1:162" s="321" customFormat="1" ht="51">
      <c r="A30" s="317">
        <v>5</v>
      </c>
      <c r="B30" s="318" t="s">
        <v>1020</v>
      </c>
      <c r="C30" s="319" t="s">
        <v>1276</v>
      </c>
      <c r="D30" s="320">
        <f>SUM(E30:F30)</f>
        <v>1.613</v>
      </c>
      <c r="E30" s="320">
        <f>E24-E25</f>
        <v>1.613</v>
      </c>
      <c r="F30" s="320">
        <f>F24-F25</f>
        <v>0</v>
      </c>
      <c r="G30" s="320"/>
      <c r="H30" s="320"/>
      <c r="I30" s="320"/>
      <c r="J30" s="320"/>
      <c r="K30" s="320"/>
      <c r="L30" s="320">
        <f>SUM(M30:N30)</f>
        <v>1.445</v>
      </c>
      <c r="M30" s="320">
        <f>M24-M25</f>
        <v>1.445</v>
      </c>
      <c r="N30" s="320">
        <f>N24-N25</f>
        <v>0</v>
      </c>
      <c r="O30" s="320"/>
      <c r="P30" s="320"/>
      <c r="Q30" s="320"/>
      <c r="R30" s="320"/>
      <c r="S30" s="320"/>
      <c r="T30" s="90">
        <f>SUM(U30:V30)</f>
        <v>2.367</v>
      </c>
      <c r="U30" s="90">
        <f>U24-U25</f>
        <v>2.367</v>
      </c>
      <c r="V30" s="513">
        <f>V24-V25</f>
        <v>0</v>
      </c>
      <c r="W30" s="90"/>
      <c r="X30" s="90"/>
      <c r="Y30" s="90"/>
      <c r="Z30" s="90"/>
      <c r="AA30" s="90"/>
      <c r="AB30" s="484">
        <f>AB24-AB25</f>
        <v>2.367</v>
      </c>
      <c r="AC30" s="484">
        <f>AC24-AC25</f>
        <v>2.367</v>
      </c>
      <c r="AD30" s="484"/>
      <c r="AE30" s="484"/>
      <c r="AF30" s="484"/>
      <c r="AG30" s="484"/>
      <c r="AH30" s="484"/>
      <c r="AI30" s="484"/>
      <c r="AJ30" s="484">
        <f>AJ24-AJ25</f>
        <v>2.367</v>
      </c>
      <c r="AK30" s="484">
        <f>AK24-AK25</f>
        <v>2.367</v>
      </c>
      <c r="AL30" s="484"/>
      <c r="AM30" s="484"/>
      <c r="AN30" s="484"/>
      <c r="AO30" s="484"/>
      <c r="AP30" s="484"/>
      <c r="AQ30" s="484"/>
      <c r="AR30" s="484">
        <f>AR24-AR25</f>
        <v>1.458</v>
      </c>
      <c r="AS30" s="484">
        <f>AS24-AS25</f>
        <v>1.458</v>
      </c>
      <c r="AT30" s="484"/>
      <c r="AU30" s="484"/>
      <c r="AV30" s="484"/>
      <c r="AW30" s="484"/>
      <c r="AX30" s="484"/>
      <c r="AY30" s="484"/>
      <c r="AZ30" s="484">
        <f>AZ24-AZ25</f>
        <v>0.9089999999999999</v>
      </c>
      <c r="BA30" s="484">
        <f>BA24-BA25</f>
        <v>0.9089999999999999</v>
      </c>
      <c r="BB30" s="484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484">
        <f>BN30+BO30</f>
        <v>2.367</v>
      </c>
      <c r="BN30" s="484">
        <f>AK30</f>
        <v>2.367</v>
      </c>
      <c r="BO30" s="484"/>
      <c r="BP30" s="484"/>
      <c r="BQ30" s="484"/>
      <c r="BR30" s="484"/>
      <c r="BS30" s="484"/>
      <c r="BT30" s="484"/>
      <c r="BU30" s="484">
        <f>BV30+BW30</f>
        <v>1.458</v>
      </c>
      <c r="BV30" s="484">
        <f>AS30</f>
        <v>1.458</v>
      </c>
      <c r="BW30" s="484"/>
      <c r="BX30" s="484"/>
      <c r="BY30" s="484"/>
      <c r="BZ30" s="484"/>
      <c r="CA30" s="484"/>
      <c r="CB30" s="484"/>
      <c r="CC30" s="484">
        <f>CD30+CE30</f>
        <v>0.9089999999999999</v>
      </c>
      <c r="CD30" s="484">
        <f>BA30</f>
        <v>0.9089999999999999</v>
      </c>
      <c r="CE30" s="90"/>
      <c r="CF30" s="90">
        <f aca="true" t="shared" si="4" ref="CF30:CO30">CF24-CF25</f>
        <v>0</v>
      </c>
      <c r="CG30" s="90">
        <f t="shared" si="4"/>
        <v>0</v>
      </c>
      <c r="CH30" s="90">
        <f t="shared" si="4"/>
        <v>0</v>
      </c>
      <c r="CI30" s="90">
        <f t="shared" si="4"/>
        <v>0</v>
      </c>
      <c r="CJ30" s="367">
        <f t="shared" si="4"/>
        <v>0</v>
      </c>
      <c r="CK30" s="90">
        <f t="shared" si="4"/>
        <v>0</v>
      </c>
      <c r="CL30" s="90">
        <f t="shared" si="4"/>
        <v>0</v>
      </c>
      <c r="CM30" s="90">
        <f t="shared" si="4"/>
        <v>0</v>
      </c>
      <c r="CN30" s="90">
        <f t="shared" si="4"/>
        <v>0</v>
      </c>
      <c r="CO30" s="367">
        <f t="shared" si="4"/>
        <v>0</v>
      </c>
      <c r="CP30" s="484">
        <f>CQ30+CR30</f>
        <v>2.367</v>
      </c>
      <c r="CQ30" s="484">
        <f>CQ24-CQ25</f>
        <v>2.367</v>
      </c>
      <c r="CR30" s="484"/>
      <c r="CS30" s="484"/>
      <c r="CT30" s="484"/>
      <c r="CU30" s="484"/>
      <c r="CV30" s="484"/>
      <c r="CW30" s="484"/>
      <c r="CX30" s="484">
        <f>CY30+CZ30</f>
        <v>1.458</v>
      </c>
      <c r="CY30" s="484">
        <f>BV30</f>
        <v>1.458</v>
      </c>
      <c r="CZ30" s="484"/>
      <c r="DA30" s="484"/>
      <c r="DB30" s="484"/>
      <c r="DC30" s="484"/>
      <c r="DD30" s="484"/>
      <c r="DE30" s="484"/>
      <c r="DF30" s="484">
        <f>DG30+DH30</f>
        <v>0.9089999999999999</v>
      </c>
      <c r="DG30" s="484">
        <f>CD30</f>
        <v>0.9089999999999999</v>
      </c>
      <c r="DH30" s="90"/>
      <c r="DI30" s="90">
        <f>DI24-DI25</f>
        <v>0</v>
      </c>
      <c r="DJ30" s="90">
        <f>DJ24-DJ25</f>
        <v>0</v>
      </c>
      <c r="DK30" s="90">
        <f>DK24-DK25</f>
        <v>0</v>
      </c>
      <c r="DL30" s="90">
        <f>DL24-DL25</f>
        <v>0</v>
      </c>
      <c r="DM30" s="367">
        <f>DM24-DM25</f>
        <v>0</v>
      </c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</row>
    <row r="31" spans="1:2" ht="15" hidden="1" outlineLevel="1">
      <c r="A31" s="211"/>
      <c r="B31" s="113" t="s">
        <v>35</v>
      </c>
    </row>
    <row r="32" spans="1:101" ht="15.75" customHeight="1" hidden="1" outlineLevel="1">
      <c r="A32" s="211"/>
      <c r="B32" s="116" t="s">
        <v>637</v>
      </c>
      <c r="C32" s="115" t="s">
        <v>1565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</row>
    <row r="33" spans="1:101" ht="15" hidden="1" outlineLevel="1">
      <c r="A33" s="211"/>
      <c r="B33" s="116" t="s">
        <v>639</v>
      </c>
      <c r="C33" s="114" t="s">
        <v>1566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</row>
    <row r="34" spans="1:101" ht="15" hidden="1" outlineLevel="1">
      <c r="A34" s="211"/>
      <c r="B34" s="116" t="s">
        <v>640</v>
      </c>
      <c r="C34" s="114" t="s">
        <v>1427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</row>
    <row r="35" spans="1:101" ht="15" hidden="1" outlineLevel="1">
      <c r="A35" s="211"/>
      <c r="B35" s="116" t="s">
        <v>641</v>
      </c>
      <c r="C35" s="114" t="s">
        <v>942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</row>
    <row r="36" spans="1:101" ht="15.75" customHeight="1" hidden="1" outlineLevel="1">
      <c r="A36" s="211"/>
      <c r="B36" s="116" t="s">
        <v>642</v>
      </c>
      <c r="C36" s="115" t="s">
        <v>1614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</row>
    <row r="37" spans="1:36" ht="15" collapsed="1">
      <c r="A37" s="211"/>
      <c r="AB37" s="209"/>
      <c r="AC37" s="209"/>
      <c r="AD37" s="209"/>
      <c r="AJ37" s="209"/>
    </row>
    <row r="38" spans="1:36" ht="15">
      <c r="A38" s="211"/>
      <c r="AJ38" s="209"/>
    </row>
    <row r="39" spans="1:36" ht="15">
      <c r="A39" s="211"/>
      <c r="B39" s="1"/>
      <c r="AJ39" s="209"/>
    </row>
    <row r="40" spans="1:66" ht="15">
      <c r="A40" s="211"/>
      <c r="B40" s="52" t="s">
        <v>1495</v>
      </c>
      <c r="C40" s="376"/>
      <c r="D40" s="312"/>
      <c r="E40" s="312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439"/>
      <c r="V40" s="439"/>
      <c r="W40" s="439"/>
      <c r="X40" s="439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</row>
    <row r="41" spans="21:66" ht="15">
      <c r="U41" s="97"/>
      <c r="V41" s="97"/>
      <c r="W41" s="97"/>
      <c r="X41" s="97"/>
      <c r="Y41" s="97"/>
      <c r="Z41" s="97"/>
      <c r="AA41" s="97"/>
      <c r="AB41" s="97"/>
      <c r="AC41" s="440"/>
      <c r="AD41" s="441"/>
      <c r="AE41" s="442"/>
      <c r="AF41" s="442"/>
      <c r="AG41" s="442"/>
      <c r="AH41" s="442"/>
      <c r="AI41" s="442"/>
      <c r="AJ41" s="443"/>
      <c r="AK41" s="444"/>
      <c r="AL41" s="445"/>
      <c r="AM41" s="443"/>
      <c r="AN41" s="443"/>
      <c r="AO41" s="443"/>
      <c r="AP41" s="443"/>
      <c r="AQ41" s="443"/>
      <c r="AR41" s="446"/>
      <c r="AS41" s="446"/>
      <c r="AT41" s="446"/>
      <c r="AU41" s="446"/>
      <c r="AV41" s="446"/>
      <c r="AW41" s="446"/>
      <c r="AX41" s="446"/>
      <c r="AY41" s="446"/>
      <c r="AZ41" s="446"/>
      <c r="BA41" s="442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</row>
    <row r="42" spans="21:66" ht="15">
      <c r="U42" s="97"/>
      <c r="V42" s="97"/>
      <c r="W42" s="97"/>
      <c r="X42" s="97"/>
      <c r="Y42" s="97"/>
      <c r="Z42" s="97"/>
      <c r="AA42" s="97"/>
      <c r="AB42" s="97"/>
      <c r="AC42" s="97"/>
      <c r="AD42" s="440"/>
      <c r="AE42" s="97"/>
      <c r="AF42" s="97"/>
      <c r="AG42" s="97"/>
      <c r="AH42" s="97"/>
      <c r="AI42" s="97"/>
      <c r="AJ42" s="447"/>
      <c r="AK42" s="97"/>
      <c r="AL42" s="97"/>
      <c r="AM42" s="97"/>
      <c r="AN42" s="97"/>
      <c r="AO42" s="97"/>
      <c r="AP42" s="97"/>
      <c r="AQ42" s="97"/>
      <c r="AR42" s="447"/>
      <c r="AS42" s="447"/>
      <c r="AT42" s="447"/>
      <c r="AU42" s="447"/>
      <c r="AV42" s="447"/>
      <c r="AW42" s="447"/>
      <c r="AX42" s="447"/>
      <c r="AY42" s="447"/>
      <c r="AZ42" s="44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</row>
    <row r="43" spans="29:52" ht="15">
      <c r="AC43" s="11"/>
      <c r="AD43" s="2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</row>
    <row r="44" spans="29:52" ht="15">
      <c r="AC44" s="11"/>
      <c r="AD44" s="2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</row>
    <row r="45" spans="30:52" ht="15">
      <c r="AD45" s="11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</row>
    <row r="47" spans="29:53" ht="15">
      <c r="AC47" s="188"/>
      <c r="AD47" s="189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90"/>
      <c r="AS47" s="190"/>
      <c r="AT47" s="190"/>
      <c r="AU47" s="190"/>
      <c r="AV47" s="190"/>
      <c r="AW47" s="190"/>
      <c r="AX47" s="190"/>
      <c r="AY47" s="190"/>
      <c r="AZ47" s="190"/>
      <c r="BA47" s="188"/>
    </row>
    <row r="48" ht="15">
      <c r="AD48" s="11"/>
    </row>
  </sheetData>
  <sheetProtection/>
  <protectedRanges>
    <protectedRange password="CC01" sqref="M2:N2" name="Диапазон1_1"/>
  </protectedRanges>
  <mergeCells count="98">
    <mergeCell ref="BH10:BL10"/>
    <mergeCell ref="BH11:BL11"/>
    <mergeCell ref="AZ10:AZ12"/>
    <mergeCell ref="CK8:CO8"/>
    <mergeCell ref="CK9:CO9"/>
    <mergeCell ref="CK11:CO11"/>
    <mergeCell ref="CK10:CO10"/>
    <mergeCell ref="BV11:BV12"/>
    <mergeCell ref="BW11:BW12"/>
    <mergeCell ref="BM8:CJ8"/>
    <mergeCell ref="BM9:BT9"/>
    <mergeCell ref="BU9:CB9"/>
    <mergeCell ref="AD11:AD12"/>
    <mergeCell ref="BA11:BA12"/>
    <mergeCell ref="AS11:AS12"/>
    <mergeCell ref="AM11:AQ11"/>
    <mergeCell ref="AT11:AT12"/>
    <mergeCell ref="AU11:AY11"/>
    <mergeCell ref="BC11:BG11"/>
    <mergeCell ref="BB11:BB12"/>
    <mergeCell ref="BV10:CB10"/>
    <mergeCell ref="BP11:BT11"/>
    <mergeCell ref="BN11:BN12"/>
    <mergeCell ref="BO11:BO12"/>
    <mergeCell ref="BU10:BU12"/>
    <mergeCell ref="B26:B27"/>
    <mergeCell ref="B15:B19"/>
    <mergeCell ref="B21:B22"/>
    <mergeCell ref="AR10:AR12"/>
    <mergeCell ref="M11:M12"/>
    <mergeCell ref="AK11:AK12"/>
    <mergeCell ref="AC11:AC12"/>
    <mergeCell ref="E10:K10"/>
    <mergeCell ref="G11:K11"/>
    <mergeCell ref="AE11:AI11"/>
    <mergeCell ref="B7:B12"/>
    <mergeCell ref="C7:C12"/>
    <mergeCell ref="CD10:CJ10"/>
    <mergeCell ref="CD11:CD12"/>
    <mergeCell ref="CE11:CE12"/>
    <mergeCell ref="BM10:BM12"/>
    <mergeCell ref="BN10:BT10"/>
    <mergeCell ref="CF11:CJ11"/>
    <mergeCell ref="BX11:CB11"/>
    <mergeCell ref="M10:S10"/>
    <mergeCell ref="L10:L12"/>
    <mergeCell ref="BA10:BG10"/>
    <mergeCell ref="AB8:AI9"/>
    <mergeCell ref="AK10:AQ10"/>
    <mergeCell ref="AS10:AY10"/>
    <mergeCell ref="AR9:AY9"/>
    <mergeCell ref="AC10:AI10"/>
    <mergeCell ref="U11:U12"/>
    <mergeCell ref="W11:AA11"/>
    <mergeCell ref="D10:D12"/>
    <mergeCell ref="AJ9:AQ9"/>
    <mergeCell ref="AB10:AB12"/>
    <mergeCell ref="AL11:AL12"/>
    <mergeCell ref="V11:V12"/>
    <mergeCell ref="AJ10:AJ12"/>
    <mergeCell ref="E11:E12"/>
    <mergeCell ref="F11:F12"/>
    <mergeCell ref="N11:N12"/>
    <mergeCell ref="U10:AA10"/>
    <mergeCell ref="CP8:DM8"/>
    <mergeCell ref="CP9:CW9"/>
    <mergeCell ref="CX9:DE9"/>
    <mergeCell ref="DF9:DM9"/>
    <mergeCell ref="DA11:DE11"/>
    <mergeCell ref="DG11:DG12"/>
    <mergeCell ref="DH11:DH12"/>
    <mergeCell ref="O11:S11"/>
    <mergeCell ref="CP10:CP12"/>
    <mergeCell ref="CQ10:CW10"/>
    <mergeCell ref="CX10:CX12"/>
    <mergeCell ref="CY10:DE10"/>
    <mergeCell ref="T10:T12"/>
    <mergeCell ref="CC10:CC12"/>
    <mergeCell ref="CC2:CE2"/>
    <mergeCell ref="D7:AI7"/>
    <mergeCell ref="D8:K9"/>
    <mergeCell ref="AJ8:BG8"/>
    <mergeCell ref="AZ9:BG9"/>
    <mergeCell ref="BH8:BL8"/>
    <mergeCell ref="L8:S9"/>
    <mergeCell ref="T8:AA9"/>
    <mergeCell ref="BH9:BL9"/>
    <mergeCell ref="CC9:CJ9"/>
    <mergeCell ref="DI11:DM11"/>
    <mergeCell ref="AJ7:DH7"/>
    <mergeCell ref="DF2:DH2"/>
    <mergeCell ref="DF10:DF12"/>
    <mergeCell ref="DG10:DM10"/>
    <mergeCell ref="CQ11:CQ12"/>
    <mergeCell ref="CR11:CR12"/>
    <mergeCell ref="CS11:CW11"/>
    <mergeCell ref="CY11:CY12"/>
    <mergeCell ref="CZ11:CZ12"/>
  </mergeCells>
  <printOptions horizontalCentered="1" verticalCentered="1"/>
  <pageMargins left="0.1968503937007874" right="0.1968503937007874" top="0.5905511811023623" bottom="0.35433070866141736" header="0.31496062992125984" footer="0.31496062992125984"/>
  <pageSetup fitToHeight="1" fitToWidth="1" horizontalDpi="600" verticalDpi="600" orientation="landscape" paperSize="9" scale="55" r:id="rId3"/>
  <ignoredErrors>
    <ignoredError sqref="B20 B23:B25 B30" numberStoredAsText="1"/>
  </ignoredErrors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Z65"/>
  <sheetViews>
    <sheetView zoomScaleSheetLayoutView="70" workbookViewId="0" topLeftCell="A1">
      <selection activeCell="A2" sqref="A2"/>
    </sheetView>
  </sheetViews>
  <sheetFormatPr defaultColWidth="9.140625" defaultRowHeight="15"/>
  <cols>
    <col min="1" max="1" width="7.421875" style="815" customWidth="1"/>
    <col min="2" max="2" width="50.140625" style="812" customWidth="1"/>
    <col min="3" max="3" width="9.140625" style="813" customWidth="1"/>
    <col min="4" max="4" width="0" style="813" hidden="1" customWidth="1"/>
    <col min="5" max="6" width="9.28125" style="814" hidden="1" customWidth="1"/>
    <col min="7" max="7" width="9.57421875" style="814" hidden="1" customWidth="1"/>
    <col min="8" max="8" width="10.00390625" style="814" customWidth="1"/>
    <col min="9" max="9" width="9.28125" style="814" customWidth="1"/>
    <col min="10" max="10" width="10.28125" style="814" customWidth="1"/>
    <col min="11" max="12" width="9.28125" style="814" customWidth="1"/>
    <col min="13" max="13" width="10.00390625" style="814" customWidth="1"/>
    <col min="14" max="14" width="10.00390625" style="815" customWidth="1"/>
    <col min="15" max="15" width="11.00390625" style="815" bestFit="1" customWidth="1"/>
    <col min="16" max="16" width="9.8515625" style="815" customWidth="1"/>
    <col min="17" max="16384" width="9.140625" style="815" customWidth="1"/>
  </cols>
  <sheetData>
    <row r="1" spans="1:15" ht="14.25">
      <c r="A1" s="811" t="s">
        <v>1037</v>
      </c>
      <c r="N1" s="506">
        <v>42116</v>
      </c>
      <c r="O1" s="507"/>
    </row>
    <row r="2" ht="14.25">
      <c r="A2" s="811" t="s">
        <v>661</v>
      </c>
    </row>
    <row r="3" ht="7.5" customHeight="1"/>
    <row r="4" spans="1:13" ht="16.5">
      <c r="A4" s="2306" t="s">
        <v>1525</v>
      </c>
      <c r="B4" s="2306"/>
      <c r="C4" s="2306"/>
      <c r="D4" s="2306"/>
      <c r="E4" s="2306"/>
      <c r="F4" s="2306"/>
      <c r="G4" s="2306"/>
      <c r="H4" s="2306"/>
      <c r="I4" s="2306"/>
      <c r="J4" s="2306"/>
      <c r="K4" s="2306"/>
      <c r="L4" s="2306"/>
      <c r="M4" s="2306"/>
    </row>
    <row r="5" ht="3" customHeight="1"/>
    <row r="6" spans="1:16" ht="15" customHeight="1">
      <c r="A6" s="2307" t="s">
        <v>652</v>
      </c>
      <c r="B6" s="2310" t="s">
        <v>1252</v>
      </c>
      <c r="C6" s="2310" t="s">
        <v>1311</v>
      </c>
      <c r="D6" s="2314" t="s">
        <v>1005</v>
      </c>
      <c r="E6" s="2314"/>
      <c r="F6" s="2314"/>
      <c r="G6" s="2314"/>
      <c r="H6" s="2311" t="s">
        <v>1007</v>
      </c>
      <c r="I6" s="2312"/>
      <c r="J6" s="2312"/>
      <c r="K6" s="2312"/>
      <c r="L6" s="2312"/>
      <c r="M6" s="2312"/>
      <c r="N6" s="2312"/>
      <c r="O6" s="2312"/>
      <c r="P6" s="2313"/>
    </row>
    <row r="7" spans="1:16" ht="15" customHeight="1">
      <c r="A7" s="2308"/>
      <c r="B7" s="2301"/>
      <c r="C7" s="2301"/>
      <c r="D7" s="2301" t="s">
        <v>1446</v>
      </c>
      <c r="E7" s="2301" t="s">
        <v>1497</v>
      </c>
      <c r="F7" s="2301" t="s">
        <v>1447</v>
      </c>
      <c r="G7" s="2301" t="s">
        <v>1448</v>
      </c>
      <c r="H7" s="2303" t="s">
        <v>465</v>
      </c>
      <c r="I7" s="2304"/>
      <c r="J7" s="2305"/>
      <c r="K7" s="2303" t="s">
        <v>1489</v>
      </c>
      <c r="L7" s="2304"/>
      <c r="M7" s="2305"/>
      <c r="N7" s="2303" t="s">
        <v>814</v>
      </c>
      <c r="O7" s="2304"/>
      <c r="P7" s="2305"/>
    </row>
    <row r="8" spans="1:16" ht="28.5" customHeight="1">
      <c r="A8" s="2309"/>
      <c r="B8" s="2302"/>
      <c r="C8" s="2302"/>
      <c r="D8" s="2302"/>
      <c r="E8" s="2302"/>
      <c r="F8" s="2302"/>
      <c r="G8" s="2302"/>
      <c r="H8" s="1473" t="s">
        <v>121</v>
      </c>
      <c r="I8" s="1474" t="s">
        <v>119</v>
      </c>
      <c r="J8" s="1474" t="s">
        <v>120</v>
      </c>
      <c r="K8" s="1473" t="s">
        <v>121</v>
      </c>
      <c r="L8" s="1474" t="s">
        <v>119</v>
      </c>
      <c r="M8" s="1474" t="s">
        <v>120</v>
      </c>
      <c r="N8" s="1473" t="s">
        <v>121</v>
      </c>
      <c r="O8" s="1474" t="s">
        <v>119</v>
      </c>
      <c r="P8" s="1474" t="s">
        <v>120</v>
      </c>
    </row>
    <row r="9" spans="1:16" ht="14.25">
      <c r="A9" s="816">
        <v>1</v>
      </c>
      <c r="B9" s="817">
        <v>2</v>
      </c>
      <c r="C9" s="818">
        <v>3</v>
      </c>
      <c r="D9" s="816">
        <v>4</v>
      </c>
      <c r="E9" s="817">
        <v>5</v>
      </c>
      <c r="F9" s="817"/>
      <c r="G9" s="818">
        <v>6</v>
      </c>
      <c r="H9" s="816">
        <v>7</v>
      </c>
      <c r="I9" s="817">
        <v>8</v>
      </c>
      <c r="J9" s="818">
        <v>9</v>
      </c>
      <c r="K9" s="816">
        <v>10</v>
      </c>
      <c r="L9" s="817">
        <v>11</v>
      </c>
      <c r="M9" s="818">
        <v>12</v>
      </c>
      <c r="N9" s="816">
        <v>10</v>
      </c>
      <c r="O9" s="817">
        <v>11</v>
      </c>
      <c r="P9" s="818">
        <v>12</v>
      </c>
    </row>
    <row r="10" spans="1:16" ht="14.25">
      <c r="A10" s="2318" t="s">
        <v>1253</v>
      </c>
      <c r="B10" s="2318"/>
      <c r="C10" s="2318"/>
      <c r="D10" s="2318"/>
      <c r="E10" s="2318"/>
      <c r="F10" s="2318"/>
      <c r="G10" s="2318"/>
      <c r="H10" s="2318"/>
      <c r="I10" s="2318"/>
      <c r="J10" s="2318"/>
      <c r="K10" s="2318"/>
      <c r="L10" s="2318"/>
      <c r="M10" s="2318"/>
      <c r="N10" s="2298"/>
      <c r="O10" s="2299"/>
      <c r="P10" s="2300"/>
    </row>
    <row r="11" spans="1:16" ht="14.25">
      <c r="A11" s="819" t="s">
        <v>1009</v>
      </c>
      <c r="B11" s="820" t="s">
        <v>1254</v>
      </c>
      <c r="C11" s="818" t="s">
        <v>621</v>
      </c>
      <c r="D11" s="818">
        <v>1.759</v>
      </c>
      <c r="E11" s="821">
        <f>'[4]4.1'!L30</f>
        <v>1.445</v>
      </c>
      <c r="F11" s="822">
        <v>1.574</v>
      </c>
      <c r="G11" s="823">
        <f>G13+G14</f>
        <v>2.367</v>
      </c>
      <c r="H11" s="823">
        <f>I11+J11</f>
        <v>2.367</v>
      </c>
      <c r="I11" s="823">
        <f>'4.1'!AR30</f>
        <v>1.458</v>
      </c>
      <c r="J11" s="823">
        <f>'4.1'!AZ30</f>
        <v>0.9089999999999999</v>
      </c>
      <c r="K11" s="823">
        <f>L11+M11</f>
        <v>2.367</v>
      </c>
      <c r="L11" s="823">
        <f>'4.1'!AR30</f>
        <v>1.458</v>
      </c>
      <c r="M11" s="823">
        <f>'4.1'!AZ30</f>
        <v>0.9089999999999999</v>
      </c>
      <c r="N11" s="823">
        <f>O11+P11</f>
        <v>2.367</v>
      </c>
      <c r="O11" s="823">
        <f>'4.1'!AR30</f>
        <v>1.458</v>
      </c>
      <c r="P11" s="823">
        <f>'4.1'!AZ30</f>
        <v>0.9089999999999999</v>
      </c>
    </row>
    <row r="12" spans="1:16" ht="14.25">
      <c r="A12" s="819"/>
      <c r="B12" s="824" t="s">
        <v>1034</v>
      </c>
      <c r="C12" s="818"/>
      <c r="D12" s="818"/>
      <c r="E12" s="821"/>
      <c r="F12" s="822"/>
      <c r="G12" s="825"/>
      <c r="H12" s="826"/>
      <c r="I12" s="827"/>
      <c r="J12" s="827"/>
      <c r="K12" s="826"/>
      <c r="L12" s="827"/>
      <c r="M12" s="827"/>
      <c r="N12" s="826"/>
      <c r="O12" s="827"/>
      <c r="P12" s="827"/>
    </row>
    <row r="13" spans="1:16" ht="14.25">
      <c r="A13" s="819" t="s">
        <v>145</v>
      </c>
      <c r="B13" s="828" t="s">
        <v>1255</v>
      </c>
      <c r="C13" s="818" t="s">
        <v>621</v>
      </c>
      <c r="D13" s="818">
        <v>1.614</v>
      </c>
      <c r="E13" s="821">
        <f>E11-E17</f>
        <v>1.31666108</v>
      </c>
      <c r="F13" s="822">
        <v>1.45</v>
      </c>
      <c r="G13" s="823">
        <f>K13</f>
        <v>2.220024204</v>
      </c>
      <c r="H13" s="829">
        <f>H11-H14</f>
        <v>2.220024204</v>
      </c>
      <c r="I13" s="829">
        <f aca="true" t="shared" si="0" ref="I13:P13">I11-I14</f>
        <v>1.368181458</v>
      </c>
      <c r="J13" s="829">
        <f>J11-J14</f>
        <v>0.8518427459999999</v>
      </c>
      <c r="K13" s="829">
        <f t="shared" si="0"/>
        <v>2.220024204</v>
      </c>
      <c r="L13" s="829">
        <f t="shared" si="0"/>
        <v>1.368181458</v>
      </c>
      <c r="M13" s="829">
        <f t="shared" si="0"/>
        <v>0.8518427459999999</v>
      </c>
      <c r="N13" s="829">
        <f t="shared" si="0"/>
        <v>2.220024204</v>
      </c>
      <c r="O13" s="829">
        <f t="shared" si="0"/>
        <v>1.368181458</v>
      </c>
      <c r="P13" s="829">
        <f t="shared" si="0"/>
        <v>0.8518427459999999</v>
      </c>
    </row>
    <row r="14" spans="1:16" ht="14.25">
      <c r="A14" s="819" t="s">
        <v>146</v>
      </c>
      <c r="B14" s="828" t="s">
        <v>1256</v>
      </c>
      <c r="C14" s="818" t="s">
        <v>621</v>
      </c>
      <c r="D14" s="818">
        <v>0.145</v>
      </c>
      <c r="E14" s="821">
        <f>E17</f>
        <v>0.12833892000000002</v>
      </c>
      <c r="F14" s="822">
        <v>0.124</v>
      </c>
      <c r="G14" s="823">
        <f>K14</f>
        <v>0.14697579599999996</v>
      </c>
      <c r="H14" s="830">
        <f aca="true" t="shared" si="1" ref="H14:P14">H17</f>
        <v>0.14697579599999996</v>
      </c>
      <c r="I14" s="830">
        <f t="shared" si="1"/>
        <v>0.08981854199999997</v>
      </c>
      <c r="J14" s="830">
        <f t="shared" si="1"/>
        <v>0.057157254</v>
      </c>
      <c r="K14" s="830">
        <f t="shared" si="1"/>
        <v>0.14697579599999996</v>
      </c>
      <c r="L14" s="830">
        <f t="shared" si="1"/>
        <v>0.08981854199999997</v>
      </c>
      <c r="M14" s="830">
        <f t="shared" si="1"/>
        <v>0.057157254</v>
      </c>
      <c r="N14" s="830">
        <f t="shared" si="1"/>
        <v>0.14697579599999996</v>
      </c>
      <c r="O14" s="830">
        <f t="shared" si="1"/>
        <v>0.08981854199999997</v>
      </c>
      <c r="P14" s="830">
        <f t="shared" si="1"/>
        <v>0.057157254</v>
      </c>
    </row>
    <row r="15" spans="1:16" ht="14.25">
      <c r="A15" s="819"/>
      <c r="B15" s="824" t="s">
        <v>1034</v>
      </c>
      <c r="C15" s="818"/>
      <c r="D15" s="818"/>
      <c r="E15" s="821"/>
      <c r="F15" s="822"/>
      <c r="G15" s="825"/>
      <c r="H15" s="829"/>
      <c r="I15" s="831"/>
      <c r="J15" s="831"/>
      <c r="K15" s="829"/>
      <c r="L15" s="831"/>
      <c r="M15" s="831"/>
      <c r="N15" s="829"/>
      <c r="O15" s="831"/>
      <c r="P15" s="831"/>
    </row>
    <row r="16" spans="1:16" ht="14.25">
      <c r="A16" s="819" t="s">
        <v>1257</v>
      </c>
      <c r="B16" s="832" t="s">
        <v>1258</v>
      </c>
      <c r="C16" s="818" t="s">
        <v>621</v>
      </c>
      <c r="D16" s="818"/>
      <c r="E16" s="821"/>
      <c r="F16" s="822"/>
      <c r="G16" s="825"/>
      <c r="H16" s="826"/>
      <c r="I16" s="827"/>
      <c r="J16" s="827"/>
      <c r="K16" s="826"/>
      <c r="L16" s="827"/>
      <c r="M16" s="827"/>
      <c r="N16" s="826"/>
      <c r="O16" s="827"/>
      <c r="P16" s="827"/>
    </row>
    <row r="17" spans="1:16" ht="14.25">
      <c r="A17" s="819" t="s">
        <v>1259</v>
      </c>
      <c r="B17" s="900" t="s">
        <v>1260</v>
      </c>
      <c r="C17" s="818" t="s">
        <v>621</v>
      </c>
      <c r="D17" s="818">
        <v>0.145</v>
      </c>
      <c r="E17" s="821">
        <f>E18*E40</f>
        <v>0.12833892000000002</v>
      </c>
      <c r="F17" s="822">
        <v>0.124</v>
      </c>
      <c r="G17" s="827">
        <f>K17</f>
        <v>0.14697579599999996</v>
      </c>
      <c r="H17" s="831">
        <f>I17+J17</f>
        <v>0.14697579599999996</v>
      </c>
      <c r="I17" s="831">
        <f>I21</f>
        <v>0.08981854199999997</v>
      </c>
      <c r="J17" s="831">
        <f>J21</f>
        <v>0.057157254</v>
      </c>
      <c r="K17" s="831">
        <f>L17+M17</f>
        <v>0.14697579599999996</v>
      </c>
      <c r="L17" s="831">
        <f>I17</f>
        <v>0.08981854199999997</v>
      </c>
      <c r="M17" s="831">
        <f>J17</f>
        <v>0.057157254</v>
      </c>
      <c r="N17" s="831">
        <f>H17</f>
        <v>0.14697579599999996</v>
      </c>
      <c r="O17" s="831">
        <f>L17</f>
        <v>0.08981854199999997</v>
      </c>
      <c r="P17" s="831">
        <f>J17</f>
        <v>0.057157254</v>
      </c>
    </row>
    <row r="18" spans="1:16" ht="14.25">
      <c r="A18" s="819" t="s">
        <v>631</v>
      </c>
      <c r="B18" s="828" t="s">
        <v>1256</v>
      </c>
      <c r="C18" s="818" t="s">
        <v>1261</v>
      </c>
      <c r="D18" s="818">
        <v>2.926</v>
      </c>
      <c r="E18" s="821">
        <f>'[4]4.2'!G26</f>
        <v>2.588</v>
      </c>
      <c r="F18" s="822">
        <v>2.596</v>
      </c>
      <c r="G18" s="831">
        <f>K18</f>
        <v>0.14697579599999996</v>
      </c>
      <c r="H18" s="827">
        <f aca="true" t="shared" si="2" ref="H18:P18">H21</f>
        <v>0.14697579599999996</v>
      </c>
      <c r="I18" s="827">
        <f t="shared" si="2"/>
        <v>0.08981854199999997</v>
      </c>
      <c r="J18" s="827">
        <f t="shared" si="2"/>
        <v>0.057157254</v>
      </c>
      <c r="K18" s="827">
        <f t="shared" si="2"/>
        <v>0.14697579599999996</v>
      </c>
      <c r="L18" s="827">
        <f t="shared" si="2"/>
        <v>0.08981854199999997</v>
      </c>
      <c r="M18" s="827">
        <f t="shared" si="2"/>
        <v>0.057157254</v>
      </c>
      <c r="N18" s="827">
        <f t="shared" si="2"/>
        <v>0.14697579599999996</v>
      </c>
      <c r="O18" s="827">
        <f t="shared" si="2"/>
        <v>0.08981854199999997</v>
      </c>
      <c r="P18" s="827">
        <f t="shared" si="2"/>
        <v>0.057157254</v>
      </c>
    </row>
    <row r="19" spans="1:16" ht="14.25">
      <c r="A19" s="819"/>
      <c r="B19" s="824" t="s">
        <v>1034</v>
      </c>
      <c r="C19" s="818"/>
      <c r="D19" s="818"/>
      <c r="E19" s="821"/>
      <c r="F19" s="822"/>
      <c r="G19" s="825"/>
      <c r="H19" s="829"/>
      <c r="I19" s="831"/>
      <c r="J19" s="831"/>
      <c r="K19" s="829"/>
      <c r="L19" s="831"/>
      <c r="M19" s="831"/>
      <c r="N19" s="829"/>
      <c r="O19" s="831"/>
      <c r="P19" s="831"/>
    </row>
    <row r="20" spans="1:16" ht="14.25">
      <c r="A20" s="819" t="s">
        <v>917</v>
      </c>
      <c r="B20" s="832" t="s">
        <v>1258</v>
      </c>
      <c r="C20" s="818" t="s">
        <v>1261</v>
      </c>
      <c r="D20" s="818"/>
      <c r="E20" s="821"/>
      <c r="F20" s="822"/>
      <c r="G20" s="825"/>
      <c r="H20" s="826"/>
      <c r="I20" s="827"/>
      <c r="J20" s="827"/>
      <c r="K20" s="826"/>
      <c r="L20" s="827"/>
      <c r="M20" s="827"/>
      <c r="N20" s="826"/>
      <c r="O20" s="827"/>
      <c r="P20" s="827"/>
    </row>
    <row r="21" spans="1:16" ht="14.25">
      <c r="A21" s="819" t="s">
        <v>918</v>
      </c>
      <c r="B21" s="900" t="s">
        <v>1260</v>
      </c>
      <c r="C21" s="818" t="s">
        <v>1261</v>
      </c>
      <c r="D21" s="818">
        <v>2.926</v>
      </c>
      <c r="E21" s="821">
        <f>'[4]4.2'!G26</f>
        <v>2.588</v>
      </c>
      <c r="F21" s="822">
        <v>2.596</v>
      </c>
      <c r="G21" s="830">
        <f>K21</f>
        <v>0.14697579599999996</v>
      </c>
      <c r="H21" s="829">
        <f>I21+J21</f>
        <v>0.14697579599999996</v>
      </c>
      <c r="I21" s="830">
        <f>'Перечень строений'!G70/1000</f>
        <v>0.08981854199999997</v>
      </c>
      <c r="J21" s="829">
        <f>'Перечень строений'!H70/1000</f>
        <v>0.057157254</v>
      </c>
      <c r="K21" s="830">
        <f>L21+M21</f>
        <v>0.14697579599999996</v>
      </c>
      <c r="L21" s="830">
        <f>I21</f>
        <v>0.08981854199999997</v>
      </c>
      <c r="M21" s="829">
        <f>J21</f>
        <v>0.057157254</v>
      </c>
      <c r="N21" s="830">
        <f>O21+P21</f>
        <v>0.14697579599999996</v>
      </c>
      <c r="O21" s="830">
        <f>I21</f>
        <v>0.08981854199999997</v>
      </c>
      <c r="P21" s="830">
        <f>J21</f>
        <v>0.057157254</v>
      </c>
    </row>
    <row r="22" spans="1:26" ht="15">
      <c r="A22" s="2318" t="s">
        <v>1262</v>
      </c>
      <c r="B22" s="2318"/>
      <c r="C22" s="2318"/>
      <c r="D22" s="2318"/>
      <c r="E22" s="2318"/>
      <c r="F22" s="2318"/>
      <c r="G22" s="2318"/>
      <c r="H22" s="2318"/>
      <c r="I22" s="2318"/>
      <c r="J22" s="2318"/>
      <c r="K22" s="2318"/>
      <c r="L22" s="2318"/>
      <c r="M22" s="2318"/>
      <c r="N22" s="2298"/>
      <c r="O22" s="2299"/>
      <c r="P22" s="2300"/>
      <c r="R22" s="833"/>
      <c r="S22" s="834"/>
      <c r="T22" s="833"/>
      <c r="U22" s="833"/>
      <c r="V22" s="833"/>
      <c r="W22" s="833"/>
      <c r="X22" s="833"/>
      <c r="Y22" s="833"/>
      <c r="Z22" s="833"/>
    </row>
    <row r="23" spans="1:26" ht="16.5">
      <c r="A23" s="819" t="s">
        <v>1011</v>
      </c>
      <c r="B23" s="820" t="s">
        <v>1263</v>
      </c>
      <c r="C23" s="818"/>
      <c r="D23" s="818">
        <v>25</v>
      </c>
      <c r="E23" s="818">
        <v>25</v>
      </c>
      <c r="F23" s="835">
        <v>25</v>
      </c>
      <c r="G23" s="836">
        <v>25</v>
      </c>
      <c r="H23" s="836">
        <v>25</v>
      </c>
      <c r="I23" s="836">
        <v>25</v>
      </c>
      <c r="J23" s="836">
        <v>25</v>
      </c>
      <c r="K23" s="836">
        <v>25</v>
      </c>
      <c r="L23" s="836">
        <v>25</v>
      </c>
      <c r="M23" s="836">
        <v>25</v>
      </c>
      <c r="N23" s="836">
        <v>25</v>
      </c>
      <c r="O23" s="836">
        <v>25</v>
      </c>
      <c r="P23" s="836">
        <v>25</v>
      </c>
      <c r="R23" s="837"/>
      <c r="S23" s="833"/>
      <c r="T23" s="833"/>
      <c r="U23" s="833"/>
      <c r="V23" s="833"/>
      <c r="W23" s="833"/>
      <c r="X23" s="833"/>
      <c r="Y23" s="833"/>
      <c r="Z23" s="833"/>
    </row>
    <row r="24" spans="1:26" ht="14.25">
      <c r="A24" s="819" t="s">
        <v>185</v>
      </c>
      <c r="B24" s="828" t="s">
        <v>1264</v>
      </c>
      <c r="C24" s="818"/>
      <c r="D24" s="818"/>
      <c r="E24" s="818"/>
      <c r="F24" s="835"/>
      <c r="G24" s="836"/>
      <c r="H24" s="836"/>
      <c r="I24" s="836"/>
      <c r="J24" s="836"/>
      <c r="K24" s="838"/>
      <c r="L24" s="838"/>
      <c r="M24" s="838"/>
      <c r="N24" s="839"/>
      <c r="O24" s="839"/>
      <c r="P24" s="839"/>
      <c r="R24" s="833"/>
      <c r="S24" s="791"/>
      <c r="T24" s="840"/>
      <c r="U24" s="840"/>
      <c r="V24" s="840"/>
      <c r="W24" s="840"/>
      <c r="X24" s="840"/>
      <c r="Y24" s="840"/>
      <c r="Z24" s="833"/>
    </row>
    <row r="25" spans="1:26" ht="14.25">
      <c r="A25" s="819" t="s">
        <v>1164</v>
      </c>
      <c r="B25" s="828" t="s">
        <v>1265</v>
      </c>
      <c r="C25" s="818"/>
      <c r="D25" s="818"/>
      <c r="E25" s="818"/>
      <c r="F25" s="835"/>
      <c r="G25" s="836"/>
      <c r="H25" s="836"/>
      <c r="I25" s="836"/>
      <c r="J25" s="836"/>
      <c r="K25" s="838"/>
      <c r="L25" s="838"/>
      <c r="M25" s="838"/>
      <c r="N25" s="839"/>
      <c r="O25" s="839"/>
      <c r="P25" s="839"/>
      <c r="R25" s="841"/>
      <c r="S25" s="780"/>
      <c r="T25" s="780"/>
      <c r="U25" s="780"/>
      <c r="V25" s="842"/>
      <c r="W25" s="780"/>
      <c r="X25" s="842"/>
      <c r="Y25" s="780"/>
      <c r="Z25" s="833"/>
    </row>
    <row r="26" spans="1:26" ht="14.25">
      <c r="A26" s="819" t="s">
        <v>1266</v>
      </c>
      <c r="B26" s="828" t="s">
        <v>1267</v>
      </c>
      <c r="C26" s="818"/>
      <c r="D26" s="818"/>
      <c r="E26" s="818"/>
      <c r="F26" s="835"/>
      <c r="G26" s="836"/>
      <c r="H26" s="836"/>
      <c r="I26" s="836"/>
      <c r="J26" s="836"/>
      <c r="K26" s="838"/>
      <c r="L26" s="838"/>
      <c r="M26" s="838"/>
      <c r="N26" s="839"/>
      <c r="O26" s="839"/>
      <c r="P26" s="839"/>
      <c r="R26" s="841"/>
      <c r="S26" s="843"/>
      <c r="T26" s="840"/>
      <c r="U26" s="844"/>
      <c r="V26" s="840"/>
      <c r="W26" s="844"/>
      <c r="X26" s="840"/>
      <c r="Y26" s="844"/>
      <c r="Z26" s="833"/>
    </row>
    <row r="27" spans="1:26" ht="14.25">
      <c r="A27" s="819" t="s">
        <v>1268</v>
      </c>
      <c r="B27" s="828" t="s">
        <v>1269</v>
      </c>
      <c r="C27" s="818"/>
      <c r="D27" s="818">
        <v>25</v>
      </c>
      <c r="E27" s="818">
        <v>25</v>
      </c>
      <c r="F27" s="835">
        <v>25</v>
      </c>
      <c r="G27" s="836">
        <v>25</v>
      </c>
      <c r="H27" s="836">
        <v>25</v>
      </c>
      <c r="I27" s="836">
        <v>25</v>
      </c>
      <c r="J27" s="836">
        <v>25</v>
      </c>
      <c r="K27" s="836">
        <v>25</v>
      </c>
      <c r="L27" s="836">
        <v>25</v>
      </c>
      <c r="M27" s="836">
        <v>25</v>
      </c>
      <c r="N27" s="836">
        <v>25</v>
      </c>
      <c r="O27" s="836">
        <v>25</v>
      </c>
      <c r="P27" s="836">
        <v>25</v>
      </c>
      <c r="R27" s="841"/>
      <c r="S27" s="833"/>
      <c r="T27" s="840"/>
      <c r="U27" s="840"/>
      <c r="V27" s="840"/>
      <c r="W27" s="840"/>
      <c r="X27" s="840"/>
      <c r="Y27" s="840"/>
      <c r="Z27" s="833"/>
    </row>
    <row r="28" spans="1:26" ht="14.25">
      <c r="A28" s="819" t="s">
        <v>686</v>
      </c>
      <c r="B28" s="820" t="s">
        <v>1270</v>
      </c>
      <c r="C28" s="818"/>
      <c r="D28" s="818"/>
      <c r="E28" s="818"/>
      <c r="F28" s="835"/>
      <c r="G28" s="836"/>
      <c r="H28" s="845"/>
      <c r="I28" s="845"/>
      <c r="J28" s="845"/>
      <c r="K28" s="838"/>
      <c r="L28" s="838"/>
      <c r="M28" s="838"/>
      <c r="N28" s="839"/>
      <c r="O28" s="839"/>
      <c r="P28" s="839"/>
      <c r="R28" s="846"/>
      <c r="S28" s="780"/>
      <c r="T28" s="847"/>
      <c r="U28" s="848"/>
      <c r="V28" s="847"/>
      <c r="W28" s="848"/>
      <c r="X28" s="847"/>
      <c r="Y28" s="848"/>
      <c r="Z28" s="833"/>
    </row>
    <row r="29" spans="1:26" ht="14.25">
      <c r="A29" s="819" t="s">
        <v>388</v>
      </c>
      <c r="B29" s="828" t="s">
        <v>1264</v>
      </c>
      <c r="C29" s="818"/>
      <c r="D29" s="818">
        <v>0.2</v>
      </c>
      <c r="E29" s="818">
        <v>0.2</v>
      </c>
      <c r="F29" s="835">
        <v>0.2</v>
      </c>
      <c r="G29" s="836">
        <v>0.2</v>
      </c>
      <c r="H29" s="836">
        <v>0.2</v>
      </c>
      <c r="I29" s="836">
        <v>0.2</v>
      </c>
      <c r="J29" s="836">
        <v>0.2</v>
      </c>
      <c r="K29" s="836">
        <v>0.2</v>
      </c>
      <c r="L29" s="836">
        <v>0.2</v>
      </c>
      <c r="M29" s="836">
        <v>0.2</v>
      </c>
      <c r="N29" s="836">
        <v>0.2</v>
      </c>
      <c r="O29" s="836">
        <v>0.2</v>
      </c>
      <c r="P29" s="836">
        <v>0.2</v>
      </c>
      <c r="R29" s="849"/>
      <c r="S29" s="780"/>
      <c r="T29" s="848"/>
      <c r="U29" s="848"/>
      <c r="V29" s="848"/>
      <c r="W29" s="848"/>
      <c r="X29" s="848"/>
      <c r="Y29" s="848"/>
      <c r="Z29" s="833"/>
    </row>
    <row r="30" spans="1:26" ht="14.25">
      <c r="A30" s="819" t="s">
        <v>1167</v>
      </c>
      <c r="B30" s="850" t="s">
        <v>1265</v>
      </c>
      <c r="C30" s="818"/>
      <c r="D30" s="818">
        <v>0.3</v>
      </c>
      <c r="E30" s="818">
        <v>0.3</v>
      </c>
      <c r="F30" s="835">
        <v>0.3</v>
      </c>
      <c r="G30" s="836">
        <v>0.3</v>
      </c>
      <c r="H30" s="836">
        <v>0.3</v>
      </c>
      <c r="I30" s="836">
        <v>0.3</v>
      </c>
      <c r="J30" s="836">
        <v>0.3</v>
      </c>
      <c r="K30" s="836">
        <v>0.3</v>
      </c>
      <c r="L30" s="836">
        <v>0.3</v>
      </c>
      <c r="M30" s="836">
        <v>0.3</v>
      </c>
      <c r="N30" s="836">
        <v>0.3</v>
      </c>
      <c r="O30" s="836">
        <v>0.3</v>
      </c>
      <c r="P30" s="836">
        <v>0.3</v>
      </c>
      <c r="R30" s="851"/>
      <c r="S30" s="780"/>
      <c r="T30" s="847"/>
      <c r="U30" s="848"/>
      <c r="V30" s="847"/>
      <c r="W30" s="848"/>
      <c r="X30" s="847"/>
      <c r="Y30" s="848"/>
      <c r="Z30" s="833"/>
    </row>
    <row r="31" spans="1:26" ht="14.25">
      <c r="A31" s="819" t="s">
        <v>388</v>
      </c>
      <c r="B31" s="828" t="s">
        <v>1267</v>
      </c>
      <c r="C31" s="818"/>
      <c r="D31" s="818">
        <v>0.2</v>
      </c>
      <c r="E31" s="818">
        <v>0.2</v>
      </c>
      <c r="F31" s="835">
        <v>0.1</v>
      </c>
      <c r="G31" s="836">
        <v>0.1</v>
      </c>
      <c r="H31" s="836">
        <v>0.1</v>
      </c>
      <c r="I31" s="836">
        <v>0.1</v>
      </c>
      <c r="J31" s="836">
        <v>0.1</v>
      </c>
      <c r="K31" s="836">
        <v>0.1</v>
      </c>
      <c r="L31" s="836">
        <v>0.1</v>
      </c>
      <c r="M31" s="836">
        <v>0.1</v>
      </c>
      <c r="N31" s="836">
        <v>0.1</v>
      </c>
      <c r="O31" s="836">
        <v>0.1</v>
      </c>
      <c r="P31" s="836">
        <v>0.1</v>
      </c>
      <c r="R31" s="851"/>
      <c r="S31" s="780"/>
      <c r="T31" s="848"/>
      <c r="U31" s="848"/>
      <c r="V31" s="848"/>
      <c r="W31" s="848"/>
      <c r="X31" s="848"/>
      <c r="Y31" s="848"/>
      <c r="Z31" s="833"/>
    </row>
    <row r="32" spans="1:26" ht="14.25">
      <c r="A32" s="819" t="s">
        <v>1167</v>
      </c>
      <c r="B32" s="850" t="s">
        <v>1269</v>
      </c>
      <c r="C32" s="818"/>
      <c r="D32" s="818">
        <v>0.3</v>
      </c>
      <c r="E32" s="818">
        <v>0.3</v>
      </c>
      <c r="F32" s="835">
        <v>0.2</v>
      </c>
      <c r="G32" s="836">
        <v>0.2</v>
      </c>
      <c r="H32" s="836">
        <v>0.2</v>
      </c>
      <c r="I32" s="836">
        <v>0.2</v>
      </c>
      <c r="J32" s="836">
        <v>0.2</v>
      </c>
      <c r="K32" s="836">
        <v>0.2</v>
      </c>
      <c r="L32" s="836">
        <v>0.2</v>
      </c>
      <c r="M32" s="836">
        <v>0.2</v>
      </c>
      <c r="N32" s="836">
        <v>0.2</v>
      </c>
      <c r="O32" s="836">
        <v>0.2</v>
      </c>
      <c r="P32" s="836">
        <v>0.2</v>
      </c>
      <c r="R32" s="851"/>
      <c r="S32" s="780"/>
      <c r="T32" s="847"/>
      <c r="U32" s="848"/>
      <c r="V32" s="847"/>
      <c r="W32" s="848"/>
      <c r="X32" s="847"/>
      <c r="Y32" s="848"/>
      <c r="Z32" s="833"/>
    </row>
    <row r="33" spans="1:26" ht="39">
      <c r="A33" s="819" t="s">
        <v>1003</v>
      </c>
      <c r="B33" s="852" t="s">
        <v>1451</v>
      </c>
      <c r="C33" s="818"/>
      <c r="D33" s="818">
        <v>0.2</v>
      </c>
      <c r="E33" s="818">
        <v>0.2</v>
      </c>
      <c r="F33" s="835">
        <v>0.2</v>
      </c>
      <c r="G33" s="845">
        <v>0.2</v>
      </c>
      <c r="H33" s="845">
        <v>0.2</v>
      </c>
      <c r="I33" s="845">
        <v>0.2</v>
      </c>
      <c r="J33" s="845">
        <v>0.2</v>
      </c>
      <c r="K33" s="845">
        <v>0.2</v>
      </c>
      <c r="L33" s="845">
        <v>0.2</v>
      </c>
      <c r="M33" s="845">
        <v>0.2</v>
      </c>
      <c r="N33" s="845">
        <v>0.2</v>
      </c>
      <c r="O33" s="845">
        <v>0.2</v>
      </c>
      <c r="P33" s="845">
        <v>0.2</v>
      </c>
      <c r="R33" s="851"/>
      <c r="S33" s="780"/>
      <c r="T33" s="848"/>
      <c r="U33" s="848"/>
      <c r="V33" s="848"/>
      <c r="W33" s="848"/>
      <c r="X33" s="848"/>
      <c r="Y33" s="848"/>
      <c r="Z33" s="833"/>
    </row>
    <row r="34" spans="1:26" ht="14.25">
      <c r="A34" s="2319" t="s">
        <v>1271</v>
      </c>
      <c r="B34" s="2320"/>
      <c r="C34" s="2320"/>
      <c r="D34" s="2320"/>
      <c r="E34" s="2320"/>
      <c r="F34" s="2320"/>
      <c r="G34" s="2320"/>
      <c r="H34" s="2320"/>
      <c r="I34" s="2320"/>
      <c r="J34" s="2320"/>
      <c r="K34" s="2320"/>
      <c r="L34" s="2320"/>
      <c r="M34" s="2320"/>
      <c r="N34" s="2298"/>
      <c r="O34" s="2299"/>
      <c r="P34" s="2300"/>
      <c r="R34" s="851"/>
      <c r="S34" s="780"/>
      <c r="T34" s="847"/>
      <c r="U34" s="848"/>
      <c r="V34" s="847"/>
      <c r="W34" s="848"/>
      <c r="X34" s="847"/>
      <c r="Y34" s="848"/>
      <c r="Z34" s="833"/>
    </row>
    <row r="35" spans="1:26" ht="14.25">
      <c r="A35" s="819" t="s">
        <v>1014</v>
      </c>
      <c r="B35" s="853" t="s">
        <v>1452</v>
      </c>
      <c r="C35" s="818" t="s">
        <v>1272</v>
      </c>
      <c r="D35" s="818">
        <v>46.76</v>
      </c>
      <c r="E35" s="818">
        <v>46.76</v>
      </c>
      <c r="F35" s="835">
        <v>45.135</v>
      </c>
      <c r="G35" s="854">
        <f>G37</f>
        <v>47.295</v>
      </c>
      <c r="H35" s="854">
        <v>45.14</v>
      </c>
      <c r="I35" s="854">
        <v>45.14</v>
      </c>
      <c r="J35" s="854">
        <v>45.14</v>
      </c>
      <c r="K35" s="854">
        <v>45.14</v>
      </c>
      <c r="L35" s="854">
        <v>45.14</v>
      </c>
      <c r="M35" s="854">
        <v>45.14</v>
      </c>
      <c r="N35" s="854">
        <v>45.14</v>
      </c>
      <c r="O35" s="854">
        <v>45.14</v>
      </c>
      <c r="P35" s="854">
        <v>45.14</v>
      </c>
      <c r="R35" s="851"/>
      <c r="S35" s="780"/>
      <c r="T35" s="855"/>
      <c r="U35" s="848"/>
      <c r="V35" s="848"/>
      <c r="W35" s="848"/>
      <c r="X35" s="848"/>
      <c r="Y35" s="848"/>
      <c r="Z35" s="833"/>
    </row>
    <row r="36" spans="1:26" ht="14.25">
      <c r="A36" s="819" t="s">
        <v>189</v>
      </c>
      <c r="B36" s="832" t="s">
        <v>1258</v>
      </c>
      <c r="C36" s="818" t="s">
        <v>1272</v>
      </c>
      <c r="D36" s="818"/>
      <c r="E36" s="818"/>
      <c r="F36" s="835"/>
      <c r="G36" s="856"/>
      <c r="H36" s="856"/>
      <c r="I36" s="856"/>
      <c r="J36" s="856"/>
      <c r="K36" s="856"/>
      <c r="L36" s="856"/>
      <c r="M36" s="856"/>
      <c r="N36" s="856"/>
      <c r="O36" s="856"/>
      <c r="P36" s="856"/>
      <c r="R36" s="851"/>
      <c r="S36" s="780"/>
      <c r="T36" s="857"/>
      <c r="U36" s="848"/>
      <c r="V36" s="847"/>
      <c r="W36" s="848"/>
      <c r="X36" s="847"/>
      <c r="Y36" s="848"/>
      <c r="Z36" s="833"/>
    </row>
    <row r="37" spans="1:26" ht="14.25">
      <c r="A37" s="819" t="s">
        <v>1169</v>
      </c>
      <c r="B37" s="832" t="s">
        <v>1260</v>
      </c>
      <c r="C37" s="818" t="s">
        <v>1272</v>
      </c>
      <c r="D37" s="818">
        <v>46.76</v>
      </c>
      <c r="E37" s="818">
        <v>46.76</v>
      </c>
      <c r="F37" s="835">
        <v>45.135</v>
      </c>
      <c r="G37" s="854">
        <f>(52.55+(52.55-52.55*G33))/2</f>
        <v>47.295</v>
      </c>
      <c r="H37" s="854">
        <f aca="true" t="shared" si="3" ref="H37:P37">H35</f>
        <v>45.14</v>
      </c>
      <c r="I37" s="854">
        <f t="shared" si="3"/>
        <v>45.14</v>
      </c>
      <c r="J37" s="854">
        <f t="shared" si="3"/>
        <v>45.14</v>
      </c>
      <c r="K37" s="854">
        <f t="shared" si="3"/>
        <v>45.14</v>
      </c>
      <c r="L37" s="854">
        <f t="shared" si="3"/>
        <v>45.14</v>
      </c>
      <c r="M37" s="854">
        <f t="shared" si="3"/>
        <v>45.14</v>
      </c>
      <c r="N37" s="854">
        <f t="shared" si="3"/>
        <v>45.14</v>
      </c>
      <c r="O37" s="854">
        <f t="shared" si="3"/>
        <v>45.14</v>
      </c>
      <c r="P37" s="854">
        <f t="shared" si="3"/>
        <v>45.14</v>
      </c>
      <c r="R37" s="851"/>
      <c r="S37" s="780"/>
      <c r="T37" s="847"/>
      <c r="U37" s="848"/>
      <c r="V37" s="847"/>
      <c r="W37" s="848"/>
      <c r="X37" s="847"/>
      <c r="Y37" s="848"/>
      <c r="Z37" s="833"/>
    </row>
    <row r="38" spans="1:26" ht="14.25">
      <c r="A38" s="819" t="s">
        <v>1015</v>
      </c>
      <c r="B38" s="853" t="s">
        <v>1273</v>
      </c>
      <c r="C38" s="818" t="s">
        <v>1272</v>
      </c>
      <c r="D38" s="818">
        <v>5</v>
      </c>
      <c r="E38" s="818">
        <v>5</v>
      </c>
      <c r="F38" s="835"/>
      <c r="G38" s="856">
        <v>5</v>
      </c>
      <c r="H38" s="856">
        <v>5</v>
      </c>
      <c r="I38" s="856">
        <v>5</v>
      </c>
      <c r="J38" s="856">
        <v>5</v>
      </c>
      <c r="K38" s="856">
        <v>5</v>
      </c>
      <c r="L38" s="856">
        <v>5</v>
      </c>
      <c r="M38" s="856">
        <v>5</v>
      </c>
      <c r="N38" s="856">
        <v>5</v>
      </c>
      <c r="O38" s="856">
        <v>5</v>
      </c>
      <c r="P38" s="856">
        <v>5</v>
      </c>
      <c r="R38" s="851"/>
      <c r="S38" s="858"/>
      <c r="T38" s="780"/>
      <c r="U38" s="859"/>
      <c r="V38" s="780"/>
      <c r="W38" s="859"/>
      <c r="X38" s="780"/>
      <c r="Y38" s="859"/>
      <c r="Z38" s="833"/>
    </row>
    <row r="39" spans="1:26" ht="26.25">
      <c r="A39" s="819" t="s">
        <v>1306</v>
      </c>
      <c r="B39" s="828" t="s">
        <v>1274</v>
      </c>
      <c r="C39" s="818" t="s">
        <v>1449</v>
      </c>
      <c r="D39" s="818">
        <v>989.81</v>
      </c>
      <c r="E39" s="818">
        <v>989.81</v>
      </c>
      <c r="F39" s="835">
        <v>990.2</v>
      </c>
      <c r="G39" s="860">
        <v>989.27</v>
      </c>
      <c r="H39" s="860">
        <v>983.19</v>
      </c>
      <c r="I39" s="860">
        <v>983.19</v>
      </c>
      <c r="J39" s="860">
        <v>983.19</v>
      </c>
      <c r="K39" s="860">
        <v>983.19</v>
      </c>
      <c r="L39" s="860">
        <v>983.19</v>
      </c>
      <c r="M39" s="860">
        <v>983.19</v>
      </c>
      <c r="N39" s="860">
        <v>983.19</v>
      </c>
      <c r="O39" s="860">
        <v>983.19</v>
      </c>
      <c r="P39" s="860">
        <v>983.19</v>
      </c>
      <c r="R39" s="851"/>
      <c r="S39" s="861"/>
      <c r="T39" s="862"/>
      <c r="U39" s="849"/>
      <c r="V39" s="849"/>
      <c r="W39" s="863"/>
      <c r="X39" s="863"/>
      <c r="Y39" s="863"/>
      <c r="Z39" s="849"/>
    </row>
    <row r="40" spans="1:26" ht="26.25">
      <c r="A40" s="819" t="s">
        <v>636</v>
      </c>
      <c r="B40" s="828" t="s">
        <v>1314</v>
      </c>
      <c r="C40" s="818" t="s">
        <v>1315</v>
      </c>
      <c r="D40" s="818">
        <v>0.04959</v>
      </c>
      <c r="E40" s="818">
        <v>0.04959</v>
      </c>
      <c r="F40" s="835">
        <v>0.04769</v>
      </c>
      <c r="G40" s="864">
        <f>1/1000000*G39*(G35-G38)*(1+G33)</f>
        <v>0.050209409579999996</v>
      </c>
      <c r="H40" s="864">
        <v>0.04769</v>
      </c>
      <c r="I40" s="864">
        <v>0.04769</v>
      </c>
      <c r="J40" s="864">
        <v>0.04769</v>
      </c>
      <c r="K40" s="864">
        <v>0.04769</v>
      </c>
      <c r="L40" s="864">
        <v>0.04769</v>
      </c>
      <c r="M40" s="864">
        <v>0.04769</v>
      </c>
      <c r="N40" s="864">
        <v>0.04769</v>
      </c>
      <c r="O40" s="864">
        <v>0.04769</v>
      </c>
      <c r="P40" s="864">
        <v>0.04769</v>
      </c>
      <c r="R40" s="865"/>
      <c r="S40" s="866"/>
      <c r="T40" s="867"/>
      <c r="U40" s="849"/>
      <c r="V40" s="849"/>
      <c r="W40" s="863"/>
      <c r="X40" s="863"/>
      <c r="Y40" s="863"/>
      <c r="Z40" s="849"/>
    </row>
    <row r="41" spans="1:16" ht="14.25">
      <c r="A41" s="2320" t="s">
        <v>1316</v>
      </c>
      <c r="B41" s="2320"/>
      <c r="C41" s="2320"/>
      <c r="D41" s="2320"/>
      <c r="E41" s="2320"/>
      <c r="F41" s="2320"/>
      <c r="G41" s="2320"/>
      <c r="H41" s="2320"/>
      <c r="I41" s="2320"/>
      <c r="J41" s="2320"/>
      <c r="K41" s="2320"/>
      <c r="L41" s="2320"/>
      <c r="M41" s="2320"/>
      <c r="N41" s="2298"/>
      <c r="O41" s="2299"/>
      <c r="P41" s="2300"/>
    </row>
    <row r="42" spans="1:16" ht="14.25">
      <c r="A42" s="819" t="s">
        <v>602</v>
      </c>
      <c r="B42" s="828" t="s">
        <v>1317</v>
      </c>
      <c r="C42" s="818" t="s">
        <v>616</v>
      </c>
      <c r="D42" s="868">
        <f>'[4]6.4'!J36</f>
        <v>11572.77</v>
      </c>
      <c r="E42" s="868" t="e">
        <f>'[4]6.4'!M36</f>
        <v>#REF!</v>
      </c>
      <c r="F42" s="868">
        <v>11327.48</v>
      </c>
      <c r="G42" s="868" t="e">
        <f>'[4]6.4'!S36</f>
        <v>#REF!</v>
      </c>
      <c r="H42" s="869">
        <f>'6.4'!P36</f>
        <v>11604.628624744026</v>
      </c>
      <c r="I42" s="869">
        <f>'6.4'!S36</f>
        <v>10454.89646098344</v>
      </c>
      <c r="J42" s="869">
        <f>'6.4'!V36</f>
        <v>13203.614901346671</v>
      </c>
      <c r="K42" s="869">
        <f>'6.4'!Y36</f>
        <v>12229.259806487738</v>
      </c>
      <c r="L42" s="869">
        <f>'6.4'!AB36</f>
        <v>11165.365526584139</v>
      </c>
      <c r="M42" s="869">
        <f>'6.4'!AE36</f>
        <v>13669.64164303133</v>
      </c>
      <c r="N42" s="901">
        <f>'6.4'!AH36</f>
        <v>12999.496853550925</v>
      </c>
      <c r="O42" s="901">
        <f>'6.4'!AK36</f>
        <v>11868.71931352742</v>
      </c>
      <c r="P42" s="901">
        <f>'6.4'!AN36</f>
        <v>14530.543514202025</v>
      </c>
    </row>
    <row r="43" spans="1:16" ht="26.25">
      <c r="A43" s="819" t="s">
        <v>604</v>
      </c>
      <c r="B43" s="828" t="s">
        <v>1318</v>
      </c>
      <c r="C43" s="818" t="s">
        <v>616</v>
      </c>
      <c r="D43" s="818"/>
      <c r="E43" s="818"/>
      <c r="F43" s="818">
        <v>3450</v>
      </c>
      <c r="G43" s="818"/>
      <c r="H43" s="870"/>
      <c r="I43" s="870"/>
      <c r="J43" s="870"/>
      <c r="K43" s="871"/>
      <c r="L43" s="871"/>
      <c r="M43" s="871"/>
      <c r="N43" s="872"/>
      <c r="O43" s="872"/>
      <c r="P43" s="872"/>
    </row>
    <row r="44" spans="1:16" ht="14.25">
      <c r="A44" s="819" t="s">
        <v>606</v>
      </c>
      <c r="B44" s="828" t="s">
        <v>1319</v>
      </c>
      <c r="C44" s="818" t="s">
        <v>1320</v>
      </c>
      <c r="D44" s="818">
        <v>45.56</v>
      </c>
      <c r="E44" s="818">
        <v>45.56</v>
      </c>
      <c r="F44" s="818">
        <v>48.22</v>
      </c>
      <c r="G44" s="818">
        <f>'[4]4.8'!M12*1000</f>
        <v>48.02</v>
      </c>
      <c r="H44" s="869">
        <f>'4.8'!D38*1000</f>
        <v>56.95164111160123</v>
      </c>
      <c r="I44" s="869">
        <f>'4.8'!G38*1000</f>
        <v>55.800000000000004</v>
      </c>
      <c r="J44" s="869">
        <f>'4.8'!J38*1000</f>
        <v>59.4828</v>
      </c>
      <c r="K44" s="869">
        <f>'4.8'!D50*1000</f>
        <v>61.01318985125717</v>
      </c>
      <c r="L44" s="869">
        <f>'4.8'!G50*1000</f>
        <v>59.4828</v>
      </c>
      <c r="M44" s="869">
        <f>'4.8'!J50*1000</f>
        <v>63.468147599999995</v>
      </c>
      <c r="N44" s="901">
        <f>'4.8'!D62*1000</f>
        <v>65.10107357129138</v>
      </c>
      <c r="O44" s="901">
        <f>'4.8'!G62*1000</f>
        <v>63.468147599999995</v>
      </c>
      <c r="P44" s="901">
        <f>'4.8'!J62*1000</f>
        <v>67.7205134892</v>
      </c>
    </row>
    <row r="45" spans="1:16" ht="26.25">
      <c r="A45" s="819" t="s">
        <v>613</v>
      </c>
      <c r="B45" s="828" t="s">
        <v>1321</v>
      </c>
      <c r="C45" s="818" t="s">
        <v>1320</v>
      </c>
      <c r="D45" s="818">
        <v>45.56</v>
      </c>
      <c r="E45" s="818">
        <f aca="true" t="shared" si="4" ref="E45:P45">E44</f>
        <v>45.56</v>
      </c>
      <c r="F45" s="818">
        <f t="shared" si="4"/>
        <v>48.22</v>
      </c>
      <c r="G45" s="818">
        <f t="shared" si="4"/>
        <v>48.02</v>
      </c>
      <c r="H45" s="868">
        <f t="shared" si="4"/>
        <v>56.95164111160123</v>
      </c>
      <c r="I45" s="868">
        <f t="shared" si="4"/>
        <v>55.800000000000004</v>
      </c>
      <c r="J45" s="868">
        <f t="shared" si="4"/>
        <v>59.4828</v>
      </c>
      <c r="K45" s="868">
        <f t="shared" si="4"/>
        <v>61.01318985125717</v>
      </c>
      <c r="L45" s="868">
        <f t="shared" si="4"/>
        <v>59.4828</v>
      </c>
      <c r="M45" s="868">
        <f t="shared" si="4"/>
        <v>63.468147599999995</v>
      </c>
      <c r="N45" s="868">
        <f t="shared" si="4"/>
        <v>65.10107357129138</v>
      </c>
      <c r="O45" s="868">
        <f t="shared" si="4"/>
        <v>63.468147599999995</v>
      </c>
      <c r="P45" s="868">
        <f t="shared" si="4"/>
        <v>67.7205134892</v>
      </c>
    </row>
    <row r="46" spans="1:16" ht="14.25">
      <c r="A46" s="2321"/>
      <c r="B46" s="2320"/>
      <c r="C46" s="2320"/>
      <c r="D46" s="2320"/>
      <c r="E46" s="2320"/>
      <c r="F46" s="2320"/>
      <c r="G46" s="2320"/>
      <c r="H46" s="2320"/>
      <c r="I46" s="2320"/>
      <c r="J46" s="2320"/>
      <c r="K46" s="2320"/>
      <c r="L46" s="2320"/>
      <c r="M46" s="2320"/>
      <c r="N46" s="2298"/>
      <c r="O46" s="2299"/>
      <c r="P46" s="2300"/>
    </row>
    <row r="47" spans="1:16" ht="14.25">
      <c r="A47" s="819" t="s">
        <v>1308</v>
      </c>
      <c r="B47" s="853" t="s">
        <v>1453</v>
      </c>
      <c r="C47" s="818" t="s">
        <v>1320</v>
      </c>
      <c r="D47" s="818">
        <v>619.45</v>
      </c>
      <c r="E47" s="818"/>
      <c r="F47" s="818">
        <v>588.42</v>
      </c>
      <c r="G47" s="818"/>
      <c r="H47" s="873">
        <f>(H42*H40)+H44</f>
        <v>610.3763802256439</v>
      </c>
      <c r="I47" s="873">
        <f aca="true" t="shared" si="5" ref="I47:P47">(I42*I40)+I44</f>
        <v>554.3940122243002</v>
      </c>
      <c r="J47" s="873">
        <f t="shared" si="5"/>
        <v>689.1631946452228</v>
      </c>
      <c r="K47" s="873">
        <f t="shared" si="5"/>
        <v>644.2265900226574</v>
      </c>
      <c r="L47" s="873">
        <f t="shared" si="5"/>
        <v>591.9590819627977</v>
      </c>
      <c r="M47" s="873">
        <f t="shared" si="5"/>
        <v>715.3733575561641</v>
      </c>
      <c r="N47" s="873">
        <f t="shared" si="5"/>
        <v>685.0470785171351</v>
      </c>
      <c r="O47" s="873">
        <f t="shared" si="5"/>
        <v>629.4873716621227</v>
      </c>
      <c r="P47" s="873">
        <f t="shared" si="5"/>
        <v>760.6821336814946</v>
      </c>
    </row>
    <row r="48" spans="1:16" ht="14.25">
      <c r="A48" s="819" t="s">
        <v>1673</v>
      </c>
      <c r="B48" s="832" t="s">
        <v>1258</v>
      </c>
      <c r="C48" s="818" t="s">
        <v>1320</v>
      </c>
      <c r="D48" s="818"/>
      <c r="E48" s="818"/>
      <c r="F48" s="818"/>
      <c r="G48" s="818"/>
      <c r="H48" s="873">
        <f>H47</f>
        <v>610.3763802256439</v>
      </c>
      <c r="I48" s="873">
        <f aca="true" t="shared" si="6" ref="I48:P48">I47</f>
        <v>554.3940122243002</v>
      </c>
      <c r="J48" s="873">
        <f t="shared" si="6"/>
        <v>689.1631946452228</v>
      </c>
      <c r="K48" s="873">
        <f t="shared" si="6"/>
        <v>644.2265900226574</v>
      </c>
      <c r="L48" s="873">
        <f t="shared" si="6"/>
        <v>591.9590819627977</v>
      </c>
      <c r="M48" s="873">
        <f t="shared" si="6"/>
        <v>715.3733575561641</v>
      </c>
      <c r="N48" s="873">
        <f t="shared" si="6"/>
        <v>685.0470785171351</v>
      </c>
      <c r="O48" s="873">
        <f t="shared" si="6"/>
        <v>629.4873716621227</v>
      </c>
      <c r="P48" s="873">
        <f t="shared" si="6"/>
        <v>760.6821336814946</v>
      </c>
    </row>
    <row r="49" spans="1:16" ht="14.25">
      <c r="A49" s="819" t="s">
        <v>1674</v>
      </c>
      <c r="B49" s="832" t="s">
        <v>1260</v>
      </c>
      <c r="C49" s="818" t="s">
        <v>1320</v>
      </c>
      <c r="D49" s="818">
        <v>619.45</v>
      </c>
      <c r="E49" s="818"/>
      <c r="F49" s="818">
        <v>588.42</v>
      </c>
      <c r="G49" s="818"/>
      <c r="H49" s="873"/>
      <c r="I49" s="873"/>
      <c r="J49" s="870"/>
      <c r="K49" s="871"/>
      <c r="L49" s="871"/>
      <c r="M49" s="871"/>
      <c r="N49" s="872"/>
      <c r="O49" s="872"/>
      <c r="P49" s="872"/>
    </row>
    <row r="50" spans="1:16" ht="26.25">
      <c r="A50" s="819" t="s">
        <v>1309</v>
      </c>
      <c r="B50" s="853" t="s">
        <v>1322</v>
      </c>
      <c r="C50" s="818" t="s">
        <v>1320</v>
      </c>
      <c r="D50" s="818"/>
      <c r="E50" s="818"/>
      <c r="F50" s="818">
        <v>212.75</v>
      </c>
      <c r="G50" s="818"/>
      <c r="H50" s="873"/>
      <c r="I50" s="873"/>
      <c r="J50" s="870"/>
      <c r="K50" s="871"/>
      <c r="L50" s="871"/>
      <c r="M50" s="871"/>
      <c r="N50" s="872"/>
      <c r="O50" s="872"/>
      <c r="P50" s="872"/>
    </row>
    <row r="51" spans="1:16" ht="14.25">
      <c r="A51" s="819" t="s">
        <v>38</v>
      </c>
      <c r="B51" s="832" t="s">
        <v>1258</v>
      </c>
      <c r="C51" s="818" t="s">
        <v>1320</v>
      </c>
      <c r="D51" s="818"/>
      <c r="E51" s="818"/>
      <c r="F51" s="818"/>
      <c r="G51" s="818"/>
      <c r="H51" s="818"/>
      <c r="I51" s="818"/>
      <c r="J51" s="871"/>
      <c r="K51" s="871"/>
      <c r="L51" s="871"/>
      <c r="M51" s="871"/>
      <c r="N51" s="872"/>
      <c r="O51" s="872"/>
      <c r="P51" s="872"/>
    </row>
    <row r="52" spans="1:16" ht="14.25">
      <c r="A52" s="819" t="s">
        <v>1685</v>
      </c>
      <c r="B52" s="832" t="s">
        <v>1260</v>
      </c>
      <c r="C52" s="818" t="s">
        <v>1320</v>
      </c>
      <c r="D52" s="818"/>
      <c r="E52" s="818"/>
      <c r="F52" s="818">
        <v>212.75</v>
      </c>
      <c r="G52" s="818"/>
      <c r="H52" s="873"/>
      <c r="I52" s="873"/>
      <c r="J52" s="870"/>
      <c r="K52" s="871"/>
      <c r="L52" s="871"/>
      <c r="M52" s="871"/>
      <c r="N52" s="872"/>
      <c r="O52" s="872"/>
      <c r="P52" s="872"/>
    </row>
    <row r="53" spans="1:16" s="878" customFormat="1" ht="13.5">
      <c r="A53" s="874" t="s">
        <v>1323</v>
      </c>
      <c r="B53" s="875"/>
      <c r="C53" s="876"/>
      <c r="D53" s="876"/>
      <c r="E53" s="877"/>
      <c r="F53" s="877"/>
      <c r="G53" s="877"/>
      <c r="H53" s="877"/>
      <c r="I53" s="877"/>
      <c r="J53" s="877"/>
      <c r="K53" s="877"/>
      <c r="L53" s="877"/>
      <c r="M53" s="877"/>
      <c r="N53" s="875"/>
      <c r="O53" s="875"/>
      <c r="P53" s="875"/>
    </row>
    <row r="54" spans="1:16" s="882" customFormat="1" ht="12.75">
      <c r="A54" s="879"/>
      <c r="B54" s="880" t="s">
        <v>1324</v>
      </c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1"/>
      <c r="O54" s="881"/>
      <c r="P54" s="881"/>
    </row>
    <row r="55" spans="1:16" s="878" customFormat="1" ht="13.5">
      <c r="A55" s="883" t="s">
        <v>1325</v>
      </c>
      <c r="B55" s="884" t="s">
        <v>1326</v>
      </c>
      <c r="C55" s="884"/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75"/>
      <c r="O55" s="875"/>
      <c r="P55" s="875"/>
    </row>
    <row r="56" spans="1:16" s="878" customFormat="1" ht="14.25">
      <c r="A56" s="885"/>
      <c r="B56" s="884" t="s">
        <v>1454</v>
      </c>
      <c r="C56" s="884"/>
      <c r="D56" s="884"/>
      <c r="E56" s="884"/>
      <c r="F56" s="884"/>
      <c r="G56" s="884"/>
      <c r="H56" s="884"/>
      <c r="I56" s="884"/>
      <c r="J56" s="884"/>
      <c r="K56" s="884"/>
      <c r="L56" s="884"/>
      <c r="M56" s="884"/>
      <c r="N56" s="875"/>
      <c r="O56" s="875"/>
      <c r="P56" s="875"/>
    </row>
    <row r="57" spans="1:16" s="878" customFormat="1" ht="13.5">
      <c r="A57" s="885"/>
      <c r="B57" s="2315" t="s">
        <v>1521</v>
      </c>
      <c r="C57" s="2315"/>
      <c r="D57" s="2315"/>
      <c r="E57" s="2315"/>
      <c r="F57" s="2315"/>
      <c r="G57" s="2315"/>
      <c r="H57" s="2315"/>
      <c r="I57" s="2315"/>
      <c r="J57" s="2315"/>
      <c r="K57" s="2315"/>
      <c r="L57" s="2315"/>
      <c r="M57" s="2315"/>
      <c r="N57" s="875"/>
      <c r="O57" s="875"/>
      <c r="P57" s="875"/>
    </row>
    <row r="58" spans="1:16" s="878" customFormat="1" ht="13.5">
      <c r="A58" s="885"/>
      <c r="B58" s="886" t="s">
        <v>1522</v>
      </c>
      <c r="C58" s="886"/>
      <c r="D58" s="886"/>
      <c r="E58" s="886"/>
      <c r="F58" s="886"/>
      <c r="G58" s="886"/>
      <c r="H58" s="886"/>
      <c r="I58" s="886"/>
      <c r="J58" s="886"/>
      <c r="K58" s="886"/>
      <c r="L58" s="886"/>
      <c r="M58" s="886"/>
      <c r="N58" s="875"/>
      <c r="O58" s="875"/>
      <c r="P58" s="875"/>
    </row>
    <row r="59" spans="1:16" s="882" customFormat="1" ht="14.25">
      <c r="A59" s="879"/>
      <c r="B59" s="887" t="s">
        <v>1327</v>
      </c>
      <c r="C59" s="888"/>
      <c r="D59" s="888"/>
      <c r="E59" s="888"/>
      <c r="F59" s="888"/>
      <c r="G59" s="889" t="s">
        <v>1523</v>
      </c>
      <c r="H59" s="890"/>
      <c r="I59" s="890"/>
      <c r="J59" s="890"/>
      <c r="K59" s="890"/>
      <c r="L59" s="890"/>
      <c r="M59" s="890"/>
      <c r="N59" s="881"/>
      <c r="O59" s="881"/>
      <c r="P59" s="881"/>
    </row>
    <row r="60" spans="1:13" s="878" customFormat="1" ht="13.5">
      <c r="A60" s="885"/>
      <c r="B60" s="2316" t="s">
        <v>1524</v>
      </c>
      <c r="C60" s="2316"/>
      <c r="D60" s="2316"/>
      <c r="E60" s="2316"/>
      <c r="F60" s="2316"/>
      <c r="G60" s="2316"/>
      <c r="H60" s="2316"/>
      <c r="I60" s="2316"/>
      <c r="J60" s="2316"/>
      <c r="K60" s="2316"/>
      <c r="L60" s="2316"/>
      <c r="M60" s="2316"/>
    </row>
    <row r="61" spans="1:13" s="878" customFormat="1" ht="27" customHeight="1">
      <c r="A61" s="885"/>
      <c r="B61" s="2317" t="s">
        <v>1328</v>
      </c>
      <c r="C61" s="2317"/>
      <c r="D61" s="2317"/>
      <c r="E61" s="2317"/>
      <c r="F61" s="2317"/>
      <c r="G61" s="2317"/>
      <c r="H61" s="2317"/>
      <c r="I61" s="2317"/>
      <c r="J61" s="2317"/>
      <c r="K61" s="2317"/>
      <c r="L61" s="2317"/>
      <c r="M61" s="2317"/>
    </row>
    <row r="62" spans="1:13" ht="15">
      <c r="A62" s="891"/>
      <c r="B62" s="892"/>
      <c r="C62" s="893"/>
      <c r="D62" s="893"/>
      <c r="E62" s="893"/>
      <c r="F62" s="893"/>
      <c r="G62" s="893"/>
      <c r="H62" s="893"/>
      <c r="I62" s="893"/>
      <c r="J62" s="893"/>
      <c r="K62" s="893"/>
      <c r="L62" s="893"/>
      <c r="M62" s="893"/>
    </row>
    <row r="63" spans="1:13" s="897" customFormat="1" ht="15">
      <c r="A63" s="894"/>
      <c r="B63" s="894" t="s">
        <v>1450</v>
      </c>
      <c r="C63" s="895"/>
      <c r="D63" s="895"/>
      <c r="E63" s="895"/>
      <c r="F63" s="895"/>
      <c r="G63" s="895"/>
      <c r="H63" s="895"/>
      <c r="I63" s="895"/>
      <c r="J63" s="895"/>
      <c r="K63" s="895"/>
      <c r="L63" s="895"/>
      <c r="M63" s="895"/>
    </row>
    <row r="64" spans="2:13" s="897" customFormat="1" ht="14.25">
      <c r="B64" s="898"/>
      <c r="C64" s="899"/>
      <c r="D64" s="899"/>
      <c r="E64" s="896"/>
      <c r="F64" s="896"/>
      <c r="G64" s="896"/>
      <c r="H64" s="896"/>
      <c r="I64" s="896"/>
      <c r="J64" s="896"/>
      <c r="K64" s="896"/>
      <c r="L64" s="896"/>
      <c r="M64" s="896"/>
    </row>
    <row r="65" spans="2:13" s="897" customFormat="1" ht="14.25">
      <c r="B65" s="898"/>
      <c r="C65" s="899"/>
      <c r="D65" s="899"/>
      <c r="E65" s="896"/>
      <c r="F65" s="896"/>
      <c r="G65" s="896"/>
      <c r="H65" s="896"/>
      <c r="I65" s="896"/>
      <c r="J65" s="896"/>
      <c r="K65" s="896"/>
      <c r="L65" s="896"/>
      <c r="M65" s="896"/>
    </row>
  </sheetData>
  <sheetProtection/>
  <protectedRanges>
    <protectedRange password="CC01" sqref="N1:O1" name="Диапазон1_1"/>
  </protectedRanges>
  <mergeCells count="26">
    <mergeCell ref="B57:M57"/>
    <mergeCell ref="B60:M60"/>
    <mergeCell ref="B61:M61"/>
    <mergeCell ref="K7:M7"/>
    <mergeCell ref="A10:M10"/>
    <mergeCell ref="A22:M22"/>
    <mergeCell ref="A34:M34"/>
    <mergeCell ref="A41:M41"/>
    <mergeCell ref="A46:M46"/>
    <mergeCell ref="D7:D8"/>
    <mergeCell ref="A4:M4"/>
    <mergeCell ref="A6:A8"/>
    <mergeCell ref="B6:B8"/>
    <mergeCell ref="C6:C8"/>
    <mergeCell ref="E7:E8"/>
    <mergeCell ref="G7:G8"/>
    <mergeCell ref="H6:P6"/>
    <mergeCell ref="D6:G6"/>
    <mergeCell ref="N41:P41"/>
    <mergeCell ref="N46:P46"/>
    <mergeCell ref="F7:F8"/>
    <mergeCell ref="N7:P7"/>
    <mergeCell ref="N10:P10"/>
    <mergeCell ref="N22:P22"/>
    <mergeCell ref="N34:P34"/>
    <mergeCell ref="H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1" manualBreakCount="1">
    <brk id="16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A79" sqref="A79"/>
    </sheetView>
  </sheetViews>
  <sheetFormatPr defaultColWidth="9.140625" defaultRowHeight="15"/>
  <cols>
    <col min="4" max="4" width="13.140625" style="0" customWidth="1"/>
    <col min="6" max="6" width="11.00390625" style="0" customWidth="1"/>
    <col min="7" max="7" width="10.57421875" style="0" customWidth="1"/>
  </cols>
  <sheetData>
    <row r="1" spans="1:8" ht="15">
      <c r="A1" s="1494" t="s">
        <v>1076</v>
      </c>
      <c r="B1" s="1495"/>
      <c r="C1" s="1495"/>
      <c r="D1" s="1496"/>
      <c r="E1" s="1496"/>
      <c r="F1" s="1496"/>
      <c r="G1" s="1496"/>
      <c r="H1" s="1497"/>
    </row>
    <row r="2" spans="1:8" ht="15">
      <c r="A2" s="1494" t="s">
        <v>1077</v>
      </c>
      <c r="B2" s="1495"/>
      <c r="C2" s="1495"/>
      <c r="D2" s="1496"/>
      <c r="E2" s="1496"/>
      <c r="F2" s="1496"/>
      <c r="G2" s="1496"/>
      <c r="H2" s="1497"/>
    </row>
    <row r="3" spans="1:8" ht="15">
      <c r="A3" s="1494" t="s">
        <v>1078</v>
      </c>
      <c r="B3" s="1495"/>
      <c r="C3" s="1495"/>
      <c r="D3" s="1495"/>
      <c r="E3" s="1495"/>
      <c r="F3" s="1495"/>
      <c r="G3" s="1497"/>
      <c r="H3" s="1497"/>
    </row>
    <row r="4" spans="1:8" ht="15" thickBot="1">
      <c r="A4" s="1498"/>
      <c r="B4" s="1498"/>
      <c r="C4" s="1498"/>
      <c r="D4" s="1498"/>
      <c r="E4" s="1498"/>
      <c r="F4" s="1498"/>
      <c r="G4" s="1499"/>
      <c r="H4" s="1499"/>
    </row>
    <row r="5" spans="1:8" ht="14.25">
      <c r="A5" s="2354" t="s">
        <v>1079</v>
      </c>
      <c r="B5" s="2354" t="s">
        <v>1080</v>
      </c>
      <c r="C5" s="1500" t="s">
        <v>1081</v>
      </c>
      <c r="D5" s="1501" t="s">
        <v>1082</v>
      </c>
      <c r="E5" s="1502" t="s">
        <v>1083</v>
      </c>
      <c r="F5" s="1503" t="s">
        <v>1084</v>
      </c>
      <c r="G5" s="1503" t="s">
        <v>1085</v>
      </c>
      <c r="H5" s="1504" t="s">
        <v>854</v>
      </c>
    </row>
    <row r="6" spans="1:8" ht="21" thickBot="1">
      <c r="A6" s="2355"/>
      <c r="B6" s="2355"/>
      <c r="C6" s="1505" t="s">
        <v>1086</v>
      </c>
      <c r="D6" s="1506" t="s">
        <v>1087</v>
      </c>
      <c r="E6" s="1507" t="s">
        <v>1088</v>
      </c>
      <c r="F6" s="1508" t="s">
        <v>1089</v>
      </c>
      <c r="G6" s="1508" t="s">
        <v>1090</v>
      </c>
      <c r="H6" s="1508" t="s">
        <v>1091</v>
      </c>
    </row>
    <row r="7" spans="1:9" ht="15" thickBot="1">
      <c r="A7" s="1509">
        <v>9</v>
      </c>
      <c r="B7" s="1510" t="s">
        <v>714</v>
      </c>
      <c r="C7" s="1511"/>
      <c r="D7" s="1512">
        <v>31799</v>
      </c>
      <c r="E7" s="1502">
        <v>0.2</v>
      </c>
      <c r="F7" s="1513"/>
      <c r="G7" s="1514"/>
      <c r="H7" s="1514"/>
      <c r="I7" s="1515"/>
    </row>
    <row r="8" spans="1:9" ht="14.25">
      <c r="A8" s="1509">
        <v>19</v>
      </c>
      <c r="B8" s="1516" t="s">
        <v>1092</v>
      </c>
      <c r="C8" s="1517">
        <v>501.4</v>
      </c>
      <c r="D8" s="1518">
        <v>1698</v>
      </c>
      <c r="E8" s="1519">
        <v>0.46</v>
      </c>
      <c r="F8" s="1520" t="s">
        <v>1250</v>
      </c>
      <c r="G8" s="1521" t="s">
        <v>1093</v>
      </c>
      <c r="H8" s="1522">
        <v>13</v>
      </c>
      <c r="I8" s="1523" t="s">
        <v>1094</v>
      </c>
    </row>
    <row r="9" spans="1:9" ht="14.25">
      <c r="A9" s="1524"/>
      <c r="B9" s="1525" t="s">
        <v>1095</v>
      </c>
      <c r="C9" s="1526">
        <v>720</v>
      </c>
      <c r="D9" s="1527">
        <v>2633</v>
      </c>
      <c r="E9" s="1528">
        <v>0.43</v>
      </c>
      <c r="F9" s="1529" t="s">
        <v>1250</v>
      </c>
      <c r="G9" s="1530" t="s">
        <v>1093</v>
      </c>
      <c r="H9" s="1531">
        <v>30</v>
      </c>
      <c r="I9" s="1532" t="s">
        <v>1094</v>
      </c>
    </row>
    <row r="10" spans="1:9" ht="14.25">
      <c r="A10" s="1533"/>
      <c r="B10" s="1525" t="s">
        <v>1096</v>
      </c>
      <c r="C10" s="1534">
        <v>726.1</v>
      </c>
      <c r="D10" s="1527">
        <v>2958</v>
      </c>
      <c r="E10" s="1528">
        <v>0.42</v>
      </c>
      <c r="F10" s="1535" t="s">
        <v>1250</v>
      </c>
      <c r="G10" s="1530" t="s">
        <v>1093</v>
      </c>
      <c r="H10" s="1531">
        <v>20</v>
      </c>
      <c r="I10" s="1532" t="s">
        <v>1094</v>
      </c>
    </row>
    <row r="11" spans="1:9" ht="14.25">
      <c r="A11" s="1533"/>
      <c r="B11" s="1525" t="s">
        <v>1097</v>
      </c>
      <c r="C11" s="1526">
        <v>797.7</v>
      </c>
      <c r="D11" s="1527">
        <v>2958</v>
      </c>
      <c r="E11" s="1528">
        <v>0.42</v>
      </c>
      <c r="F11" s="1529" t="s">
        <v>1250</v>
      </c>
      <c r="G11" s="1530" t="s">
        <v>1093</v>
      </c>
      <c r="H11" s="1531">
        <v>27</v>
      </c>
      <c r="I11" s="1532" t="s">
        <v>1094</v>
      </c>
    </row>
    <row r="12" spans="1:9" ht="14.25">
      <c r="A12" s="1533"/>
      <c r="B12" s="1536" t="s">
        <v>1098</v>
      </c>
      <c r="C12" s="1534">
        <v>990.3</v>
      </c>
      <c r="D12" s="1537">
        <v>3391</v>
      </c>
      <c r="E12" s="1538">
        <v>0.41</v>
      </c>
      <c r="F12" s="1539" t="s">
        <v>1250</v>
      </c>
      <c r="G12" s="1540" t="s">
        <v>1093</v>
      </c>
      <c r="H12" s="1541">
        <v>42</v>
      </c>
      <c r="I12" s="1532" t="s">
        <v>1094</v>
      </c>
    </row>
    <row r="13" spans="1:9" ht="14.25">
      <c r="A13" s="1542"/>
      <c r="B13" s="1543" t="s">
        <v>1099</v>
      </c>
      <c r="C13" s="1526">
        <f>SUM(C8:C12)</f>
        <v>3735.5</v>
      </c>
      <c r="D13" s="1544">
        <f>SUM(D8:D12)</f>
        <v>13638</v>
      </c>
      <c r="E13" s="1545"/>
      <c r="F13" s="1546"/>
      <c r="G13" s="1547"/>
      <c r="H13" s="1548">
        <f>SUM(H8:H12)</f>
        <v>132</v>
      </c>
      <c r="I13" s="1549"/>
    </row>
    <row r="14" spans="1:9" ht="15" thickBot="1">
      <c r="A14" s="1550" t="s">
        <v>1100</v>
      </c>
      <c r="B14" s="1551" t="s">
        <v>1101</v>
      </c>
      <c r="C14" s="1552"/>
      <c r="D14" s="1553">
        <v>3975</v>
      </c>
      <c r="E14" s="1554">
        <v>0.4</v>
      </c>
      <c r="F14" s="1555"/>
      <c r="G14" s="1556"/>
      <c r="H14" s="1557">
        <v>30</v>
      </c>
      <c r="I14" s="1558"/>
    </row>
    <row r="15" spans="1:6" ht="14.25">
      <c r="A15" s="1498"/>
      <c r="B15" s="1498"/>
      <c r="C15" s="1498"/>
      <c r="D15" s="1498"/>
      <c r="E15" s="1498"/>
      <c r="F15" s="1498"/>
    </row>
    <row r="16" spans="1:6" ht="14.25">
      <c r="A16" s="1559" t="s">
        <v>1102</v>
      </c>
      <c r="B16" s="1560"/>
      <c r="C16" s="1561"/>
      <c r="D16" s="1562" t="s">
        <v>1103</v>
      </c>
      <c r="E16" s="1563"/>
      <c r="F16" s="1564"/>
    </row>
    <row r="17" spans="1:6" ht="15">
      <c r="A17" s="1559" t="s">
        <v>1104</v>
      </c>
      <c r="B17" s="1560"/>
      <c r="C17" s="1565"/>
      <c r="D17" s="1566" t="s">
        <v>1105</v>
      </c>
      <c r="E17" s="1567"/>
      <c r="F17" s="1568"/>
    </row>
    <row r="18" spans="1:6" ht="15">
      <c r="A18" s="1498"/>
      <c r="B18" s="1498"/>
      <c r="C18" s="1498"/>
      <c r="D18" s="1498"/>
      <c r="E18" s="1498"/>
      <c r="F18" s="1498"/>
    </row>
    <row r="19" spans="1:9" ht="15">
      <c r="A19" s="1569"/>
      <c r="B19" s="1570"/>
      <c r="C19" s="1571" t="s">
        <v>1084</v>
      </c>
      <c r="D19" s="1571" t="s">
        <v>1106</v>
      </c>
      <c r="E19" s="1571" t="s">
        <v>1107</v>
      </c>
      <c r="F19" s="2356" t="s">
        <v>1108</v>
      </c>
      <c r="G19" s="2357"/>
      <c r="H19" s="2358"/>
      <c r="I19" s="527"/>
    </row>
    <row r="20" spans="1:9" ht="15">
      <c r="A20" s="1572" t="s">
        <v>1076</v>
      </c>
      <c r="B20" s="1573"/>
      <c r="C20" s="1574" t="s">
        <v>1109</v>
      </c>
      <c r="D20" s="1574" t="s">
        <v>1110</v>
      </c>
      <c r="E20" s="1574" t="s">
        <v>1111</v>
      </c>
      <c r="F20" s="1575" t="s">
        <v>142</v>
      </c>
      <c r="G20" s="1576" t="s">
        <v>707</v>
      </c>
      <c r="H20" s="1576" t="s">
        <v>708</v>
      </c>
      <c r="I20" s="527"/>
    </row>
    <row r="21" spans="1:9" ht="15">
      <c r="A21" s="1577"/>
      <c r="B21" s="1578"/>
      <c r="C21" s="1579" t="s">
        <v>1112</v>
      </c>
      <c r="D21" s="1579" t="s">
        <v>1113</v>
      </c>
      <c r="E21" s="1579" t="s">
        <v>1114</v>
      </c>
      <c r="F21" s="1579" t="s">
        <v>63</v>
      </c>
      <c r="G21" s="1580" t="s">
        <v>63</v>
      </c>
      <c r="H21" s="1580" t="s">
        <v>63</v>
      </c>
      <c r="I21" s="527"/>
    </row>
    <row r="22" spans="1:8" ht="15">
      <c r="A22" s="2335" t="s">
        <v>1115</v>
      </c>
      <c r="B22" s="2335"/>
      <c r="C22" s="1581"/>
      <c r="D22" s="1582">
        <f>SUM(D23:D27)</f>
        <v>132</v>
      </c>
      <c r="E22" s="1582">
        <v>2.53</v>
      </c>
      <c r="F22" s="1583">
        <f aca="true" t="shared" si="0" ref="F22:F27">G22+H22</f>
        <v>3005.6399999999994</v>
      </c>
      <c r="G22" s="1584">
        <f>SUM(G23:G27)</f>
        <v>1836.7799999999997</v>
      </c>
      <c r="H22" s="1584">
        <f>SUM(H23:H27)</f>
        <v>1168.86</v>
      </c>
    </row>
    <row r="23" spans="1:8" ht="15">
      <c r="A23" s="2335" t="s">
        <v>1092</v>
      </c>
      <c r="B23" s="2335"/>
      <c r="C23" s="1585" t="s">
        <v>1250</v>
      </c>
      <c r="D23" s="1585">
        <v>13</v>
      </c>
      <c r="E23" s="1585">
        <v>2.53</v>
      </c>
      <c r="F23" s="1581">
        <f t="shared" si="0"/>
        <v>296.01</v>
      </c>
      <c r="G23" s="1586">
        <f>D23*E23*5.5</f>
        <v>180.895</v>
      </c>
      <c r="H23" s="1586">
        <f>D23*E23*3.5</f>
        <v>115.11500000000001</v>
      </c>
    </row>
    <row r="24" spans="1:8" ht="15">
      <c r="A24" s="2335" t="s">
        <v>1095</v>
      </c>
      <c r="B24" s="2335"/>
      <c r="C24" s="1585" t="s">
        <v>1250</v>
      </c>
      <c r="D24" s="1585">
        <v>30</v>
      </c>
      <c r="E24" s="1585">
        <v>2.53</v>
      </c>
      <c r="F24" s="1581">
        <f t="shared" si="0"/>
        <v>683.0999999999999</v>
      </c>
      <c r="G24" s="1586">
        <f>D24*E24*5.5</f>
        <v>417.44999999999993</v>
      </c>
      <c r="H24" s="1586">
        <f>D24*E24*3.5</f>
        <v>265.65</v>
      </c>
    </row>
    <row r="25" spans="1:8" ht="14.25">
      <c r="A25" s="2335" t="s">
        <v>1096</v>
      </c>
      <c r="B25" s="2335"/>
      <c r="C25" s="1585" t="s">
        <v>1250</v>
      </c>
      <c r="D25" s="1587">
        <v>20</v>
      </c>
      <c r="E25" s="1585">
        <v>2.53</v>
      </c>
      <c r="F25" s="1581">
        <f t="shared" si="0"/>
        <v>455.3999999999999</v>
      </c>
      <c r="G25" s="1586">
        <f>D25*E25*5.5</f>
        <v>278.29999999999995</v>
      </c>
      <c r="H25" s="1586">
        <f>D25*E25*3.5</f>
        <v>177.09999999999997</v>
      </c>
    </row>
    <row r="26" spans="1:8" ht="14.25">
      <c r="A26" s="2335" t="s">
        <v>1116</v>
      </c>
      <c r="B26" s="2335"/>
      <c r="C26" s="1585" t="s">
        <v>1250</v>
      </c>
      <c r="D26" s="1585">
        <v>27</v>
      </c>
      <c r="E26" s="1585">
        <v>2.53</v>
      </c>
      <c r="F26" s="1581">
        <f t="shared" si="0"/>
        <v>614.7899999999998</v>
      </c>
      <c r="G26" s="1586">
        <f>D26*E26*5.5</f>
        <v>375.7049999999999</v>
      </c>
      <c r="H26" s="1586">
        <f>D26*E26*3.5</f>
        <v>239.08499999999995</v>
      </c>
    </row>
    <row r="27" spans="1:8" ht="14.25">
      <c r="A27" s="2335" t="s">
        <v>1117</v>
      </c>
      <c r="B27" s="2335"/>
      <c r="C27" s="1585" t="s">
        <v>1250</v>
      </c>
      <c r="D27" s="1585">
        <v>42</v>
      </c>
      <c r="E27" s="1585">
        <v>2.53</v>
      </c>
      <c r="F27" s="1581">
        <f t="shared" si="0"/>
        <v>956.3399999999999</v>
      </c>
      <c r="G27" s="1586">
        <f>D27*E27*5.5</f>
        <v>584.43</v>
      </c>
      <c r="H27" s="1586">
        <f>D27*E27*3.5</f>
        <v>371.90999999999997</v>
      </c>
    </row>
    <row r="28" spans="1:6" ht="14.25">
      <c r="A28" s="183"/>
      <c r="B28" s="183"/>
      <c r="C28" s="183"/>
      <c r="D28" s="183"/>
      <c r="E28" s="183"/>
      <c r="F28" s="183"/>
    </row>
    <row r="29" spans="1:8" ht="14.25">
      <c r="A29" s="1588" t="s">
        <v>1118</v>
      </c>
      <c r="B29" s="1589"/>
      <c r="C29" s="1589"/>
      <c r="D29" s="1589"/>
      <c r="E29" s="1590"/>
      <c r="F29" s="1591">
        <f>G29+H29</f>
        <v>1468</v>
      </c>
      <c r="G29" s="1592">
        <v>923</v>
      </c>
      <c r="H29" s="1592">
        <v>545</v>
      </c>
    </row>
    <row r="30" spans="1:6" ht="14.25">
      <c r="A30" s="183"/>
      <c r="B30" s="183"/>
      <c r="C30" s="183"/>
      <c r="D30" s="183"/>
      <c r="E30" s="183"/>
      <c r="F30" s="183"/>
    </row>
    <row r="31" spans="1:8" ht="14.25">
      <c r="A31" s="2325" t="s">
        <v>1119</v>
      </c>
      <c r="B31" s="2326"/>
      <c r="C31" s="2326"/>
      <c r="D31" s="2326"/>
      <c r="E31" s="2327"/>
      <c r="F31" s="1593">
        <f>F22+F29</f>
        <v>4473.639999999999</v>
      </c>
      <c r="G31" s="1593">
        <f>G22+G29</f>
        <v>2759.7799999999997</v>
      </c>
      <c r="H31" s="1593">
        <f>H22+H29</f>
        <v>1713.86</v>
      </c>
    </row>
    <row r="32" spans="1:6" ht="14.25">
      <c r="A32" s="183"/>
      <c r="B32" s="183"/>
      <c r="C32" s="183"/>
      <c r="D32" s="183"/>
      <c r="E32" s="183"/>
      <c r="F32" s="183"/>
    </row>
    <row r="33" spans="1:9" ht="14.25">
      <c r="A33" s="2344" t="s">
        <v>1076</v>
      </c>
      <c r="B33" s="2345"/>
      <c r="C33" s="2350" t="s">
        <v>1251</v>
      </c>
      <c r="D33" s="2351" t="s">
        <v>1081</v>
      </c>
      <c r="E33" s="2340" t="s">
        <v>1120</v>
      </c>
      <c r="F33" s="2339" t="s">
        <v>1121</v>
      </c>
      <c r="G33" s="2339"/>
      <c r="H33" s="2339"/>
      <c r="I33" s="1594"/>
    </row>
    <row r="34" spans="1:9" ht="14.25">
      <c r="A34" s="2346"/>
      <c r="B34" s="2347"/>
      <c r="C34" s="2350"/>
      <c r="D34" s="2352"/>
      <c r="E34" s="2340"/>
      <c r="F34" s="2340" t="s">
        <v>1122</v>
      </c>
      <c r="G34" s="2341" t="s">
        <v>1683</v>
      </c>
      <c r="H34" s="2341" t="s">
        <v>1684</v>
      </c>
      <c r="I34" s="1595"/>
    </row>
    <row r="35" spans="1:9" ht="14.25">
      <c r="A35" s="2346"/>
      <c r="B35" s="2347"/>
      <c r="C35" s="2350"/>
      <c r="D35" s="2353" t="s">
        <v>1123</v>
      </c>
      <c r="E35" s="2340"/>
      <c r="F35" s="2340"/>
      <c r="G35" s="2342"/>
      <c r="H35" s="2342"/>
      <c r="I35" s="1595"/>
    </row>
    <row r="36" spans="1:9" ht="14.25">
      <c r="A36" s="2346"/>
      <c r="B36" s="2347"/>
      <c r="C36" s="2350"/>
      <c r="D36" s="2353"/>
      <c r="E36" s="2340"/>
      <c r="F36" s="2340"/>
      <c r="G36" s="2342"/>
      <c r="H36" s="2342"/>
      <c r="I36" s="1595"/>
    </row>
    <row r="37" spans="1:9" ht="14.25">
      <c r="A37" s="2348"/>
      <c r="B37" s="2349"/>
      <c r="C37" s="2350"/>
      <c r="D37" s="1596"/>
      <c r="E37" s="2340"/>
      <c r="F37" s="2340"/>
      <c r="G37" s="2343"/>
      <c r="H37" s="2343"/>
      <c r="I37" s="1595"/>
    </row>
    <row r="38" spans="1:8" ht="14.25">
      <c r="A38" s="2335" t="s">
        <v>1115</v>
      </c>
      <c r="B38" s="2335"/>
      <c r="C38" s="1583"/>
      <c r="D38" s="1597">
        <f>SUM(D39:D43)</f>
        <v>3735.5</v>
      </c>
      <c r="E38" s="1598"/>
      <c r="F38" s="1599">
        <f aca="true" t="shared" si="1" ref="F38:F43">G38+H38</f>
        <v>1010.9383650000001</v>
      </c>
      <c r="G38" s="1600">
        <f>SUM(G39:G43)</f>
        <v>617.7956675</v>
      </c>
      <c r="H38" s="1600">
        <f>SUM(H39:H43)</f>
        <v>393.14269750000005</v>
      </c>
    </row>
    <row r="39" spans="1:8" ht="14.25">
      <c r="A39" s="2335" t="s">
        <v>1092</v>
      </c>
      <c r="B39" s="2335"/>
      <c r="C39" s="1601" t="s">
        <v>1124</v>
      </c>
      <c r="D39" s="1602">
        <v>501.4</v>
      </c>
      <c r="E39" s="1603">
        <v>0.03007</v>
      </c>
      <c r="F39" s="1604">
        <f t="shared" si="1"/>
        <v>135.69388199999997</v>
      </c>
      <c r="G39" s="1605">
        <f>D39*E39*5.5</f>
        <v>82.924039</v>
      </c>
      <c r="H39" s="1605">
        <f>D39*E39*3.5</f>
        <v>52.769842999999995</v>
      </c>
    </row>
    <row r="40" spans="1:8" ht="14.25">
      <c r="A40" s="2335" t="s">
        <v>1095</v>
      </c>
      <c r="B40" s="2335"/>
      <c r="C40" s="1601" t="s">
        <v>1124</v>
      </c>
      <c r="D40" s="1602">
        <v>720</v>
      </c>
      <c r="E40" s="1603">
        <v>0.03007</v>
      </c>
      <c r="F40" s="1604">
        <f t="shared" si="1"/>
        <v>194.85360000000003</v>
      </c>
      <c r="G40" s="1605">
        <f>D40*E40*5.5</f>
        <v>119.0772</v>
      </c>
      <c r="H40" s="1605">
        <f>D40*E40*3.5</f>
        <v>75.77640000000001</v>
      </c>
    </row>
    <row r="41" spans="1:8" ht="14.25">
      <c r="A41" s="2335" t="s">
        <v>1096</v>
      </c>
      <c r="B41" s="2335"/>
      <c r="C41" s="1601" t="s">
        <v>1124</v>
      </c>
      <c r="D41" s="1602">
        <v>726.1</v>
      </c>
      <c r="E41" s="1603">
        <v>0.03007</v>
      </c>
      <c r="F41" s="1604">
        <f t="shared" si="1"/>
        <v>196.504443</v>
      </c>
      <c r="G41" s="1605">
        <f>D41*E41*5.5</f>
        <v>120.0860485</v>
      </c>
      <c r="H41" s="1605">
        <f>D41*E41*3.5</f>
        <v>76.4183945</v>
      </c>
    </row>
    <row r="42" spans="1:8" ht="14.25">
      <c r="A42" s="2335" t="s">
        <v>1116</v>
      </c>
      <c r="B42" s="2335"/>
      <c r="C42" s="1601" t="s">
        <v>1124</v>
      </c>
      <c r="D42" s="1602">
        <v>797.7</v>
      </c>
      <c r="E42" s="1603">
        <v>0.03007</v>
      </c>
      <c r="F42" s="1604">
        <f t="shared" si="1"/>
        <v>215.881551</v>
      </c>
      <c r="G42" s="1605">
        <f>D42*E42*5.5</f>
        <v>131.9276145</v>
      </c>
      <c r="H42" s="1605">
        <f>D42*E42*3.5</f>
        <v>83.9539365</v>
      </c>
    </row>
    <row r="43" spans="1:8" ht="14.25">
      <c r="A43" s="2335" t="s">
        <v>1117</v>
      </c>
      <c r="B43" s="2335"/>
      <c r="C43" s="1601" t="s">
        <v>1124</v>
      </c>
      <c r="D43" s="1602">
        <v>990.3</v>
      </c>
      <c r="E43" s="1603">
        <v>0.03007</v>
      </c>
      <c r="F43" s="1604">
        <f t="shared" si="1"/>
        <v>268.004889</v>
      </c>
      <c r="G43" s="1605">
        <f>D43*E43*5.5</f>
        <v>163.7807655</v>
      </c>
      <c r="H43" s="1605">
        <f>D43*E43*3.5</f>
        <v>104.22412349999999</v>
      </c>
    </row>
    <row r="44" spans="1:8" ht="14.25">
      <c r="A44" s="2325" t="s">
        <v>1125</v>
      </c>
      <c r="B44" s="2327"/>
      <c r="C44" s="183"/>
      <c r="D44" s="183"/>
      <c r="E44" s="183"/>
      <c r="F44" s="1592">
        <f>SUM(F45:F50)</f>
        <v>1254.25</v>
      </c>
      <c r="G44" s="1592">
        <f>SUM(G45:G50)</f>
        <v>816.5</v>
      </c>
      <c r="H44" s="1592">
        <f>SUM(H45:H50)</f>
        <v>437.75</v>
      </c>
    </row>
    <row r="45" spans="1:8" ht="14.25">
      <c r="A45" s="2336" t="s">
        <v>1126</v>
      </c>
      <c r="B45" s="2337"/>
      <c r="C45" s="2337"/>
      <c r="D45" s="2337"/>
      <c r="E45" s="2338"/>
      <c r="F45" s="1606">
        <f aca="true" t="shared" si="2" ref="F45:F50">G45+H45</f>
        <v>190</v>
      </c>
      <c r="G45" s="1607">
        <v>111</v>
      </c>
      <c r="H45" s="1607">
        <v>79</v>
      </c>
    </row>
    <row r="46" spans="1:8" ht="14.25">
      <c r="A46" s="2332" t="s">
        <v>1127</v>
      </c>
      <c r="B46" s="2333"/>
      <c r="C46" s="2333"/>
      <c r="D46" s="2333"/>
      <c r="E46" s="2334"/>
      <c r="F46" s="1606">
        <f t="shared" si="2"/>
        <v>12.2</v>
      </c>
      <c r="G46" s="1607">
        <v>6.5</v>
      </c>
      <c r="H46" s="1607">
        <v>5.7</v>
      </c>
    </row>
    <row r="47" spans="1:8" ht="14.25">
      <c r="A47" s="2322" t="s">
        <v>1128</v>
      </c>
      <c r="B47" s="2323"/>
      <c r="C47" s="2323"/>
      <c r="D47" s="2323"/>
      <c r="E47" s="2324"/>
      <c r="F47" s="1606">
        <f t="shared" si="2"/>
        <v>173.35</v>
      </c>
      <c r="G47" s="1607">
        <v>115</v>
      </c>
      <c r="H47" s="1607">
        <v>58.35</v>
      </c>
    </row>
    <row r="48" spans="1:8" ht="14.25">
      <c r="A48" s="2322" t="s">
        <v>1129</v>
      </c>
      <c r="B48" s="2323"/>
      <c r="C48" s="2323"/>
      <c r="D48" s="2323"/>
      <c r="E48" s="2324"/>
      <c r="F48" s="1606">
        <f t="shared" si="2"/>
        <v>66</v>
      </c>
      <c r="G48" s="1607">
        <v>41</v>
      </c>
      <c r="H48" s="1607">
        <v>25</v>
      </c>
    </row>
    <row r="49" spans="1:8" ht="14.25">
      <c r="A49" s="2322" t="s">
        <v>1130</v>
      </c>
      <c r="B49" s="2323"/>
      <c r="C49" s="2323"/>
      <c r="D49" s="2323"/>
      <c r="E49" s="2324"/>
      <c r="F49" s="1606">
        <f t="shared" si="2"/>
        <v>96.7</v>
      </c>
      <c r="G49" s="1607">
        <v>65</v>
      </c>
      <c r="H49" s="1607">
        <v>31.7</v>
      </c>
    </row>
    <row r="50" spans="1:8" ht="14.25">
      <c r="A50" s="2322" t="s">
        <v>1131</v>
      </c>
      <c r="B50" s="2323"/>
      <c r="C50" s="2323"/>
      <c r="D50" s="2323"/>
      <c r="E50" s="2324"/>
      <c r="F50" s="1606">
        <f t="shared" si="2"/>
        <v>716</v>
      </c>
      <c r="G50" s="1607">
        <v>478</v>
      </c>
      <c r="H50" s="1607">
        <v>238</v>
      </c>
    </row>
    <row r="51" spans="1:6" ht="14.25">
      <c r="A51" s="183"/>
      <c r="B51" s="183"/>
      <c r="C51" s="183"/>
      <c r="D51" s="183"/>
      <c r="E51" s="183"/>
      <c r="F51" s="183"/>
    </row>
    <row r="52" spans="1:8" ht="14.25">
      <c r="A52" s="2325" t="s">
        <v>1132</v>
      </c>
      <c r="B52" s="2326"/>
      <c r="C52" s="2326"/>
      <c r="D52" s="2326"/>
      <c r="E52" s="2327"/>
      <c r="F52" s="1592">
        <f>F38+F44</f>
        <v>2265.188365</v>
      </c>
      <c r="G52" s="1592">
        <f>G38+G44</f>
        <v>1434.2956675</v>
      </c>
      <c r="H52" s="1592">
        <f>H38+H44</f>
        <v>830.8926975</v>
      </c>
    </row>
    <row r="53" spans="1:6" ht="14.25">
      <c r="A53" s="183"/>
      <c r="B53" s="183"/>
      <c r="C53" s="183"/>
      <c r="D53" s="183"/>
      <c r="E53" s="183"/>
      <c r="F53" s="183"/>
    </row>
    <row r="54" spans="1:9" ht="14.25">
      <c r="A54" s="1608" t="s">
        <v>1133</v>
      </c>
      <c r="B54" s="1609"/>
      <c r="C54" s="1610"/>
      <c r="D54" s="1611"/>
      <c r="E54" s="1612"/>
      <c r="F54" s="1613"/>
      <c r="G54" s="1614"/>
      <c r="H54" s="1615"/>
      <c r="I54" s="1612"/>
    </row>
    <row r="55" spans="1:9" ht="14.25">
      <c r="A55" s="1616" t="s">
        <v>1039</v>
      </c>
      <c r="B55" s="1609"/>
      <c r="C55" s="1610"/>
      <c r="D55" s="1611"/>
      <c r="E55" s="1612"/>
      <c r="F55" s="1613"/>
      <c r="G55" s="1617"/>
      <c r="H55" s="1618"/>
      <c r="I55" s="1618"/>
    </row>
    <row r="56" spans="1:9" ht="14.25">
      <c r="A56" s="1618" t="s">
        <v>1038</v>
      </c>
      <c r="B56" s="1618"/>
      <c r="C56" s="1618"/>
      <c r="D56" s="1618"/>
      <c r="E56" s="1619">
        <v>0.0489</v>
      </c>
      <c r="F56" s="1618"/>
      <c r="G56" s="1618"/>
      <c r="H56" s="1618"/>
      <c r="I56" s="1618"/>
    </row>
    <row r="57" spans="1:8" ht="14.25">
      <c r="A57" s="183"/>
      <c r="B57" s="183"/>
      <c r="C57" s="183"/>
      <c r="D57" s="1620"/>
      <c r="E57" s="1620"/>
      <c r="F57" s="1621"/>
      <c r="G57" s="1621"/>
      <c r="H57" s="1621"/>
    </row>
    <row r="58" spans="1:8" ht="14.25">
      <c r="A58" s="183"/>
      <c r="B58" s="183"/>
      <c r="C58" s="183"/>
      <c r="D58" s="1620"/>
      <c r="E58" s="1620"/>
      <c r="F58" s="1620"/>
      <c r="G58" s="1620"/>
      <c r="H58" s="1620"/>
    </row>
    <row r="59" spans="1:8" ht="14.25">
      <c r="A59" s="183"/>
      <c r="B59" s="183"/>
      <c r="C59" s="183"/>
      <c r="D59" s="2328" t="s">
        <v>1134</v>
      </c>
      <c r="E59" s="2329"/>
      <c r="F59" s="1622" t="s">
        <v>1135</v>
      </c>
      <c r="G59" s="1623" t="s">
        <v>1136</v>
      </c>
      <c r="H59" s="1624" t="s">
        <v>1137</v>
      </c>
    </row>
    <row r="60" spans="1:8" ht="14.25">
      <c r="A60" s="183"/>
      <c r="B60" s="183"/>
      <c r="C60" s="183"/>
      <c r="D60" s="2330"/>
      <c r="E60" s="2331"/>
      <c r="F60" s="1625" t="s">
        <v>63</v>
      </c>
      <c r="G60" s="1625" t="s">
        <v>63</v>
      </c>
      <c r="H60" s="1625" t="s">
        <v>63</v>
      </c>
    </row>
    <row r="61" spans="1:8" ht="14.25">
      <c r="A61" s="183"/>
      <c r="B61" s="183"/>
      <c r="C61" s="183"/>
      <c r="D61" s="1626" t="s">
        <v>1138</v>
      </c>
      <c r="E61" s="1626" t="s">
        <v>1232</v>
      </c>
      <c r="F61" s="1627">
        <f>F31</f>
        <v>4473.639999999999</v>
      </c>
      <c r="G61" s="1628">
        <f>G31</f>
        <v>2759.7799999999997</v>
      </c>
      <c r="H61" s="1628">
        <f>H31</f>
        <v>1713.86</v>
      </c>
    </row>
    <row r="62" spans="1:8" ht="14.25">
      <c r="A62" s="183"/>
      <c r="B62" s="183"/>
      <c r="C62" s="183"/>
      <c r="D62" s="1629"/>
      <c r="E62" s="1629" t="s">
        <v>1139</v>
      </c>
      <c r="F62" s="1629">
        <v>0.0489</v>
      </c>
      <c r="G62" s="1629">
        <v>0.0489</v>
      </c>
      <c r="H62" s="1629">
        <v>0.0489</v>
      </c>
    </row>
    <row r="63" spans="1:8" ht="14.25">
      <c r="A63" s="183"/>
      <c r="B63" s="183"/>
      <c r="C63" s="183"/>
      <c r="D63" s="1629" t="s">
        <v>1138</v>
      </c>
      <c r="E63" s="1629" t="s">
        <v>112</v>
      </c>
      <c r="F63" s="1630">
        <f>G63+H63</f>
        <v>218.76099599999998</v>
      </c>
      <c r="G63" s="1630">
        <f>G61*G62</f>
        <v>134.953242</v>
      </c>
      <c r="H63" s="1630">
        <f>H61*H62</f>
        <v>83.80775399999999</v>
      </c>
    </row>
    <row r="64" spans="1:8" ht="14.25">
      <c r="A64" s="183"/>
      <c r="B64" s="183"/>
      <c r="C64" s="183"/>
      <c r="D64" s="1629" t="s">
        <v>1140</v>
      </c>
      <c r="E64" s="1629" t="s">
        <v>112</v>
      </c>
      <c r="F64" s="1630">
        <f>F52</f>
        <v>2265.188365</v>
      </c>
      <c r="G64" s="1630">
        <f>G52</f>
        <v>1434.2956675</v>
      </c>
      <c r="H64" s="1630">
        <f>H52</f>
        <v>830.8926975</v>
      </c>
    </row>
    <row r="65" spans="1:8" ht="14.25">
      <c r="A65" s="183"/>
      <c r="B65" s="183"/>
      <c r="C65" s="183"/>
      <c r="D65" s="1631" t="s">
        <v>1141</v>
      </c>
      <c r="E65" s="1631" t="s">
        <v>112</v>
      </c>
      <c r="F65" s="1632">
        <f>SUM(F63:F64)</f>
        <v>2483.949361</v>
      </c>
      <c r="G65" s="1632">
        <f>SUM(G63:G64)</f>
        <v>1569.2489095</v>
      </c>
      <c r="H65" s="1632">
        <f>SUM(H63:H64)</f>
        <v>914.7004515000001</v>
      </c>
    </row>
    <row r="66" spans="1:8" ht="14.25">
      <c r="A66" s="183"/>
      <c r="B66" s="183"/>
      <c r="C66" s="183"/>
      <c r="D66" s="1633"/>
      <c r="E66" s="1633"/>
      <c r="F66" s="1633"/>
      <c r="G66" s="1633"/>
      <c r="H66" s="1633"/>
    </row>
    <row r="67" spans="1:8" ht="14.25">
      <c r="A67" s="183"/>
      <c r="B67" s="183"/>
      <c r="C67" s="183"/>
      <c r="D67" s="1634" t="s">
        <v>1142</v>
      </c>
      <c r="E67" s="1634"/>
      <c r="F67" s="1634"/>
      <c r="G67" s="1634"/>
      <c r="H67" s="1634"/>
    </row>
    <row r="68" spans="1:8" ht="14.25">
      <c r="A68" s="183"/>
      <c r="B68" s="183"/>
      <c r="C68" s="183"/>
      <c r="D68" s="1635" t="s">
        <v>1138</v>
      </c>
      <c r="E68" s="1635" t="s">
        <v>1232</v>
      </c>
      <c r="F68" s="1628">
        <f>F22</f>
        <v>3005.6399999999994</v>
      </c>
      <c r="G68" s="1628">
        <f>G22</f>
        <v>1836.7799999999997</v>
      </c>
      <c r="H68" s="1628">
        <f>H22</f>
        <v>1168.86</v>
      </c>
    </row>
    <row r="69" spans="1:8" ht="14.25">
      <c r="A69" s="183"/>
      <c r="B69" s="183"/>
      <c r="C69" s="183"/>
      <c r="D69" s="1629"/>
      <c r="E69" s="1629" t="s">
        <v>1139</v>
      </c>
      <c r="F69" s="1629">
        <v>0.0489</v>
      </c>
      <c r="G69" s="1629">
        <v>0.0489</v>
      </c>
      <c r="H69" s="1629">
        <v>0.0489</v>
      </c>
    </row>
    <row r="70" spans="1:8" ht="14.25">
      <c r="A70" s="183"/>
      <c r="B70" s="183"/>
      <c r="C70" s="183"/>
      <c r="D70" s="1629" t="s">
        <v>1138</v>
      </c>
      <c r="E70" s="1629" t="s">
        <v>112</v>
      </c>
      <c r="F70" s="1630">
        <f>G70+H70</f>
        <v>146.97579599999997</v>
      </c>
      <c r="G70" s="1630">
        <f>G68*G69</f>
        <v>89.81854199999998</v>
      </c>
      <c r="H70" s="1630">
        <f>H68*H69</f>
        <v>57.157253999999995</v>
      </c>
    </row>
    <row r="71" spans="1:8" ht="14.25">
      <c r="A71" s="183"/>
      <c r="B71" s="183"/>
      <c r="C71" s="183"/>
      <c r="D71" s="1629" t="s">
        <v>1140</v>
      </c>
      <c r="E71" s="1629" t="s">
        <v>112</v>
      </c>
      <c r="F71" s="1630">
        <f>G71+H71</f>
        <v>693.5720675</v>
      </c>
      <c r="G71" s="1630">
        <f>G38</f>
        <v>617.7956675</v>
      </c>
      <c r="H71" s="1630">
        <f>H40</f>
        <v>75.77640000000001</v>
      </c>
    </row>
    <row r="72" spans="1:8" ht="14.25">
      <c r="A72" s="183"/>
      <c r="B72" s="183"/>
      <c r="C72" s="183"/>
      <c r="D72" s="1631" t="s">
        <v>1141</v>
      </c>
      <c r="E72" s="1631" t="s">
        <v>112</v>
      </c>
      <c r="F72" s="1632">
        <f>F38</f>
        <v>1010.9383650000001</v>
      </c>
      <c r="G72" s="1632">
        <f>SUM(G70:G71)</f>
        <v>707.6142095</v>
      </c>
      <c r="H72" s="1632">
        <f>H38</f>
        <v>393.14269750000005</v>
      </c>
    </row>
    <row r="73" spans="1:6" ht="14.25">
      <c r="A73" s="183"/>
      <c r="B73" s="183"/>
      <c r="C73" s="183"/>
      <c r="D73" s="183"/>
      <c r="E73" s="183"/>
      <c r="F73" s="183"/>
    </row>
    <row r="74" spans="1:6" ht="14.25">
      <c r="A74" s="183"/>
      <c r="B74" s="183"/>
      <c r="C74" s="183"/>
      <c r="D74" s="183"/>
      <c r="E74" s="183"/>
      <c r="F74" s="183"/>
    </row>
    <row r="75" spans="1:6" ht="14.25">
      <c r="A75" s="183"/>
      <c r="B75" s="183"/>
      <c r="C75" s="183"/>
      <c r="D75" s="183"/>
      <c r="E75" s="183"/>
      <c r="F75" s="183"/>
    </row>
    <row r="76" spans="1:6" ht="14.25">
      <c r="A76" s="183"/>
      <c r="B76" s="183"/>
      <c r="C76" s="183"/>
      <c r="D76" s="183"/>
      <c r="E76" s="183"/>
      <c r="F76" s="183"/>
    </row>
    <row r="77" spans="1:6" ht="14.25">
      <c r="A77" s="183"/>
      <c r="B77" s="183"/>
      <c r="C77" s="183"/>
      <c r="D77" s="183"/>
      <c r="E77" s="183"/>
      <c r="F77" s="183"/>
    </row>
    <row r="78" ht="15">
      <c r="A78" s="10" t="s">
        <v>1040</v>
      </c>
    </row>
  </sheetData>
  <mergeCells count="34">
    <mergeCell ref="A5:A6"/>
    <mergeCell ref="B5:B6"/>
    <mergeCell ref="F19:H19"/>
    <mergeCell ref="A22:B22"/>
    <mergeCell ref="A23:B23"/>
    <mergeCell ref="A24:B24"/>
    <mergeCell ref="A25:B25"/>
    <mergeCell ref="A26:B26"/>
    <mergeCell ref="A27:B27"/>
    <mergeCell ref="A31:E31"/>
    <mergeCell ref="A33:B37"/>
    <mergeCell ref="C33:C37"/>
    <mergeCell ref="D33:D34"/>
    <mergeCell ref="E33:E37"/>
    <mergeCell ref="D35:D36"/>
    <mergeCell ref="F33:H33"/>
    <mergeCell ref="F34:F37"/>
    <mergeCell ref="G34:G37"/>
    <mergeCell ref="H34:H37"/>
    <mergeCell ref="A38:B38"/>
    <mergeCell ref="A39:B39"/>
    <mergeCell ref="A40:B40"/>
    <mergeCell ref="A41:B41"/>
    <mergeCell ref="A42:B42"/>
    <mergeCell ref="A43:B43"/>
    <mergeCell ref="A44:B44"/>
    <mergeCell ref="A45:E45"/>
    <mergeCell ref="A50:E50"/>
    <mergeCell ref="A52:E52"/>
    <mergeCell ref="D59:E60"/>
    <mergeCell ref="A46:E46"/>
    <mergeCell ref="A47:E47"/>
    <mergeCell ref="A48:E48"/>
    <mergeCell ref="A49:E49"/>
  </mergeCells>
  <printOptions/>
  <pageMargins left="0.75" right="0.75" top="1" bottom="1" header="0.5" footer="0.5"/>
  <pageSetup orientation="portrait" paperSize="9" scale="82" r:id="rId2"/>
  <rowBreaks count="1" manualBreakCount="1">
    <brk id="56" max="255" man="1"/>
  </rowBreak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</sheetPr>
  <dimension ref="A1:N74"/>
  <sheetViews>
    <sheetView defaultGridColor="0" view="pageBreakPreview" zoomScaleSheetLayoutView="100" zoomScalePageLayoutView="0" colorId="12" workbookViewId="0" topLeftCell="A1">
      <selection activeCell="K29" sqref="K29"/>
    </sheetView>
  </sheetViews>
  <sheetFormatPr defaultColWidth="9.140625" defaultRowHeight="15"/>
  <cols>
    <col min="1" max="1" width="10.00390625" style="329" customWidth="1"/>
    <col min="2" max="3" width="9.140625" style="329" customWidth="1"/>
    <col min="4" max="4" width="9.8515625" style="329" customWidth="1"/>
    <col min="5" max="5" width="9.140625" style="329" customWidth="1"/>
    <col min="6" max="6" width="9.8515625" style="329" customWidth="1"/>
    <col min="7" max="7" width="9.140625" style="329" customWidth="1"/>
    <col min="8" max="8" width="9.28125" style="329" customWidth="1"/>
    <col min="9" max="10" width="9.140625" style="329" customWidth="1"/>
    <col min="11" max="11" width="10.140625" style="329" customWidth="1"/>
    <col min="12" max="12" width="0.13671875" style="329" customWidth="1"/>
    <col min="13" max="14" width="9.140625" style="329" hidden="1" customWidth="1"/>
    <col min="15" max="16384" width="9.140625" style="329" customWidth="1"/>
  </cols>
  <sheetData>
    <row r="1" spans="1:14" ht="18" customHeight="1">
      <c r="A1" s="506"/>
      <c r="B1" s="508"/>
      <c r="F1" s="461" t="s">
        <v>1203</v>
      </c>
      <c r="G1"/>
      <c r="H1"/>
      <c r="I1"/>
      <c r="J1" s="462"/>
      <c r="K1" s="330"/>
      <c r="M1" s="331"/>
      <c r="N1" s="332"/>
    </row>
    <row r="2" spans="6:14" ht="21" customHeight="1">
      <c r="F2" s="463" t="s">
        <v>1204</v>
      </c>
      <c r="G2" s="464"/>
      <c r="H2" s="464"/>
      <c r="I2"/>
      <c r="J2" s="460"/>
      <c r="K2" s="333"/>
      <c r="L2" s="334"/>
      <c r="M2" s="335"/>
      <c r="N2" s="335"/>
    </row>
    <row r="3" spans="6:14" ht="24.75" customHeight="1">
      <c r="F3" s="463" t="s">
        <v>1205</v>
      </c>
      <c r="G3"/>
      <c r="H3"/>
      <c r="I3"/>
      <c r="J3"/>
      <c r="K3" s="334"/>
      <c r="L3" s="334"/>
      <c r="M3" s="335"/>
      <c r="N3" s="335"/>
    </row>
    <row r="4" spans="6:14" ht="17.25" customHeight="1">
      <c r="F4" s="463" t="s">
        <v>1405</v>
      </c>
      <c r="G4" s="465"/>
      <c r="H4"/>
      <c r="I4"/>
      <c r="J4"/>
      <c r="K4" s="334"/>
      <c r="L4" s="334"/>
      <c r="M4" s="337"/>
      <c r="N4" s="335"/>
    </row>
    <row r="5" spans="7:14" ht="12.75" customHeight="1">
      <c r="G5" s="336"/>
      <c r="H5" s="338"/>
      <c r="I5" s="334"/>
      <c r="J5" s="334"/>
      <c r="K5" s="334"/>
      <c r="L5" s="334"/>
      <c r="M5" s="335"/>
      <c r="N5" s="335"/>
    </row>
    <row r="6" spans="7:14" ht="19.5" customHeight="1">
      <c r="G6" s="336"/>
      <c r="M6" s="339"/>
      <c r="N6" s="339"/>
    </row>
    <row r="7" spans="13:14" ht="18" customHeight="1">
      <c r="M7" s="332"/>
      <c r="N7" s="339"/>
    </row>
    <row r="8" spans="13:14" ht="12.75" customHeight="1">
      <c r="M8" s="332"/>
      <c r="N8" s="339"/>
    </row>
    <row r="9" spans="13:14" ht="19.5" customHeight="1">
      <c r="M9" s="332"/>
      <c r="N9" s="339"/>
    </row>
    <row r="10" spans="1:14" ht="18.75" customHeight="1">
      <c r="A10" s="432" t="s">
        <v>1206</v>
      </c>
      <c r="B10" s="340"/>
      <c r="C10" s="341"/>
      <c r="D10" s="340"/>
      <c r="M10" s="332"/>
      <c r="N10" s="339"/>
    </row>
    <row r="11" spans="1:14" ht="19.5" customHeight="1">
      <c r="A11" s="432" t="s">
        <v>1208</v>
      </c>
      <c r="M11" s="332"/>
      <c r="N11" s="339"/>
    </row>
    <row r="12" spans="13:14" ht="12.75" customHeight="1">
      <c r="M12" s="332"/>
      <c r="N12" s="339"/>
    </row>
    <row r="13" spans="13:14" ht="12.75" customHeight="1">
      <c r="M13" s="332"/>
      <c r="N13" s="339"/>
    </row>
    <row r="14" spans="2:14" ht="12.75" customHeight="1" thickBot="1">
      <c r="B14" s="340"/>
      <c r="C14" s="341"/>
      <c r="D14" s="340"/>
      <c r="M14" s="332"/>
      <c r="N14" s="332"/>
    </row>
    <row r="15" spans="1:14" ht="12.75" customHeight="1" thickBot="1">
      <c r="A15" s="342"/>
      <c r="B15" s="342"/>
      <c r="C15" s="342"/>
      <c r="D15" s="343" t="s">
        <v>1457</v>
      </c>
      <c r="E15" s="344"/>
      <c r="F15" s="344"/>
      <c r="G15" s="345"/>
      <c r="H15" s="466"/>
      <c r="M15" s="332"/>
      <c r="N15" s="339"/>
    </row>
    <row r="16" spans="1:14" ht="12.75" customHeight="1" thickBot="1">
      <c r="A16" s="342"/>
      <c r="B16" s="342"/>
      <c r="C16" s="342"/>
      <c r="D16" s="346" t="s">
        <v>1458</v>
      </c>
      <c r="E16" s="347" t="s">
        <v>1459</v>
      </c>
      <c r="F16" s="347" t="s">
        <v>1460</v>
      </c>
      <c r="G16" s="346" t="s">
        <v>1461</v>
      </c>
      <c r="H16" s="466"/>
      <c r="M16" s="332"/>
      <c r="N16" s="339"/>
    </row>
    <row r="17" spans="1:14" ht="12.75" customHeight="1">
      <c r="A17" s="342"/>
      <c r="B17" s="342"/>
      <c r="C17" s="342"/>
      <c r="D17" s="348">
        <v>-30</v>
      </c>
      <c r="E17" s="349">
        <v>92</v>
      </c>
      <c r="F17" s="350">
        <v>68</v>
      </c>
      <c r="G17" s="351">
        <f>E17-F17</f>
        <v>24</v>
      </c>
      <c r="H17" s="466"/>
      <c r="M17" s="332"/>
      <c r="N17" s="339"/>
    </row>
    <row r="18" spans="1:14" ht="12.75" customHeight="1">
      <c r="A18" s="342"/>
      <c r="B18" s="342"/>
      <c r="C18" s="342"/>
      <c r="D18" s="352">
        <v>-29</v>
      </c>
      <c r="E18" s="353">
        <v>90.5</v>
      </c>
      <c r="F18" s="354">
        <v>67</v>
      </c>
      <c r="G18" s="351">
        <f aca="true" t="shared" si="0" ref="G18:G56">E18-F18</f>
        <v>23.5</v>
      </c>
      <c r="H18" s="466"/>
      <c r="M18" s="332"/>
      <c r="N18" s="339"/>
    </row>
    <row r="19" spans="1:14" ht="12.75" customHeight="1">
      <c r="A19" s="342"/>
      <c r="B19" s="342"/>
      <c r="C19" s="342"/>
      <c r="D19" s="351">
        <v>-28</v>
      </c>
      <c r="E19" s="355">
        <v>89</v>
      </c>
      <c r="F19" s="356">
        <v>66</v>
      </c>
      <c r="G19" s="351">
        <f t="shared" si="0"/>
        <v>23</v>
      </c>
      <c r="H19" s="466"/>
      <c r="I19" s="357"/>
      <c r="J19" s="357"/>
      <c r="K19" s="357"/>
      <c r="L19" s="357"/>
      <c r="M19" s="358"/>
      <c r="N19" s="339"/>
    </row>
    <row r="20" spans="1:14" ht="12.75" customHeight="1">
      <c r="A20" s="342"/>
      <c r="B20" s="342"/>
      <c r="C20" s="342"/>
      <c r="D20" s="352">
        <v>-27</v>
      </c>
      <c r="E20" s="353">
        <v>87.5</v>
      </c>
      <c r="F20" s="354">
        <v>65</v>
      </c>
      <c r="G20" s="351">
        <f t="shared" si="0"/>
        <v>22.5</v>
      </c>
      <c r="H20" s="466"/>
      <c r="M20" s="332"/>
      <c r="N20" s="339"/>
    </row>
    <row r="21" spans="1:14" ht="12.75" customHeight="1">
      <c r="A21" s="342"/>
      <c r="B21" s="342"/>
      <c r="C21" s="342"/>
      <c r="D21" s="351">
        <v>-26</v>
      </c>
      <c r="E21" s="355">
        <v>86</v>
      </c>
      <c r="F21" s="356">
        <v>64</v>
      </c>
      <c r="G21" s="351">
        <f t="shared" si="0"/>
        <v>22</v>
      </c>
      <c r="H21" s="466"/>
      <c r="M21" s="332"/>
      <c r="N21" s="339"/>
    </row>
    <row r="22" spans="1:14" ht="12.75" customHeight="1">
      <c r="A22" s="342"/>
      <c r="B22" s="342"/>
      <c r="C22" s="342"/>
      <c r="D22" s="352">
        <v>-25</v>
      </c>
      <c r="E22" s="353">
        <v>84.5</v>
      </c>
      <c r="F22" s="354">
        <v>63</v>
      </c>
      <c r="G22" s="351">
        <f t="shared" si="0"/>
        <v>21.5</v>
      </c>
      <c r="H22" s="466"/>
      <c r="M22" s="332"/>
      <c r="N22" s="339"/>
    </row>
    <row r="23" spans="1:14" ht="12.75" customHeight="1">
      <c r="A23" s="342"/>
      <c r="B23" s="342"/>
      <c r="C23" s="342"/>
      <c r="D23" s="351">
        <v>-24</v>
      </c>
      <c r="E23" s="355">
        <v>83</v>
      </c>
      <c r="F23" s="356">
        <v>62</v>
      </c>
      <c r="G23" s="351">
        <f t="shared" si="0"/>
        <v>21</v>
      </c>
      <c r="H23" s="466"/>
      <c r="M23" s="332"/>
      <c r="N23" s="339"/>
    </row>
    <row r="24" spans="1:14" ht="12.75" customHeight="1">
      <c r="A24" s="342"/>
      <c r="B24" s="342"/>
      <c r="C24" s="342"/>
      <c r="D24" s="352">
        <v>-23</v>
      </c>
      <c r="E24" s="353">
        <v>81.5</v>
      </c>
      <c r="F24" s="354">
        <v>61</v>
      </c>
      <c r="G24" s="351">
        <f t="shared" si="0"/>
        <v>20.5</v>
      </c>
      <c r="H24" s="466"/>
      <c r="M24" s="332"/>
      <c r="N24" s="339"/>
    </row>
    <row r="25" spans="1:14" ht="12.75" customHeight="1">
      <c r="A25" s="342"/>
      <c r="B25" s="342"/>
      <c r="C25" s="342"/>
      <c r="D25" s="351">
        <v>-22</v>
      </c>
      <c r="E25" s="355">
        <v>80</v>
      </c>
      <c r="F25" s="356">
        <v>60</v>
      </c>
      <c r="G25" s="351">
        <f t="shared" si="0"/>
        <v>20</v>
      </c>
      <c r="H25" s="466"/>
      <c r="M25" s="332"/>
      <c r="N25" s="339"/>
    </row>
    <row r="26" spans="1:14" ht="12.75" customHeight="1">
      <c r="A26" s="342"/>
      <c r="B26" s="342"/>
      <c r="C26" s="342"/>
      <c r="D26" s="352">
        <v>-21</v>
      </c>
      <c r="E26" s="353">
        <v>78.5</v>
      </c>
      <c r="F26" s="354">
        <v>59</v>
      </c>
      <c r="G26" s="351">
        <f t="shared" si="0"/>
        <v>19.5</v>
      </c>
      <c r="H26" s="466"/>
      <c r="M26" s="332"/>
      <c r="N26" s="339"/>
    </row>
    <row r="27" spans="1:14" ht="12.75" customHeight="1">
      <c r="A27" s="342"/>
      <c r="B27" s="342"/>
      <c r="C27" s="342"/>
      <c r="D27" s="351">
        <v>-20</v>
      </c>
      <c r="E27" s="355">
        <v>77</v>
      </c>
      <c r="F27" s="356">
        <v>58</v>
      </c>
      <c r="G27" s="351">
        <f t="shared" si="0"/>
        <v>19</v>
      </c>
      <c r="H27" s="466"/>
      <c r="M27" s="332"/>
      <c r="N27" s="339"/>
    </row>
    <row r="28" spans="1:14" ht="12.75" customHeight="1">
      <c r="A28" s="342"/>
      <c r="B28" s="342"/>
      <c r="C28" s="342"/>
      <c r="D28" s="352">
        <v>-19</v>
      </c>
      <c r="E28" s="353">
        <v>75.5</v>
      </c>
      <c r="F28" s="354">
        <v>57</v>
      </c>
      <c r="G28" s="351">
        <f t="shared" si="0"/>
        <v>18.5</v>
      </c>
      <c r="H28" s="466"/>
      <c r="M28" s="332"/>
      <c r="N28" s="339"/>
    </row>
    <row r="29" spans="1:14" ht="12.75" customHeight="1">
      <c r="A29" s="342"/>
      <c r="B29" s="342"/>
      <c r="C29" s="342"/>
      <c r="D29" s="351">
        <v>-18</v>
      </c>
      <c r="E29" s="355">
        <v>74</v>
      </c>
      <c r="F29" s="356">
        <v>56</v>
      </c>
      <c r="G29" s="351">
        <f t="shared" si="0"/>
        <v>18</v>
      </c>
      <c r="H29" s="466"/>
      <c r="M29" s="332"/>
      <c r="N29" s="339"/>
    </row>
    <row r="30" spans="1:14" ht="12.75" customHeight="1">
      <c r="A30" s="342"/>
      <c r="B30" s="342"/>
      <c r="C30" s="342"/>
      <c r="D30" s="352">
        <v>-17</v>
      </c>
      <c r="E30" s="353">
        <v>72.5</v>
      </c>
      <c r="F30" s="354">
        <v>55</v>
      </c>
      <c r="G30" s="351">
        <f t="shared" si="0"/>
        <v>17.5</v>
      </c>
      <c r="H30" s="466"/>
      <c r="M30" s="332"/>
      <c r="N30" s="339"/>
    </row>
    <row r="31" spans="1:14" ht="12.75" customHeight="1">
      <c r="A31" s="342"/>
      <c r="B31" s="342"/>
      <c r="C31" s="342"/>
      <c r="D31" s="351">
        <v>-16</v>
      </c>
      <c r="E31" s="355">
        <v>71</v>
      </c>
      <c r="F31" s="356">
        <v>54</v>
      </c>
      <c r="G31" s="351">
        <f t="shared" si="0"/>
        <v>17</v>
      </c>
      <c r="H31" s="466"/>
      <c r="M31" s="332"/>
      <c r="N31" s="339"/>
    </row>
    <row r="32" spans="1:14" ht="12.75" customHeight="1">
      <c r="A32" s="342"/>
      <c r="B32" s="342"/>
      <c r="C32" s="342"/>
      <c r="D32" s="352">
        <v>-15</v>
      </c>
      <c r="E32" s="353">
        <v>69.5</v>
      </c>
      <c r="F32" s="354">
        <v>53</v>
      </c>
      <c r="G32" s="351">
        <f t="shared" si="0"/>
        <v>16.5</v>
      </c>
      <c r="H32" s="466"/>
      <c r="M32" s="332"/>
      <c r="N32" s="339"/>
    </row>
    <row r="33" spans="1:14" ht="12.75" customHeight="1">
      <c r="A33" s="342"/>
      <c r="B33" s="342"/>
      <c r="C33" s="342"/>
      <c r="D33" s="351">
        <v>-14</v>
      </c>
      <c r="E33" s="355">
        <v>68</v>
      </c>
      <c r="F33" s="356">
        <v>52</v>
      </c>
      <c r="G33" s="351">
        <f t="shared" si="0"/>
        <v>16</v>
      </c>
      <c r="H33" s="466"/>
      <c r="M33" s="332"/>
      <c r="N33" s="339"/>
    </row>
    <row r="34" spans="1:14" ht="12.75" customHeight="1">
      <c r="A34" s="342"/>
      <c r="B34" s="342"/>
      <c r="C34" s="342"/>
      <c r="D34" s="352">
        <v>-13</v>
      </c>
      <c r="E34" s="353">
        <v>66.5</v>
      </c>
      <c r="F34" s="354">
        <v>51</v>
      </c>
      <c r="G34" s="351">
        <f t="shared" si="0"/>
        <v>15.5</v>
      </c>
      <c r="H34" s="466"/>
      <c r="M34" s="332"/>
      <c r="N34" s="332"/>
    </row>
    <row r="35" spans="1:14" ht="12.75" customHeight="1">
      <c r="A35" s="342"/>
      <c r="B35" s="342"/>
      <c r="C35" s="342"/>
      <c r="D35" s="351">
        <v>-12</v>
      </c>
      <c r="E35" s="355">
        <v>65</v>
      </c>
      <c r="F35" s="356">
        <v>50</v>
      </c>
      <c r="G35" s="351">
        <f t="shared" si="0"/>
        <v>15</v>
      </c>
      <c r="H35" s="466"/>
      <c r="M35" s="332"/>
      <c r="N35" s="332"/>
    </row>
    <row r="36" spans="1:14" ht="12.75" customHeight="1">
      <c r="A36" s="342"/>
      <c r="B36" s="342"/>
      <c r="C36" s="342"/>
      <c r="D36" s="352">
        <v>-11</v>
      </c>
      <c r="E36" s="353">
        <v>63.5</v>
      </c>
      <c r="F36" s="354">
        <v>49</v>
      </c>
      <c r="G36" s="351">
        <f t="shared" si="0"/>
        <v>14.5</v>
      </c>
      <c r="H36" s="466"/>
      <c r="M36" s="332"/>
      <c r="N36" s="332"/>
    </row>
    <row r="37" spans="1:14" ht="12.75" customHeight="1">
      <c r="A37" s="342"/>
      <c r="B37" s="342"/>
      <c r="C37" s="342"/>
      <c r="D37" s="351">
        <v>-10</v>
      </c>
      <c r="E37" s="355">
        <v>62</v>
      </c>
      <c r="F37" s="356">
        <v>48</v>
      </c>
      <c r="G37" s="351">
        <f t="shared" si="0"/>
        <v>14</v>
      </c>
      <c r="H37" s="466"/>
      <c r="M37" s="332"/>
      <c r="N37" s="339"/>
    </row>
    <row r="38" spans="1:14" ht="12.75" customHeight="1">
      <c r="A38" s="342"/>
      <c r="B38" s="342"/>
      <c r="C38" s="342"/>
      <c r="D38" s="352">
        <v>-9</v>
      </c>
      <c r="E38" s="353">
        <v>60.5</v>
      </c>
      <c r="F38" s="354">
        <v>47</v>
      </c>
      <c r="G38" s="351">
        <f t="shared" si="0"/>
        <v>13.5</v>
      </c>
      <c r="H38" s="466"/>
      <c r="M38" s="332"/>
      <c r="N38" s="339"/>
    </row>
    <row r="39" spans="1:14" ht="12.75" customHeight="1">
      <c r="A39" s="342"/>
      <c r="B39" s="342"/>
      <c r="C39" s="342"/>
      <c r="D39" s="351">
        <v>-8</v>
      </c>
      <c r="E39" s="355">
        <v>59</v>
      </c>
      <c r="F39" s="356">
        <v>46</v>
      </c>
      <c r="G39" s="351">
        <f t="shared" si="0"/>
        <v>13</v>
      </c>
      <c r="H39" s="466"/>
      <c r="M39" s="332"/>
      <c r="N39" s="339"/>
    </row>
    <row r="40" spans="1:14" ht="12.75" customHeight="1">
      <c r="A40" s="342"/>
      <c r="B40" s="342"/>
      <c r="C40" s="342"/>
      <c r="D40" s="352">
        <v>-7</v>
      </c>
      <c r="E40" s="353">
        <v>57.5</v>
      </c>
      <c r="F40" s="354">
        <v>45</v>
      </c>
      <c r="G40" s="351">
        <f t="shared" si="0"/>
        <v>12.5</v>
      </c>
      <c r="H40" s="466"/>
      <c r="M40" s="332"/>
      <c r="N40" s="359"/>
    </row>
    <row r="41" spans="1:14" ht="12.75" customHeight="1">
      <c r="A41" s="342"/>
      <c r="B41" s="342"/>
      <c r="C41" s="342"/>
      <c r="D41" s="351">
        <v>-6</v>
      </c>
      <c r="E41" s="355">
        <v>56</v>
      </c>
      <c r="F41" s="356">
        <v>44</v>
      </c>
      <c r="G41" s="351">
        <f t="shared" si="0"/>
        <v>12</v>
      </c>
      <c r="H41" s="466"/>
      <c r="M41" s="332"/>
      <c r="N41" s="332"/>
    </row>
    <row r="42" spans="1:14" ht="12.75" customHeight="1">
      <c r="A42" s="342"/>
      <c r="B42" s="342"/>
      <c r="C42" s="342"/>
      <c r="D42" s="352">
        <v>-5</v>
      </c>
      <c r="E42" s="353">
        <v>54.5</v>
      </c>
      <c r="F42" s="354">
        <v>43</v>
      </c>
      <c r="G42" s="351">
        <f t="shared" si="0"/>
        <v>11.5</v>
      </c>
      <c r="H42" s="466"/>
      <c r="M42" s="332"/>
      <c r="N42" s="332"/>
    </row>
    <row r="43" spans="4:14" ht="12.75" customHeight="1" thickBot="1">
      <c r="D43" s="467">
        <v>-4</v>
      </c>
      <c r="E43" s="468">
        <v>53</v>
      </c>
      <c r="F43" s="469">
        <v>42</v>
      </c>
      <c r="G43" s="351">
        <f t="shared" si="0"/>
        <v>11</v>
      </c>
      <c r="H43" s="466"/>
      <c r="M43" s="332"/>
      <c r="N43" s="332"/>
    </row>
    <row r="44" spans="1:14" ht="12.75" customHeight="1" thickBot="1">
      <c r="A44" s="470" t="s">
        <v>736</v>
      </c>
      <c r="B44" s="471"/>
      <c r="C44" s="472"/>
      <c r="D44" s="473">
        <v>-3.7</v>
      </c>
      <c r="E44" s="474">
        <f>E45+(53-51.5)*0.7/(4-3)</f>
        <v>52.55</v>
      </c>
      <c r="F44" s="475">
        <v>41.7</v>
      </c>
      <c r="G44" s="351">
        <f t="shared" si="0"/>
        <v>10.849999999999994</v>
      </c>
      <c r="H44" s="183" t="s">
        <v>1207</v>
      </c>
      <c r="M44" s="332"/>
      <c r="N44" s="332"/>
    </row>
    <row r="45" spans="1:14" ht="17.25" customHeight="1" thickBot="1">
      <c r="A45" s="476"/>
      <c r="B45" s="481" t="s">
        <v>1550</v>
      </c>
      <c r="C45" s="482">
        <v>52.55</v>
      </c>
      <c r="D45" s="477">
        <v>-3</v>
      </c>
      <c r="E45" s="478">
        <v>51.5</v>
      </c>
      <c r="F45" s="479">
        <v>41</v>
      </c>
      <c r="G45" s="351">
        <f t="shared" si="0"/>
        <v>10.5</v>
      </c>
      <c r="H45" s="183"/>
      <c r="M45" s="332"/>
      <c r="N45" s="332"/>
    </row>
    <row r="46" spans="1:14" ht="12.75" customHeight="1">
      <c r="A46" s="342"/>
      <c r="B46" s="342"/>
      <c r="C46" s="342"/>
      <c r="D46" s="351">
        <v>-2</v>
      </c>
      <c r="E46" s="355">
        <v>50</v>
      </c>
      <c r="F46" s="356">
        <v>40</v>
      </c>
      <c r="G46" s="351">
        <f t="shared" si="0"/>
        <v>10</v>
      </c>
      <c r="H46" s="466"/>
      <c r="M46" s="332"/>
      <c r="N46" s="332"/>
    </row>
    <row r="47" spans="1:14" ht="12.75" customHeight="1">
      <c r="A47" s="342"/>
      <c r="B47" s="342"/>
      <c r="C47" s="342"/>
      <c r="D47" s="352">
        <v>-1</v>
      </c>
      <c r="E47" s="353">
        <v>48.5</v>
      </c>
      <c r="F47" s="354">
        <v>39</v>
      </c>
      <c r="G47" s="351">
        <f t="shared" si="0"/>
        <v>9.5</v>
      </c>
      <c r="H47" s="466"/>
      <c r="M47" s="332"/>
      <c r="N47" s="332"/>
    </row>
    <row r="48" spans="1:14" ht="12.75" customHeight="1">
      <c r="A48" s="342"/>
      <c r="B48" s="342"/>
      <c r="C48" s="342"/>
      <c r="D48" s="351">
        <v>0</v>
      </c>
      <c r="E48" s="355">
        <v>47</v>
      </c>
      <c r="F48" s="356">
        <v>38</v>
      </c>
      <c r="G48" s="351">
        <f t="shared" si="0"/>
        <v>9</v>
      </c>
      <c r="H48" s="466"/>
      <c r="M48" s="332"/>
      <c r="N48" s="332"/>
    </row>
    <row r="49" spans="1:14" ht="12.75" customHeight="1">
      <c r="A49" s="342"/>
      <c r="B49" s="342"/>
      <c r="C49" s="342"/>
      <c r="D49" s="352">
        <v>1</v>
      </c>
      <c r="E49" s="353">
        <v>45.5</v>
      </c>
      <c r="F49" s="354">
        <v>37</v>
      </c>
      <c r="G49" s="351">
        <f t="shared" si="0"/>
        <v>8.5</v>
      </c>
      <c r="H49" s="466"/>
      <c r="M49" s="332"/>
      <c r="N49" s="332"/>
    </row>
    <row r="50" spans="1:14" ht="12.75" customHeight="1">
      <c r="A50" s="342"/>
      <c r="B50" s="342"/>
      <c r="C50" s="342"/>
      <c r="D50" s="351">
        <v>2</v>
      </c>
      <c r="E50" s="355">
        <v>44</v>
      </c>
      <c r="F50" s="356">
        <v>36</v>
      </c>
      <c r="G50" s="351">
        <f t="shared" si="0"/>
        <v>8</v>
      </c>
      <c r="H50" s="466"/>
      <c r="M50" s="332"/>
      <c r="N50" s="332"/>
    </row>
    <row r="51" spans="1:14" ht="12.75" customHeight="1">
      <c r="A51" s="342"/>
      <c r="B51" s="342"/>
      <c r="C51" s="342"/>
      <c r="D51" s="352">
        <v>3</v>
      </c>
      <c r="E51" s="353">
        <v>42.5</v>
      </c>
      <c r="F51" s="354">
        <v>35</v>
      </c>
      <c r="G51" s="351">
        <f t="shared" si="0"/>
        <v>7.5</v>
      </c>
      <c r="H51" s="466"/>
      <c r="M51" s="332"/>
      <c r="N51" s="332"/>
    </row>
    <row r="52" spans="1:14" ht="12.75" customHeight="1">
      <c r="A52" s="342"/>
      <c r="B52" s="342"/>
      <c r="C52" s="342"/>
      <c r="D52" s="351">
        <v>4</v>
      </c>
      <c r="E52" s="355">
        <v>41</v>
      </c>
      <c r="F52" s="356">
        <v>34</v>
      </c>
      <c r="G52" s="351">
        <f t="shared" si="0"/>
        <v>7</v>
      </c>
      <c r="H52" s="466"/>
      <c r="M52" s="332"/>
      <c r="N52" s="332"/>
    </row>
    <row r="53" spans="1:14" ht="12.75" customHeight="1">
      <c r="A53" s="342"/>
      <c r="B53" s="342"/>
      <c r="C53" s="342"/>
      <c r="D53" s="352">
        <v>5</v>
      </c>
      <c r="E53" s="353">
        <v>39.5</v>
      </c>
      <c r="F53" s="354">
        <v>33</v>
      </c>
      <c r="G53" s="351">
        <f t="shared" si="0"/>
        <v>6.5</v>
      </c>
      <c r="H53" s="466"/>
      <c r="M53" s="332"/>
      <c r="N53" s="332"/>
    </row>
    <row r="54" spans="1:14" ht="12.75" customHeight="1">
      <c r="A54" s="342"/>
      <c r="B54" s="342"/>
      <c r="C54" s="342"/>
      <c r="D54" s="351">
        <v>6</v>
      </c>
      <c r="E54" s="355">
        <v>38</v>
      </c>
      <c r="F54" s="356">
        <v>32</v>
      </c>
      <c r="G54" s="351">
        <f t="shared" si="0"/>
        <v>6</v>
      </c>
      <c r="H54" s="466"/>
      <c r="M54" s="332"/>
      <c r="N54" s="332"/>
    </row>
    <row r="55" spans="1:14" ht="12.75">
      <c r="A55" s="342"/>
      <c r="B55" s="342"/>
      <c r="C55" s="342"/>
      <c r="D55" s="352">
        <v>7</v>
      </c>
      <c r="E55" s="353">
        <v>36.5</v>
      </c>
      <c r="F55" s="354">
        <v>31</v>
      </c>
      <c r="G55" s="351">
        <f t="shared" si="0"/>
        <v>5.5</v>
      </c>
      <c r="H55" s="466"/>
      <c r="M55" s="332"/>
      <c r="N55" s="332"/>
    </row>
    <row r="56" spans="1:14" ht="13.5" thickBot="1">
      <c r="A56" s="342"/>
      <c r="B56" s="342"/>
      <c r="C56" s="342"/>
      <c r="D56" s="360">
        <v>8</v>
      </c>
      <c r="E56" s="361">
        <v>35</v>
      </c>
      <c r="F56" s="362">
        <v>30</v>
      </c>
      <c r="G56" s="351">
        <f t="shared" si="0"/>
        <v>5</v>
      </c>
      <c r="H56" s="480"/>
      <c r="M56" s="332"/>
      <c r="N56" s="332"/>
    </row>
    <row r="57" spans="13:14" ht="12.75">
      <c r="M57" s="332"/>
      <c r="N57" s="332"/>
    </row>
    <row r="58" spans="13:14" ht="12.75">
      <c r="M58" s="332"/>
      <c r="N58" s="332"/>
    </row>
    <row r="59" spans="13:14" ht="12.75">
      <c r="M59" s="332"/>
      <c r="N59" s="332"/>
    </row>
    <row r="60" spans="13:14" ht="12.75">
      <c r="M60" s="332"/>
      <c r="N60" s="332"/>
    </row>
    <row r="61" spans="13:14" ht="12.75">
      <c r="M61" s="332"/>
      <c r="N61" s="332"/>
    </row>
    <row r="62" spans="13:14" ht="12.75">
      <c r="M62" s="332"/>
      <c r="N62" s="332"/>
    </row>
    <row r="63" spans="4:14" ht="12.75">
      <c r="D63" s="743"/>
      <c r="E63" s="743"/>
      <c r="F63" s="743"/>
      <c r="G63" s="743"/>
      <c r="H63" s="743"/>
      <c r="I63" s="743"/>
      <c r="J63" s="743"/>
      <c r="K63" s="743"/>
      <c r="M63" s="332"/>
      <c r="N63" s="332"/>
    </row>
    <row r="64" spans="4:14" ht="12.75">
      <c r="D64" s="744"/>
      <c r="E64" s="744"/>
      <c r="F64" s="744"/>
      <c r="G64" s="744"/>
      <c r="H64" s="744"/>
      <c r="I64" s="744"/>
      <c r="J64" s="744"/>
      <c r="K64" s="744"/>
      <c r="L64" s="332"/>
      <c r="M64" s="332"/>
      <c r="N64" s="332"/>
    </row>
    <row r="65" spans="4:14" ht="12.75">
      <c r="D65" s="744"/>
      <c r="E65" s="744"/>
      <c r="F65" s="744"/>
      <c r="G65" s="744"/>
      <c r="H65" s="744"/>
      <c r="I65" s="744"/>
      <c r="J65" s="744"/>
      <c r="K65" s="744"/>
      <c r="L65" s="332"/>
      <c r="M65" s="332"/>
      <c r="N65" s="332"/>
    </row>
    <row r="66" spans="4:14" ht="12.75">
      <c r="D66" s="744"/>
      <c r="E66" s="744"/>
      <c r="F66" s="744"/>
      <c r="G66" s="744"/>
      <c r="H66" s="744"/>
      <c r="I66" s="744"/>
      <c r="J66" s="744"/>
      <c r="K66" s="744"/>
      <c r="L66" s="332"/>
      <c r="M66" s="332"/>
      <c r="N66" s="332"/>
    </row>
    <row r="67" spans="4:14" ht="12.75">
      <c r="D67" s="744"/>
      <c r="E67" s="744"/>
      <c r="F67" s="744"/>
      <c r="G67" s="744"/>
      <c r="H67" s="744"/>
      <c r="I67" s="744"/>
      <c r="J67" s="744"/>
      <c r="K67" s="744"/>
      <c r="L67" s="332"/>
      <c r="M67" s="332"/>
      <c r="N67" s="332"/>
    </row>
    <row r="68" spans="4:14" ht="12.75">
      <c r="D68" s="744"/>
      <c r="E68" s="744"/>
      <c r="F68" s="744"/>
      <c r="G68" s="744"/>
      <c r="H68" s="744"/>
      <c r="I68" s="744"/>
      <c r="J68" s="744"/>
      <c r="K68" s="744"/>
      <c r="L68" s="332"/>
      <c r="M68" s="332"/>
      <c r="N68" s="332"/>
    </row>
    <row r="69" spans="4:14" ht="12.75">
      <c r="D69" s="744"/>
      <c r="E69" s="744"/>
      <c r="F69" s="744"/>
      <c r="G69" s="744"/>
      <c r="H69" s="744"/>
      <c r="I69" s="744"/>
      <c r="J69" s="744"/>
      <c r="K69" s="744"/>
      <c r="L69" s="332"/>
      <c r="M69" s="332"/>
      <c r="N69" s="332"/>
    </row>
    <row r="70" spans="4:14" ht="12.75">
      <c r="D70" s="744"/>
      <c r="E70" s="744"/>
      <c r="F70" s="744"/>
      <c r="G70" s="744"/>
      <c r="H70" s="744"/>
      <c r="I70" s="744"/>
      <c r="J70" s="744"/>
      <c r="K70" s="744"/>
      <c r="L70" s="332"/>
      <c r="M70" s="332"/>
      <c r="N70" s="332"/>
    </row>
    <row r="71" spans="4:14" ht="12.75">
      <c r="D71" s="744"/>
      <c r="E71" s="744"/>
      <c r="F71" s="744"/>
      <c r="G71" s="744"/>
      <c r="H71" s="744"/>
      <c r="I71" s="744"/>
      <c r="J71" s="744"/>
      <c r="K71" s="744"/>
      <c r="L71" s="332"/>
      <c r="M71" s="332"/>
      <c r="N71" s="332"/>
    </row>
    <row r="72" spans="4:14" ht="12.75">
      <c r="D72" s="744"/>
      <c r="E72" s="744"/>
      <c r="F72" s="744"/>
      <c r="G72" s="744"/>
      <c r="H72" s="744"/>
      <c r="I72" s="744"/>
      <c r="J72" s="744"/>
      <c r="K72" s="744"/>
      <c r="L72" s="332"/>
      <c r="M72" s="332"/>
      <c r="N72" s="332"/>
    </row>
    <row r="73" spans="4:14" ht="12.75">
      <c r="D73" s="744"/>
      <c r="E73" s="744"/>
      <c r="F73" s="744"/>
      <c r="G73" s="744"/>
      <c r="H73" s="744"/>
      <c r="I73" s="744"/>
      <c r="J73" s="744"/>
      <c r="K73" s="744"/>
      <c r="L73" s="332"/>
      <c r="M73" s="332"/>
      <c r="N73" s="332"/>
    </row>
    <row r="74" spans="4:11" ht="12.75">
      <c r="D74" s="743"/>
      <c r="E74" s="743"/>
      <c r="F74" s="743"/>
      <c r="G74" s="743"/>
      <c r="H74" s="743"/>
      <c r="I74" s="743"/>
      <c r="J74" s="743"/>
      <c r="K74" s="743"/>
    </row>
    <row r="75" ht="0.75" customHeight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</sheetData>
  <sheetProtection/>
  <protectedRanges>
    <protectedRange password="CC01" sqref="A1:B1" name="Диапазон1_1"/>
  </protectedRanges>
  <printOptions horizontalCentered="1" vertic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SheetLayoutView="100" workbookViewId="0" topLeftCell="A1">
      <selection activeCell="O26" sqref="O26"/>
    </sheetView>
  </sheetViews>
  <sheetFormatPr defaultColWidth="9.140625" defaultRowHeight="15"/>
  <cols>
    <col min="1" max="1" width="7.140625" style="692" customWidth="1"/>
    <col min="2" max="3" width="12.140625" style="699" customWidth="1"/>
    <col min="4" max="4" width="8.421875" style="699" customWidth="1"/>
    <col min="5" max="5" width="10.7109375" style="700" customWidth="1"/>
    <col min="6" max="8" width="10.7109375" style="692" customWidth="1"/>
    <col min="9" max="16384" width="9.140625" style="697" customWidth="1"/>
  </cols>
  <sheetData>
    <row r="1" spans="1:8" s="694" customFormat="1" ht="12.75">
      <c r="A1" s="692">
        <v>1</v>
      </c>
      <c r="B1" s="693">
        <v>2</v>
      </c>
      <c r="C1" s="693"/>
      <c r="D1" s="693"/>
      <c r="E1" s="692"/>
      <c r="F1" s="692">
        <v>3</v>
      </c>
      <c r="G1" s="692">
        <v>4</v>
      </c>
      <c r="H1" s="692">
        <v>5</v>
      </c>
    </row>
    <row r="2" spans="2:11" ht="15">
      <c r="B2" s="2376" t="s">
        <v>991</v>
      </c>
      <c r="C2" s="2376"/>
      <c r="D2" s="2376"/>
      <c r="E2" s="2376"/>
      <c r="F2" s="2376"/>
      <c r="G2" s="695"/>
      <c r="H2" s="695"/>
      <c r="I2" s="696"/>
      <c r="J2" s="696"/>
      <c r="K2" s="696"/>
    </row>
    <row r="3" ht="13.5">
      <c r="A3" s="698"/>
    </row>
    <row r="4" spans="1:8" s="703" customFormat="1" ht="13.5">
      <c r="A4" s="701" t="s">
        <v>652</v>
      </c>
      <c r="B4" s="2378" t="s">
        <v>681</v>
      </c>
      <c r="C4" s="2379"/>
      <c r="D4" s="2380"/>
      <c r="E4" s="702" t="s">
        <v>992</v>
      </c>
      <c r="F4" s="702" t="s">
        <v>993</v>
      </c>
      <c r="G4" s="702" t="s">
        <v>994</v>
      </c>
      <c r="H4" s="702" t="s">
        <v>662</v>
      </c>
    </row>
    <row r="5" spans="1:8" ht="13.5">
      <c r="A5" s="704">
        <v>1</v>
      </c>
      <c r="B5" s="2373">
        <v>2</v>
      </c>
      <c r="C5" s="2374"/>
      <c r="D5" s="2375"/>
      <c r="E5" s="704">
        <v>3</v>
      </c>
      <c r="F5" s="704">
        <v>4</v>
      </c>
      <c r="G5" s="704">
        <v>5</v>
      </c>
      <c r="H5" s="704">
        <v>6</v>
      </c>
    </row>
    <row r="6" spans="1:8" ht="32.25" customHeight="1">
      <c r="A6" s="702">
        <v>1</v>
      </c>
      <c r="B6" s="2360" t="s">
        <v>60</v>
      </c>
      <c r="C6" s="2361"/>
      <c r="D6" s="2362"/>
      <c r="E6" s="702">
        <v>1.158</v>
      </c>
      <c r="F6" s="1477">
        <v>1.062</v>
      </c>
      <c r="G6" s="1477">
        <v>1.063</v>
      </c>
      <c r="H6" s="1477">
        <v>1.059</v>
      </c>
    </row>
    <row r="7" spans="1:8" ht="34.5" customHeight="1">
      <c r="A7" s="702">
        <v>2</v>
      </c>
      <c r="B7" s="2360" t="s">
        <v>995</v>
      </c>
      <c r="C7" s="2361"/>
      <c r="D7" s="2362"/>
      <c r="E7" s="702">
        <v>1.157</v>
      </c>
      <c r="F7" s="1477">
        <v>1.074</v>
      </c>
      <c r="G7" s="1477">
        <v>1.058</v>
      </c>
      <c r="H7" s="1477">
        <v>1.055</v>
      </c>
    </row>
    <row r="8" spans="1:8" s="703" customFormat="1" ht="13.5" hidden="1">
      <c r="A8" s="2377" t="s">
        <v>1011</v>
      </c>
      <c r="B8" s="2367" t="s">
        <v>996</v>
      </c>
      <c r="C8" s="2368"/>
      <c r="D8" s="2369"/>
      <c r="E8" s="702" t="s">
        <v>997</v>
      </c>
      <c r="F8" s="702"/>
      <c r="G8" s="702"/>
      <c r="H8" s="702"/>
    </row>
    <row r="9" spans="1:8" s="703" customFormat="1" ht="13.5" hidden="1">
      <c r="A9" s="2377"/>
      <c r="B9" s="2370"/>
      <c r="C9" s="2371"/>
      <c r="D9" s="2372"/>
      <c r="E9" s="1478">
        <v>1.021</v>
      </c>
      <c r="F9" s="1477"/>
      <c r="G9" s="1477"/>
      <c r="H9" s="1477"/>
    </row>
    <row r="10" spans="1:8" ht="13.5">
      <c r="A10" s="702">
        <v>3</v>
      </c>
      <c r="B10" s="2360" t="s">
        <v>998</v>
      </c>
      <c r="C10" s="2361"/>
      <c r="D10" s="2362"/>
      <c r="E10" s="702">
        <v>1.085</v>
      </c>
      <c r="F10" s="1477">
        <v>1.1</v>
      </c>
      <c r="G10" s="1477">
        <v>1.098</v>
      </c>
      <c r="H10" s="1477">
        <v>1.083</v>
      </c>
    </row>
    <row r="11" spans="1:8" ht="13.5">
      <c r="A11" s="702">
        <v>4</v>
      </c>
      <c r="B11" s="2360" t="s">
        <v>999</v>
      </c>
      <c r="C11" s="2361"/>
      <c r="D11" s="2362"/>
      <c r="E11" s="702">
        <v>1.158</v>
      </c>
      <c r="F11" s="1477">
        <v>1.065</v>
      </c>
      <c r="G11" s="1477">
        <v>1.066</v>
      </c>
      <c r="H11" s="1477">
        <v>1.067</v>
      </c>
    </row>
    <row r="12" spans="1:8" ht="13.5">
      <c r="A12" s="702" t="s">
        <v>1019</v>
      </c>
      <c r="B12" s="2360" t="s">
        <v>1000</v>
      </c>
      <c r="C12" s="2361"/>
      <c r="D12" s="2362"/>
      <c r="E12" s="1475">
        <v>1.158</v>
      </c>
      <c r="F12" s="1479">
        <v>1.065</v>
      </c>
      <c r="G12" s="1479">
        <v>1.066</v>
      </c>
      <c r="H12" s="1479">
        <v>1.067</v>
      </c>
    </row>
    <row r="13" spans="1:8" ht="13.5">
      <c r="A13" s="702">
        <v>6</v>
      </c>
      <c r="B13" s="2360" t="s">
        <v>48</v>
      </c>
      <c r="C13" s="2361"/>
      <c r="D13" s="2363"/>
      <c r="E13" s="1476"/>
      <c r="F13" s="1480"/>
      <c r="G13" s="1480"/>
      <c r="H13" s="1481"/>
    </row>
    <row r="14" spans="1:8" ht="13.5">
      <c r="A14" s="705" t="s">
        <v>1510</v>
      </c>
      <c r="B14" s="2364" t="s">
        <v>49</v>
      </c>
      <c r="C14" s="2365"/>
      <c r="D14" s="2366"/>
      <c r="E14" s="1482">
        <v>1.049</v>
      </c>
      <c r="F14" s="1483">
        <v>1.062</v>
      </c>
      <c r="G14" s="1483">
        <v>1.063</v>
      </c>
      <c r="H14" s="1483">
        <v>1.059</v>
      </c>
    </row>
    <row r="15" spans="1:8" ht="13.5">
      <c r="A15" s="705" t="s">
        <v>1511</v>
      </c>
      <c r="B15" s="2364" t="s">
        <v>1074</v>
      </c>
      <c r="C15" s="2365"/>
      <c r="D15" s="2366"/>
      <c r="E15" s="702">
        <v>0.991</v>
      </c>
      <c r="F15" s="1477">
        <v>1.033</v>
      </c>
      <c r="G15" s="1477">
        <v>1.061</v>
      </c>
      <c r="H15" s="1477">
        <v>1.062</v>
      </c>
    </row>
    <row r="16" spans="1:8" ht="13.5">
      <c r="A16" s="705" t="s">
        <v>1512</v>
      </c>
      <c r="B16" s="2364" t="s">
        <v>50</v>
      </c>
      <c r="C16" s="2365"/>
      <c r="D16" s="2366"/>
      <c r="E16" s="702">
        <v>1.079</v>
      </c>
      <c r="F16" s="1477">
        <v>1.05</v>
      </c>
      <c r="G16" s="1477">
        <v>1.072</v>
      </c>
      <c r="H16" s="1477">
        <v>1.058</v>
      </c>
    </row>
    <row r="17" spans="1:8" ht="13.5">
      <c r="A17" s="702">
        <v>7</v>
      </c>
      <c r="B17" s="2360" t="s">
        <v>51</v>
      </c>
      <c r="C17" s="2361"/>
      <c r="D17" s="2362"/>
      <c r="E17" s="702">
        <v>1.081</v>
      </c>
      <c r="F17" s="1477">
        <v>1.062</v>
      </c>
      <c r="G17" s="1477">
        <v>1.063</v>
      </c>
      <c r="H17" s="1477">
        <v>1.059</v>
      </c>
    </row>
    <row r="18" spans="1:8" ht="13.5">
      <c r="A18" s="702">
        <v>8</v>
      </c>
      <c r="B18" s="2360" t="s">
        <v>52</v>
      </c>
      <c r="C18" s="2361"/>
      <c r="D18" s="2362"/>
      <c r="E18" s="702">
        <v>1.158</v>
      </c>
      <c r="F18" s="1477">
        <v>1.062</v>
      </c>
      <c r="G18" s="1477">
        <v>1.063</v>
      </c>
      <c r="H18" s="1477">
        <v>1.059</v>
      </c>
    </row>
    <row r="20" spans="1:8" s="703" customFormat="1" ht="13.5">
      <c r="A20" s="695"/>
      <c r="B20" s="2359" t="s">
        <v>53</v>
      </c>
      <c r="C20" s="2359"/>
      <c r="D20" s="2359"/>
      <c r="E20" s="706"/>
      <c r="F20" s="695"/>
      <c r="G20" s="695"/>
      <c r="H20" s="695"/>
    </row>
    <row r="22" spans="2:4" s="695" customFormat="1" ht="12.75">
      <c r="B22" s="707" t="s">
        <v>54</v>
      </c>
      <c r="C22" s="707" t="s">
        <v>55</v>
      </c>
      <c r="D22" s="707" t="s">
        <v>56</v>
      </c>
    </row>
    <row r="23" spans="2:4" s="692" customFormat="1" ht="12.75">
      <c r="B23" s="708">
        <v>7056</v>
      </c>
      <c r="C23" s="708">
        <v>7056</v>
      </c>
      <c r="D23" s="708">
        <f>SUM(B23:C23)/2</f>
        <v>7056</v>
      </c>
    </row>
    <row r="24" spans="2:4" s="692" customFormat="1" ht="5.25" customHeight="1">
      <c r="B24" s="693"/>
      <c r="C24" s="693"/>
      <c r="D24" s="693"/>
    </row>
    <row r="25" spans="2:4" s="695" customFormat="1" ht="12.75">
      <c r="B25" s="707" t="s">
        <v>57</v>
      </c>
      <c r="C25" s="707" t="s">
        <v>58</v>
      </c>
      <c r="D25" s="707" t="s">
        <v>59</v>
      </c>
    </row>
    <row r="26" spans="2:4" s="692" customFormat="1" ht="12.75">
      <c r="B26" s="708">
        <f>7056*1.044</f>
        <v>7366.464</v>
      </c>
      <c r="C26" s="708">
        <f>7056*1.044</f>
        <v>7366.464</v>
      </c>
      <c r="D26" s="708">
        <f>D23*G7</f>
        <v>7465.2480000000005</v>
      </c>
    </row>
    <row r="28" spans="2:4" ht="13.5">
      <c r="B28" s="707" t="s">
        <v>61</v>
      </c>
      <c r="C28" s="707" t="s">
        <v>62</v>
      </c>
      <c r="D28" s="707" t="s">
        <v>63</v>
      </c>
    </row>
    <row r="29" spans="2:4" ht="13.5">
      <c r="B29" s="708">
        <f>7366*1.043</f>
        <v>7682.737999999999</v>
      </c>
      <c r="C29" s="708">
        <f>7366*1.043</f>
        <v>7682.737999999999</v>
      </c>
      <c r="D29" s="708">
        <f>7366*1.043</f>
        <v>7682.737999999999</v>
      </c>
    </row>
    <row r="31" spans="2:4" ht="13.5">
      <c r="B31" s="707" t="s">
        <v>663</v>
      </c>
      <c r="C31" s="707" t="s">
        <v>65</v>
      </c>
      <c r="D31" s="707" t="s">
        <v>64</v>
      </c>
    </row>
    <row r="32" spans="2:4" ht="13.5">
      <c r="B32" s="708">
        <f>7683*1.043</f>
        <v>8013.369</v>
      </c>
      <c r="C32" s="708">
        <f>7683*1.043</f>
        <v>8013.369</v>
      </c>
      <c r="D32" s="708">
        <f>7683*1.043</f>
        <v>8013.369</v>
      </c>
    </row>
  </sheetData>
  <sheetProtection/>
  <mergeCells count="17">
    <mergeCell ref="B2:F2"/>
    <mergeCell ref="A8:A9"/>
    <mergeCell ref="B4:D4"/>
    <mergeCell ref="B6:D6"/>
    <mergeCell ref="B10:D10"/>
    <mergeCell ref="B8:D9"/>
    <mergeCell ref="B7:D7"/>
    <mergeCell ref="B5:D5"/>
    <mergeCell ref="B20:D20"/>
    <mergeCell ref="B11:D11"/>
    <mergeCell ref="B12:D12"/>
    <mergeCell ref="B13:D13"/>
    <mergeCell ref="B17:D17"/>
    <mergeCell ref="B18:D18"/>
    <mergeCell ref="B14:D14"/>
    <mergeCell ref="B15:D15"/>
    <mergeCell ref="B16:D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workbookViewId="0" topLeftCell="A1">
      <selection activeCell="B23" sqref="B23"/>
    </sheetView>
  </sheetViews>
  <sheetFormatPr defaultColWidth="9.140625" defaultRowHeight="15"/>
  <cols>
    <col min="1" max="1" width="7.140625" style="692" customWidth="1"/>
    <col min="2" max="4" width="12.140625" style="699" customWidth="1"/>
    <col min="5" max="5" width="10.7109375" style="700" customWidth="1"/>
    <col min="6" max="8" width="10.7109375" style="692" customWidth="1"/>
    <col min="9" max="9" width="10.421875" style="697" customWidth="1"/>
    <col min="10" max="16384" width="9.140625" style="697" customWidth="1"/>
  </cols>
  <sheetData>
    <row r="1" spans="1:8" s="694" customFormat="1" ht="12.75">
      <c r="A1" s="692">
        <v>1</v>
      </c>
      <c r="B1" s="693">
        <v>2</v>
      </c>
      <c r="C1" s="693"/>
      <c r="D1" s="693"/>
      <c r="E1" s="692"/>
      <c r="F1" s="692">
        <v>3</v>
      </c>
      <c r="G1" s="692">
        <v>4</v>
      </c>
      <c r="H1" s="692">
        <v>5</v>
      </c>
    </row>
    <row r="2" spans="2:11" ht="15">
      <c r="B2" s="2376" t="s">
        <v>991</v>
      </c>
      <c r="C2" s="2376"/>
      <c r="D2" s="2376"/>
      <c r="E2" s="2376"/>
      <c r="F2" s="2376"/>
      <c r="G2" s="695"/>
      <c r="H2" s="695"/>
      <c r="I2" s="696"/>
      <c r="J2" s="696"/>
      <c r="K2" s="696"/>
    </row>
    <row r="3" ht="13.5">
      <c r="A3" s="698"/>
    </row>
    <row r="4" spans="1:9" s="703" customFormat="1" ht="13.5">
      <c r="A4" s="701" t="s">
        <v>652</v>
      </c>
      <c r="B4" s="2378" t="s">
        <v>681</v>
      </c>
      <c r="C4" s="2379"/>
      <c r="D4" s="2380"/>
      <c r="E4" s="2045"/>
      <c r="F4" s="702" t="s">
        <v>992</v>
      </c>
      <c r="G4" s="702" t="s">
        <v>993</v>
      </c>
      <c r="H4" s="702" t="s">
        <v>994</v>
      </c>
      <c r="I4" s="702" t="s">
        <v>662</v>
      </c>
    </row>
    <row r="5" spans="1:9" ht="13.5">
      <c r="A5" s="704">
        <v>1</v>
      </c>
      <c r="B5" s="2373">
        <v>2</v>
      </c>
      <c r="C5" s="2374"/>
      <c r="D5" s="2375"/>
      <c r="E5" s="704">
        <v>3</v>
      </c>
      <c r="F5" s="704">
        <v>4</v>
      </c>
      <c r="G5" s="704">
        <v>5</v>
      </c>
      <c r="H5" s="704">
        <v>6</v>
      </c>
      <c r="I5" s="704">
        <v>6</v>
      </c>
    </row>
    <row r="6" spans="1:9" ht="32.25" customHeight="1">
      <c r="A6" s="702">
        <v>1</v>
      </c>
      <c r="B6" s="2360" t="s">
        <v>60</v>
      </c>
      <c r="C6" s="2361"/>
      <c r="D6" s="2362"/>
      <c r="E6" s="702"/>
      <c r="F6" s="2048">
        <v>1.158</v>
      </c>
      <c r="G6" s="2048">
        <v>1.062</v>
      </c>
      <c r="H6" s="2048">
        <v>1.063</v>
      </c>
      <c r="I6" s="2048">
        <v>1.059</v>
      </c>
    </row>
    <row r="7" spans="1:9" ht="34.5" customHeight="1">
      <c r="A7" s="702">
        <v>2</v>
      </c>
      <c r="B7" s="2360" t="s">
        <v>1478</v>
      </c>
      <c r="C7" s="2361"/>
      <c r="D7" s="2362"/>
      <c r="E7" s="702"/>
      <c r="F7" s="2048">
        <v>1.057</v>
      </c>
      <c r="G7" s="2048">
        <v>1.074</v>
      </c>
      <c r="H7" s="2048">
        <v>1.058</v>
      </c>
      <c r="I7" s="2048">
        <v>1.055</v>
      </c>
    </row>
    <row r="8" spans="1:9" s="703" customFormat="1" ht="13.5" hidden="1">
      <c r="A8" s="2377" t="s">
        <v>1011</v>
      </c>
      <c r="B8" s="2367" t="s">
        <v>996</v>
      </c>
      <c r="C8" s="2368"/>
      <c r="D8" s="2369"/>
      <c r="E8" s="704" t="s">
        <v>997</v>
      </c>
      <c r="F8" s="704" t="s">
        <v>1479</v>
      </c>
      <c r="G8" s="704" t="s">
        <v>1480</v>
      </c>
      <c r="H8" s="704" t="s">
        <v>1481</v>
      </c>
      <c r="I8" s="704" t="s">
        <v>1481</v>
      </c>
    </row>
    <row r="9" spans="1:9" s="703" customFormat="1" ht="13.5" hidden="1">
      <c r="A9" s="2377"/>
      <c r="B9" s="2370"/>
      <c r="C9" s="2371"/>
      <c r="D9" s="2372"/>
      <c r="E9" s="2049">
        <v>1.021</v>
      </c>
      <c r="F9" s="2048">
        <v>1.02</v>
      </c>
      <c r="G9" s="2048">
        <v>1.009</v>
      </c>
      <c r="H9" s="2048">
        <v>1.006</v>
      </c>
      <c r="I9" s="2048">
        <v>1.006</v>
      </c>
    </row>
    <row r="10" spans="1:9" ht="13.5">
      <c r="A10" s="702">
        <v>3</v>
      </c>
      <c r="B10" s="2360" t="s">
        <v>998</v>
      </c>
      <c r="C10" s="2361"/>
      <c r="D10" s="2362"/>
      <c r="E10" s="702"/>
      <c r="F10" s="2048">
        <v>1.085</v>
      </c>
      <c r="G10" s="2048">
        <v>1.1</v>
      </c>
      <c r="H10" s="2048">
        <v>1.098</v>
      </c>
      <c r="I10" s="2048">
        <v>1.083</v>
      </c>
    </row>
    <row r="11" spans="1:9" ht="13.5">
      <c r="A11" s="702">
        <v>4</v>
      </c>
      <c r="B11" s="2360" t="s">
        <v>999</v>
      </c>
      <c r="C11" s="2361"/>
      <c r="D11" s="2362"/>
      <c r="E11" s="702"/>
      <c r="F11" s="2048">
        <v>1.158</v>
      </c>
      <c r="G11" s="2048">
        <v>1.065</v>
      </c>
      <c r="H11" s="2048">
        <v>1.066</v>
      </c>
      <c r="I11" s="2048">
        <v>1.067</v>
      </c>
    </row>
    <row r="12" spans="1:9" ht="13.5">
      <c r="A12" s="702" t="s">
        <v>1019</v>
      </c>
      <c r="B12" s="2360" t="s">
        <v>1000</v>
      </c>
      <c r="C12" s="2361"/>
      <c r="D12" s="2362"/>
      <c r="E12" s="702"/>
      <c r="F12" s="2048">
        <f>F11</f>
        <v>1.158</v>
      </c>
      <c r="G12" s="2048">
        <f>G11</f>
        <v>1.065</v>
      </c>
      <c r="H12" s="2048">
        <v>1.066</v>
      </c>
      <c r="I12" s="2048">
        <f>I11</f>
        <v>1.067</v>
      </c>
    </row>
    <row r="13" spans="1:9" ht="13.5">
      <c r="A13" s="702">
        <v>6</v>
      </c>
      <c r="B13" s="2360" t="s">
        <v>48</v>
      </c>
      <c r="C13" s="2361"/>
      <c r="D13" s="2362"/>
      <c r="E13" s="702"/>
      <c r="F13" s="2048"/>
      <c r="G13" s="2048"/>
      <c r="H13" s="2048"/>
      <c r="I13" s="2048"/>
    </row>
    <row r="14" spans="1:9" ht="13.5">
      <c r="A14" s="705" t="s">
        <v>1510</v>
      </c>
      <c r="B14" s="2364" t="s">
        <v>49</v>
      </c>
      <c r="C14" s="2365"/>
      <c r="D14" s="2366"/>
      <c r="E14" s="704"/>
      <c r="F14" s="2048"/>
      <c r="G14" s="2048"/>
      <c r="H14" s="2048"/>
      <c r="I14" s="2048"/>
    </row>
    <row r="15" spans="1:9" ht="13.5">
      <c r="A15" s="705" t="s">
        <v>1511</v>
      </c>
      <c r="B15" s="2364" t="s">
        <v>1074</v>
      </c>
      <c r="C15" s="2365"/>
      <c r="D15" s="2366"/>
      <c r="E15" s="704"/>
      <c r="F15" s="2048">
        <v>0.991</v>
      </c>
      <c r="G15" s="2048">
        <v>1.033</v>
      </c>
      <c r="H15" s="2048">
        <v>1.061</v>
      </c>
      <c r="I15" s="2048">
        <v>1.062</v>
      </c>
    </row>
    <row r="16" spans="1:9" ht="13.5">
      <c r="A16" s="705" t="s">
        <v>1512</v>
      </c>
      <c r="B16" s="2364" t="s">
        <v>50</v>
      </c>
      <c r="C16" s="2365"/>
      <c r="D16" s="2366"/>
      <c r="E16" s="704"/>
      <c r="F16" s="2048"/>
      <c r="G16" s="2048"/>
      <c r="H16" s="2048"/>
      <c r="I16" s="2048"/>
    </row>
    <row r="17" spans="1:9" ht="13.5">
      <c r="A17" s="702">
        <v>7</v>
      </c>
      <c r="B17" s="2360" t="s">
        <v>51</v>
      </c>
      <c r="C17" s="2361"/>
      <c r="D17" s="2362"/>
      <c r="E17" s="702"/>
      <c r="F17" s="2048">
        <v>1.081</v>
      </c>
      <c r="G17" s="2048">
        <v>1.062</v>
      </c>
      <c r="H17" s="2048">
        <v>1.063</v>
      </c>
      <c r="I17" s="2048">
        <v>1.059</v>
      </c>
    </row>
    <row r="18" spans="1:9" ht="13.5">
      <c r="A18" s="702">
        <v>8</v>
      </c>
      <c r="B18" s="2360" t="s">
        <v>52</v>
      </c>
      <c r="C18" s="2361"/>
      <c r="D18" s="2362"/>
      <c r="E18" s="702"/>
      <c r="F18" s="2048">
        <v>1.158</v>
      </c>
      <c r="G18" s="2048">
        <v>1.062</v>
      </c>
      <c r="H18" s="2048">
        <v>1.063</v>
      </c>
      <c r="I18" s="2048">
        <v>1.059</v>
      </c>
    </row>
    <row r="20" spans="1:8" s="703" customFormat="1" ht="13.5">
      <c r="A20" s="695"/>
      <c r="B20" s="2381"/>
      <c r="C20" s="2381"/>
      <c r="D20" s="2381"/>
      <c r="E20" s="706"/>
      <c r="F20" s="695"/>
      <c r="G20" s="695"/>
      <c r="H20" s="695"/>
    </row>
    <row r="21" spans="2:4" ht="13.5">
      <c r="B21" s="2051"/>
      <c r="C21" s="2051"/>
      <c r="D21" s="2051"/>
    </row>
    <row r="22" spans="2:4" s="695" customFormat="1" ht="12.75">
      <c r="B22" s="2052"/>
      <c r="C22" s="2052"/>
      <c r="D22" s="2052"/>
    </row>
    <row r="23" spans="2:4" s="692" customFormat="1" ht="12.75">
      <c r="B23" s="2053"/>
      <c r="C23" s="2053"/>
      <c r="D23" s="2053"/>
    </row>
    <row r="24" spans="2:4" s="692" customFormat="1" ht="5.25" customHeight="1">
      <c r="B24" s="2050"/>
      <c r="C24" s="2050"/>
      <c r="D24" s="2050"/>
    </row>
    <row r="25" spans="2:4" s="695" customFormat="1" ht="12.75">
      <c r="B25" s="2052"/>
      <c r="C25" s="2052"/>
      <c r="D25" s="2052"/>
    </row>
    <row r="26" spans="2:4" s="692" customFormat="1" ht="12.75">
      <c r="B26" s="2053"/>
      <c r="C26" s="2053"/>
      <c r="D26" s="2053"/>
    </row>
    <row r="27" spans="2:4" ht="13.5">
      <c r="B27" s="2051"/>
      <c r="C27" s="2051"/>
      <c r="D27" s="2051"/>
    </row>
    <row r="28" spans="2:4" ht="13.5">
      <c r="B28" s="2052"/>
      <c r="C28" s="2052"/>
      <c r="D28" s="2052"/>
    </row>
    <row r="29" spans="2:4" ht="13.5">
      <c r="B29" s="2053"/>
      <c r="C29" s="2053"/>
      <c r="D29" s="2053"/>
    </row>
    <row r="30" spans="2:4" ht="13.5">
      <c r="B30" s="2051"/>
      <c r="C30" s="2051"/>
      <c r="D30" s="2051"/>
    </row>
    <row r="31" spans="2:4" ht="13.5">
      <c r="B31" s="2052"/>
      <c r="C31" s="2052"/>
      <c r="D31" s="2052"/>
    </row>
    <row r="32" spans="2:4" ht="13.5">
      <c r="B32" s="2053"/>
      <c r="C32" s="2053"/>
      <c r="D32" s="2053"/>
    </row>
  </sheetData>
  <sheetProtection/>
  <mergeCells count="17">
    <mergeCell ref="B20:D20"/>
    <mergeCell ref="B11:D11"/>
    <mergeCell ref="B12:D12"/>
    <mergeCell ref="B13:D13"/>
    <mergeCell ref="B17:D17"/>
    <mergeCell ref="B18:D18"/>
    <mergeCell ref="B14:D14"/>
    <mergeCell ref="B15:D15"/>
    <mergeCell ref="B16:D16"/>
    <mergeCell ref="B10:D10"/>
    <mergeCell ref="B8:D9"/>
    <mergeCell ref="B7:D7"/>
    <mergeCell ref="B5:D5"/>
    <mergeCell ref="B2:F2"/>
    <mergeCell ref="A8:A9"/>
    <mergeCell ref="B4:D4"/>
    <mergeCell ref="B6:D6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C34"/>
  <sheetViews>
    <sheetView zoomScale="90" zoomScaleNormal="90" zoomScaleSheetLayoutView="100" workbookViewId="0" topLeftCell="A1">
      <pane xSplit="3" ySplit="13" topLeftCell="M14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M34" sqref="M34"/>
    </sheetView>
  </sheetViews>
  <sheetFormatPr defaultColWidth="9.140625" defaultRowHeight="15" outlineLevelRow="1"/>
  <cols>
    <col min="1" max="1" width="5.57421875" style="213" hidden="1" customWidth="1"/>
    <col min="2" max="2" width="3.57421875" style="0" customWidth="1"/>
    <col min="3" max="3" width="24.421875" style="0" customWidth="1"/>
    <col min="4" max="4" width="9.00390625" style="0" hidden="1" customWidth="1"/>
    <col min="5" max="5" width="7.28125" style="0" hidden="1" customWidth="1"/>
    <col min="6" max="6" width="9.57421875" style="0" hidden="1" customWidth="1"/>
    <col min="7" max="7" width="9.00390625" style="0" hidden="1" customWidth="1"/>
    <col min="8" max="8" width="7.28125" style="0" hidden="1" customWidth="1"/>
    <col min="9" max="9" width="9.57421875" style="0" hidden="1" customWidth="1"/>
    <col min="10" max="10" width="8.57421875" style="0" hidden="1" customWidth="1"/>
    <col min="11" max="12" width="7.57421875" style="0" hidden="1" customWidth="1"/>
    <col min="13" max="14" width="6.8515625" style="0" customWidth="1"/>
    <col min="15" max="15" width="6.8515625" style="0" hidden="1" customWidth="1"/>
    <col min="16" max="17" width="6.8515625" style="0" customWidth="1"/>
    <col min="18" max="18" width="6.8515625" style="0" hidden="1" customWidth="1"/>
    <col min="19" max="20" width="6.8515625" style="0" customWidth="1"/>
    <col min="21" max="21" width="6.8515625" style="0" hidden="1" customWidth="1"/>
    <col min="22" max="23" width="6.8515625" style="0" customWidth="1"/>
    <col min="24" max="24" width="6.8515625" style="0" hidden="1" customWidth="1"/>
    <col min="25" max="26" width="6.8515625" style="0" customWidth="1"/>
    <col min="27" max="27" width="6.8515625" style="0" hidden="1" customWidth="1"/>
    <col min="28" max="29" width="6.8515625" style="0" customWidth="1"/>
    <col min="30" max="30" width="6.8515625" style="0" hidden="1" customWidth="1"/>
    <col min="31" max="32" width="6.8515625" style="0" customWidth="1"/>
    <col min="33" max="33" width="6.8515625" style="0" hidden="1" customWidth="1"/>
    <col min="34" max="35" width="6.8515625" style="0" customWidth="1"/>
    <col min="36" max="36" width="6.8515625" style="0" hidden="1" customWidth="1"/>
    <col min="37" max="38" width="6.8515625" style="0" customWidth="1"/>
    <col min="39" max="39" width="6.8515625" style="0" hidden="1" customWidth="1"/>
    <col min="40" max="41" width="6.8515625" style="0" customWidth="1"/>
    <col min="42" max="42" width="6.8515625" style="0" hidden="1" customWidth="1"/>
    <col min="43" max="44" width="6.8515625" style="0" customWidth="1"/>
    <col min="45" max="45" width="6.8515625" style="0" hidden="1" customWidth="1"/>
  </cols>
  <sheetData>
    <row r="1" spans="1:24" ht="14.25" hidden="1">
      <c r="A1" s="213">
        <v>1</v>
      </c>
      <c r="B1" s="213">
        <v>2</v>
      </c>
      <c r="C1" s="213">
        <v>3</v>
      </c>
      <c r="D1" s="213">
        <v>4</v>
      </c>
      <c r="E1" s="213">
        <v>5</v>
      </c>
      <c r="F1" s="213">
        <v>6</v>
      </c>
      <c r="G1" s="213">
        <v>4</v>
      </c>
      <c r="H1" s="213">
        <v>5</v>
      </c>
      <c r="I1" s="213">
        <v>6</v>
      </c>
      <c r="J1" s="213">
        <v>7</v>
      </c>
      <c r="K1" s="213">
        <v>8</v>
      </c>
      <c r="L1" s="213">
        <v>9</v>
      </c>
      <c r="M1" s="213">
        <v>10</v>
      </c>
      <c r="N1" s="213">
        <v>11</v>
      </c>
      <c r="O1" s="213">
        <v>12</v>
      </c>
      <c r="P1" s="213">
        <v>13</v>
      </c>
      <c r="Q1" s="213">
        <v>14</v>
      </c>
      <c r="R1" s="213">
        <v>15</v>
      </c>
      <c r="S1" s="213">
        <v>16</v>
      </c>
      <c r="T1" s="213">
        <v>17</v>
      </c>
      <c r="U1" s="213">
        <v>18</v>
      </c>
      <c r="V1" s="213">
        <v>19</v>
      </c>
      <c r="W1" s="213">
        <v>20</v>
      </c>
      <c r="X1" s="213">
        <v>21</v>
      </c>
    </row>
    <row r="2" spans="2:24" ht="15">
      <c r="B2" t="s">
        <v>1049</v>
      </c>
      <c r="C2" s="52"/>
      <c r="D2" s="52"/>
      <c r="E2" s="52"/>
      <c r="F2" s="52"/>
      <c r="G2" s="506"/>
      <c r="H2" s="505"/>
      <c r="I2" s="52"/>
      <c r="J2" s="52"/>
      <c r="K2" s="52"/>
      <c r="L2" s="52"/>
      <c r="M2" s="52"/>
      <c r="N2" s="52"/>
      <c r="O2" s="52"/>
      <c r="P2" s="52"/>
      <c r="Q2" s="52"/>
      <c r="X2" s="106"/>
    </row>
    <row r="3" spans="2:41" ht="15">
      <c r="B3" s="52" t="s">
        <v>856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W3" s="312"/>
      <c r="AF3" s="312"/>
      <c r="AG3" s="312"/>
      <c r="AO3" s="312" t="s">
        <v>670</v>
      </c>
    </row>
    <row r="5" spans="2:24" ht="16.5">
      <c r="B5" s="33" t="s">
        <v>709</v>
      </c>
      <c r="C5" s="33"/>
      <c r="D5" s="33"/>
      <c r="E5" s="33"/>
      <c r="F5" s="33"/>
      <c r="G5" s="33"/>
      <c r="H5" s="33"/>
      <c r="I5" s="33"/>
      <c r="J5" s="181"/>
      <c r="K5" s="33"/>
      <c r="L5" s="33"/>
      <c r="M5" s="33"/>
      <c r="N5" s="33"/>
      <c r="O5" s="33"/>
      <c r="P5" s="33"/>
      <c r="Q5" s="33"/>
      <c r="R5" s="33"/>
      <c r="S5" s="33" t="s">
        <v>1050</v>
      </c>
      <c r="T5" s="33"/>
      <c r="U5" s="33"/>
      <c r="V5" s="33"/>
      <c r="W5" s="33"/>
      <c r="X5" s="33"/>
    </row>
    <row r="6" spans="2:24" ht="15.75">
      <c r="B6" s="308" t="str">
        <f>'[3]3.1'!A5</f>
        <v>Наименование    Усть - Камчатское муниципальное образование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V6" s="10"/>
      <c r="W6" s="10"/>
      <c r="X6" s="449" t="s">
        <v>1182</v>
      </c>
    </row>
    <row r="7" spans="2:45" ht="15">
      <c r="B7" s="2006" t="s">
        <v>1008</v>
      </c>
      <c r="C7" s="1967"/>
      <c r="D7" s="2032" t="s">
        <v>1005</v>
      </c>
      <c r="E7" s="2033"/>
      <c r="F7" s="2033"/>
      <c r="G7" s="2033"/>
      <c r="H7" s="2033"/>
      <c r="I7" s="2033"/>
      <c r="J7" s="2033"/>
      <c r="K7" s="2033"/>
      <c r="L7" s="2033"/>
      <c r="M7" s="2033"/>
      <c r="N7" s="2033"/>
      <c r="O7" s="2033"/>
      <c r="P7" s="2033"/>
      <c r="Q7" s="2033"/>
      <c r="R7" s="2034"/>
      <c r="S7" s="2032" t="s">
        <v>1007</v>
      </c>
      <c r="T7" s="2033"/>
      <c r="U7" s="2033"/>
      <c r="V7" s="2033"/>
      <c r="W7" s="2033"/>
      <c r="X7" s="2033"/>
      <c r="Y7" s="2033"/>
      <c r="Z7" s="2033"/>
      <c r="AA7" s="2033"/>
      <c r="AB7" s="2033"/>
      <c r="AC7" s="2033"/>
      <c r="AD7" s="2033"/>
      <c r="AE7" s="2033"/>
      <c r="AF7" s="2033"/>
      <c r="AG7" s="2033"/>
      <c r="AH7" s="2033"/>
      <c r="AI7" s="2033"/>
      <c r="AJ7" s="2033"/>
      <c r="AK7" s="2033"/>
      <c r="AL7" s="2033"/>
      <c r="AM7" s="2033"/>
      <c r="AN7" s="2033"/>
      <c r="AO7" s="2033"/>
      <c r="AP7" s="2033"/>
      <c r="AQ7" s="2033"/>
      <c r="AR7" s="2033"/>
      <c r="AS7" s="2034"/>
    </row>
    <row r="8" spans="2:45" ht="15" customHeight="1">
      <c r="B8" s="2007"/>
      <c r="C8" s="1947"/>
      <c r="D8" s="2010" t="s">
        <v>197</v>
      </c>
      <c r="E8" s="1949"/>
      <c r="F8" s="1950"/>
      <c r="G8" s="2010" t="s">
        <v>467</v>
      </c>
      <c r="H8" s="1949"/>
      <c r="I8" s="1949"/>
      <c r="J8" s="2010" t="s">
        <v>1563</v>
      </c>
      <c r="K8" s="1949"/>
      <c r="L8" s="1950"/>
      <c r="M8" s="2010" t="s">
        <v>812</v>
      </c>
      <c r="N8" s="1949"/>
      <c r="O8" s="1950"/>
      <c r="P8" s="1952" t="s">
        <v>813</v>
      </c>
      <c r="Q8" s="1953"/>
      <c r="R8" s="1953"/>
      <c r="S8" s="2024" t="s">
        <v>465</v>
      </c>
      <c r="T8" s="2025"/>
      <c r="U8" s="2025"/>
      <c r="V8" s="2025"/>
      <c r="W8" s="2025"/>
      <c r="X8" s="2025"/>
      <c r="Y8" s="2025"/>
      <c r="Z8" s="2025"/>
      <c r="AA8" s="2026"/>
      <c r="AB8" s="2024" t="s">
        <v>1489</v>
      </c>
      <c r="AC8" s="2025"/>
      <c r="AD8" s="2025"/>
      <c r="AE8" s="2025"/>
      <c r="AF8" s="2025"/>
      <c r="AG8" s="2025"/>
      <c r="AH8" s="2025"/>
      <c r="AI8" s="2025"/>
      <c r="AJ8" s="2026"/>
      <c r="AK8" s="2024" t="s">
        <v>814</v>
      </c>
      <c r="AL8" s="2025"/>
      <c r="AM8" s="2025"/>
      <c r="AN8" s="2025"/>
      <c r="AO8" s="2025"/>
      <c r="AP8" s="2025"/>
      <c r="AQ8" s="2025"/>
      <c r="AR8" s="2025"/>
      <c r="AS8" s="2026"/>
    </row>
    <row r="9" spans="2:45" ht="15" customHeight="1">
      <c r="B9" s="2007"/>
      <c r="C9" s="1947"/>
      <c r="D9" s="2021"/>
      <c r="E9" s="2022"/>
      <c r="F9" s="2023"/>
      <c r="G9" s="2021"/>
      <c r="H9" s="2022"/>
      <c r="I9" s="2022"/>
      <c r="J9" s="2021"/>
      <c r="K9" s="2022"/>
      <c r="L9" s="2023"/>
      <c r="M9" s="2021"/>
      <c r="N9" s="2022"/>
      <c r="O9" s="2023"/>
      <c r="P9" s="1954"/>
      <c r="Q9" s="1955"/>
      <c r="R9" s="1955"/>
      <c r="S9" s="1990" t="s">
        <v>142</v>
      </c>
      <c r="T9" s="1991"/>
      <c r="U9" s="1966"/>
      <c r="V9" s="2024" t="s">
        <v>1487</v>
      </c>
      <c r="W9" s="2025"/>
      <c r="X9" s="2026"/>
      <c r="Y9" s="2024" t="s">
        <v>1488</v>
      </c>
      <c r="Z9" s="2025"/>
      <c r="AA9" s="2026"/>
      <c r="AB9" s="1990" t="s">
        <v>142</v>
      </c>
      <c r="AC9" s="1991"/>
      <c r="AD9" s="1966"/>
      <c r="AE9" s="2024" t="s">
        <v>1490</v>
      </c>
      <c r="AF9" s="2025"/>
      <c r="AG9" s="2026"/>
      <c r="AH9" s="2024" t="s">
        <v>1491</v>
      </c>
      <c r="AI9" s="2025"/>
      <c r="AJ9" s="2026"/>
      <c r="AK9" s="1990" t="s">
        <v>142</v>
      </c>
      <c r="AL9" s="1991"/>
      <c r="AM9" s="1966"/>
      <c r="AN9" s="2024" t="s">
        <v>115</v>
      </c>
      <c r="AO9" s="2025"/>
      <c r="AP9" s="2026"/>
      <c r="AQ9" s="2024" t="s">
        <v>116</v>
      </c>
      <c r="AR9" s="2025"/>
      <c r="AS9" s="2026"/>
    </row>
    <row r="10" spans="2:45" ht="15">
      <c r="B10" s="2008"/>
      <c r="C10" s="1947"/>
      <c r="D10" s="2036" t="s">
        <v>1022</v>
      </c>
      <c r="E10" s="2013" t="s">
        <v>1032</v>
      </c>
      <c r="F10" s="2014"/>
      <c r="G10" s="2036" t="s">
        <v>1022</v>
      </c>
      <c r="H10" s="2013" t="s">
        <v>1032</v>
      </c>
      <c r="I10" s="2014"/>
      <c r="J10" s="2036" t="s">
        <v>1022</v>
      </c>
      <c r="K10" s="2013" t="s">
        <v>1032</v>
      </c>
      <c r="L10" s="2014"/>
      <c r="M10" s="2036" t="s">
        <v>1022</v>
      </c>
      <c r="N10" s="2013" t="s">
        <v>1032</v>
      </c>
      <c r="O10" s="2014"/>
      <c r="P10" s="2036" t="s">
        <v>1022</v>
      </c>
      <c r="Q10" s="2013" t="s">
        <v>1032</v>
      </c>
      <c r="R10" s="2014"/>
      <c r="S10" s="435" t="s">
        <v>1022</v>
      </c>
      <c r="T10" s="1992" t="s">
        <v>1032</v>
      </c>
      <c r="U10" s="1993"/>
      <c r="V10" s="435" t="s">
        <v>1022</v>
      </c>
      <c r="W10" s="1992" t="s">
        <v>1032</v>
      </c>
      <c r="X10" s="1993"/>
      <c r="Y10" s="435" t="s">
        <v>1022</v>
      </c>
      <c r="Z10" s="1992" t="s">
        <v>1032</v>
      </c>
      <c r="AA10" s="1993"/>
      <c r="AB10" s="435" t="s">
        <v>1022</v>
      </c>
      <c r="AC10" s="2013" t="s">
        <v>1032</v>
      </c>
      <c r="AD10" s="2015"/>
      <c r="AE10" s="435" t="s">
        <v>1022</v>
      </c>
      <c r="AF10" s="2013" t="s">
        <v>1032</v>
      </c>
      <c r="AG10" s="2015"/>
      <c r="AH10" s="2036" t="s">
        <v>1022</v>
      </c>
      <c r="AI10" s="2013" t="s">
        <v>1032</v>
      </c>
      <c r="AJ10" s="2015"/>
      <c r="AK10" s="435" t="s">
        <v>1022</v>
      </c>
      <c r="AL10" s="2013" t="s">
        <v>1032</v>
      </c>
      <c r="AM10" s="2015"/>
      <c r="AN10" s="435" t="s">
        <v>1022</v>
      </c>
      <c r="AO10" s="2013" t="s">
        <v>1032</v>
      </c>
      <c r="AP10" s="2015"/>
      <c r="AQ10" s="2036" t="s">
        <v>1022</v>
      </c>
      <c r="AR10" s="2013" t="s">
        <v>1032</v>
      </c>
      <c r="AS10" s="2015"/>
    </row>
    <row r="11" spans="1:45" s="933" customFormat="1" ht="15">
      <c r="A11" s="213"/>
      <c r="B11" s="2008"/>
      <c r="C11" s="1947"/>
      <c r="D11" s="2037"/>
      <c r="E11" s="2006" t="s">
        <v>703</v>
      </c>
      <c r="F11" s="2006" t="s">
        <v>665</v>
      </c>
      <c r="G11" s="2037"/>
      <c r="H11" s="2006" t="s">
        <v>703</v>
      </c>
      <c r="I11" s="2006" t="s">
        <v>665</v>
      </c>
      <c r="J11" s="2037"/>
      <c r="K11" s="2006" t="s">
        <v>703</v>
      </c>
      <c r="L11" s="2006" t="s">
        <v>666</v>
      </c>
      <c r="M11" s="2037"/>
      <c r="N11" s="2006" t="s">
        <v>703</v>
      </c>
      <c r="O11" s="1994" t="s">
        <v>665</v>
      </c>
      <c r="P11" s="2037"/>
      <c r="Q11" s="2006" t="s">
        <v>703</v>
      </c>
      <c r="R11" s="1994" t="s">
        <v>665</v>
      </c>
      <c r="S11" s="436"/>
      <c r="T11" s="2006" t="s">
        <v>664</v>
      </c>
      <c r="U11" s="2006" t="s">
        <v>665</v>
      </c>
      <c r="V11" s="436"/>
      <c r="W11" s="2006" t="s">
        <v>664</v>
      </c>
      <c r="X11" s="2006" t="s">
        <v>665</v>
      </c>
      <c r="Y11" s="436"/>
      <c r="Z11" s="438" t="s">
        <v>664</v>
      </c>
      <c r="AA11" s="438" t="s">
        <v>665</v>
      </c>
      <c r="AB11" s="436"/>
      <c r="AC11" s="2001" t="s">
        <v>664</v>
      </c>
      <c r="AD11" s="2001" t="s">
        <v>666</v>
      </c>
      <c r="AE11" s="436"/>
      <c r="AF11" s="2006" t="s">
        <v>664</v>
      </c>
      <c r="AG11" s="2006" t="s">
        <v>665</v>
      </c>
      <c r="AH11" s="2037"/>
      <c r="AI11" s="2006" t="s">
        <v>664</v>
      </c>
      <c r="AJ11" s="2006" t="s">
        <v>665</v>
      </c>
      <c r="AK11" s="436"/>
      <c r="AL11" s="2001" t="s">
        <v>664</v>
      </c>
      <c r="AM11" s="2001" t="s">
        <v>666</v>
      </c>
      <c r="AN11" s="436"/>
      <c r="AO11" s="2006" t="s">
        <v>664</v>
      </c>
      <c r="AP11" s="2006" t="s">
        <v>665</v>
      </c>
      <c r="AQ11" s="2037"/>
      <c r="AR11" s="2006" t="s">
        <v>664</v>
      </c>
      <c r="AS11" s="2006" t="s">
        <v>665</v>
      </c>
    </row>
    <row r="12" spans="1:52" s="933" customFormat="1" ht="15">
      <c r="A12" s="213"/>
      <c r="B12" s="2009"/>
      <c r="C12" s="1948"/>
      <c r="D12" s="2038"/>
      <c r="E12" s="2003"/>
      <c r="F12" s="2003"/>
      <c r="G12" s="2038"/>
      <c r="H12" s="2003"/>
      <c r="I12" s="2003"/>
      <c r="J12" s="2038"/>
      <c r="K12" s="2003"/>
      <c r="L12" s="2003"/>
      <c r="M12" s="2038"/>
      <c r="N12" s="2003"/>
      <c r="O12" s="1995"/>
      <c r="P12" s="2038"/>
      <c r="Q12" s="2003"/>
      <c r="R12" s="1995"/>
      <c r="S12" s="437"/>
      <c r="T12" s="2003"/>
      <c r="U12" s="2003"/>
      <c r="V12" s="437"/>
      <c r="W12" s="2003"/>
      <c r="X12" s="2003"/>
      <c r="Y12" s="437"/>
      <c r="Z12" s="43"/>
      <c r="AA12" s="43"/>
      <c r="AB12" s="437"/>
      <c r="AC12" s="2002"/>
      <c r="AD12" s="2002"/>
      <c r="AE12" s="437"/>
      <c r="AF12" s="2003"/>
      <c r="AG12" s="2003"/>
      <c r="AH12" s="2038"/>
      <c r="AI12" s="2003"/>
      <c r="AJ12" s="2003"/>
      <c r="AK12" s="437"/>
      <c r="AL12" s="2002"/>
      <c r="AM12" s="2002"/>
      <c r="AN12" s="437"/>
      <c r="AO12" s="2003"/>
      <c r="AP12" s="2003"/>
      <c r="AQ12" s="2038"/>
      <c r="AR12" s="2003"/>
      <c r="AS12" s="2003"/>
      <c r="AT12" s="932"/>
      <c r="AX12" s="938"/>
      <c r="AZ12" s="939"/>
    </row>
    <row r="13" spans="1:51" s="933" customFormat="1" ht="15">
      <c r="A13" s="213"/>
      <c r="B13" s="4">
        <v>1</v>
      </c>
      <c r="C13" s="5">
        <v>2</v>
      </c>
      <c r="D13" s="4">
        <v>3</v>
      </c>
      <c r="E13" s="5">
        <v>4</v>
      </c>
      <c r="F13" s="4">
        <v>5</v>
      </c>
      <c r="G13" s="5">
        <v>6</v>
      </c>
      <c r="H13" s="4">
        <v>7</v>
      </c>
      <c r="I13" s="5">
        <v>8</v>
      </c>
      <c r="J13" s="4">
        <v>9</v>
      </c>
      <c r="K13" s="5">
        <v>10</v>
      </c>
      <c r="L13" s="4">
        <v>11</v>
      </c>
      <c r="M13" s="5">
        <v>12</v>
      </c>
      <c r="N13" s="4">
        <v>13</v>
      </c>
      <c r="O13" s="5">
        <v>14</v>
      </c>
      <c r="P13" s="5">
        <v>12</v>
      </c>
      <c r="Q13" s="4">
        <v>13</v>
      </c>
      <c r="R13" s="5">
        <v>14</v>
      </c>
      <c r="S13" s="4">
        <v>15</v>
      </c>
      <c r="T13" s="5">
        <v>16</v>
      </c>
      <c r="U13" s="4">
        <v>17</v>
      </c>
      <c r="V13" s="5">
        <v>18</v>
      </c>
      <c r="W13" s="4">
        <v>19</v>
      </c>
      <c r="X13" s="5">
        <v>20</v>
      </c>
      <c r="Y13" s="4">
        <v>21</v>
      </c>
      <c r="Z13" s="5">
        <v>22</v>
      </c>
      <c r="AA13" s="4">
        <v>23</v>
      </c>
      <c r="AB13" s="4">
        <v>69</v>
      </c>
      <c r="AC13" s="5">
        <v>70</v>
      </c>
      <c r="AD13" s="4">
        <v>71</v>
      </c>
      <c r="AE13" s="5">
        <v>72</v>
      </c>
      <c r="AF13" s="4">
        <v>73</v>
      </c>
      <c r="AG13" s="5">
        <v>74</v>
      </c>
      <c r="AH13" s="4">
        <v>75</v>
      </c>
      <c r="AI13" s="5">
        <v>76</v>
      </c>
      <c r="AJ13" s="4">
        <v>77</v>
      </c>
      <c r="AK13" s="4">
        <v>69</v>
      </c>
      <c r="AL13" s="5">
        <v>70</v>
      </c>
      <c r="AM13" s="4">
        <v>71</v>
      </c>
      <c r="AN13" s="5">
        <v>72</v>
      </c>
      <c r="AO13" s="4">
        <v>73</v>
      </c>
      <c r="AP13" s="5">
        <v>74</v>
      </c>
      <c r="AQ13" s="4">
        <v>75</v>
      </c>
      <c r="AR13" s="5">
        <v>76</v>
      </c>
      <c r="AS13" s="4">
        <v>77</v>
      </c>
      <c r="AT13" s="494"/>
      <c r="AU13" s="940"/>
      <c r="AV13" s="941"/>
      <c r="AW13" s="941"/>
      <c r="AX13" s="941"/>
      <c r="AY13" s="941"/>
    </row>
    <row r="14" spans="1:50" s="933" customFormat="1" ht="25.5">
      <c r="A14" s="213">
        <v>1</v>
      </c>
      <c r="B14" s="47" t="s">
        <v>1017</v>
      </c>
      <c r="C14" s="23" t="s">
        <v>667</v>
      </c>
      <c r="D14" s="19">
        <f>SUM(E14:F14)</f>
        <v>4.302</v>
      </c>
      <c r="E14" s="19">
        <f>SUM(E15:E19)</f>
        <v>4.302</v>
      </c>
      <c r="F14" s="19">
        <f>SUM(F15:F19)</f>
        <v>0</v>
      </c>
      <c r="G14" s="19">
        <f>SUM(H14:I14)</f>
        <v>0</v>
      </c>
      <c r="H14" s="19">
        <f>SUM(H15:H19)</f>
        <v>0</v>
      </c>
      <c r="I14" s="19">
        <f>SUM(I15:I19)</f>
        <v>0</v>
      </c>
      <c r="J14" s="19">
        <f>SUM(K14:L14)</f>
        <v>0</v>
      </c>
      <c r="K14" s="19">
        <f>SUM(K15:K19)</f>
        <v>0</v>
      </c>
      <c r="L14" s="792">
        <f>SUM(L15:L19)</f>
        <v>0</v>
      </c>
      <c r="M14" s="930">
        <f>SUM(N14:O14)</f>
        <v>4.534</v>
      </c>
      <c r="N14" s="516">
        <f>SUM(N15:N19)</f>
        <v>4.534</v>
      </c>
      <c r="O14" s="18"/>
      <c r="P14" s="19">
        <f>SUM(Q14:R14)</f>
        <v>4.534</v>
      </c>
      <c r="Q14" s="516">
        <f>SUM(Q15:Q19)</f>
        <v>4.534</v>
      </c>
      <c r="R14" s="18"/>
      <c r="S14" s="903">
        <f>SUM(T14:U14)</f>
        <v>4.534</v>
      </c>
      <c r="T14" s="904">
        <f>SUM(T15:T19)</f>
        <v>4.534</v>
      </c>
      <c r="U14" s="905"/>
      <c r="V14" s="906">
        <f>SUM(W14:X14)</f>
        <v>2.777</v>
      </c>
      <c r="W14" s="907">
        <f>SUM(W15:W19)</f>
        <v>2.777</v>
      </c>
      <c r="X14" s="908"/>
      <c r="Y14" s="903">
        <f>SUM(Z14:AA14)</f>
        <v>1.756</v>
      </c>
      <c r="Z14" s="904">
        <f>SUM(Z15:Z19)</f>
        <v>1.756</v>
      </c>
      <c r="AA14" s="905"/>
      <c r="AB14" s="483">
        <f>AC14</f>
        <v>4.534</v>
      </c>
      <c r="AC14" s="913">
        <f>SUM(AC15:AC19)</f>
        <v>4.534</v>
      </c>
      <c r="AD14" s="483"/>
      <c r="AE14" s="483">
        <f>AF14</f>
        <v>2.777</v>
      </c>
      <c r="AF14" s="913">
        <f>SUM(AF15:AF19)</f>
        <v>2.777</v>
      </c>
      <c r="AG14" s="483"/>
      <c r="AH14" s="483">
        <f>AI14</f>
        <v>1.756</v>
      </c>
      <c r="AI14" s="913">
        <f>SUM(AI15:AI19)</f>
        <v>1.756</v>
      </c>
      <c r="AJ14" s="483"/>
      <c r="AK14" s="483">
        <f>AB14</f>
        <v>4.534</v>
      </c>
      <c r="AL14" s="483">
        <f>AC14</f>
        <v>4.534</v>
      </c>
      <c r="AM14" s="483"/>
      <c r="AN14" s="483">
        <f>AE14</f>
        <v>2.777</v>
      </c>
      <c r="AO14" s="483">
        <f>AF14</f>
        <v>2.777</v>
      </c>
      <c r="AP14" s="483"/>
      <c r="AQ14" s="483">
        <f>AH14</f>
        <v>1.756</v>
      </c>
      <c r="AR14" s="483">
        <f>AI14</f>
        <v>1.756</v>
      </c>
      <c r="AS14" s="483"/>
      <c r="AT14" s="940"/>
      <c r="AU14" s="940"/>
      <c r="AX14" s="934"/>
    </row>
    <row r="15" spans="1:52" s="933" customFormat="1" ht="15">
      <c r="A15" s="213"/>
      <c r="B15" s="1998"/>
      <c r="C15" s="58" t="s">
        <v>1034</v>
      </c>
      <c r="D15" s="109"/>
      <c r="E15" s="109"/>
      <c r="F15" s="109"/>
      <c r="G15" s="109"/>
      <c r="H15" s="109"/>
      <c r="I15" s="109"/>
      <c r="J15" s="109"/>
      <c r="K15" s="109"/>
      <c r="L15" s="793"/>
      <c r="M15" s="955"/>
      <c r="N15" s="514"/>
      <c r="O15" s="109"/>
      <c r="P15" s="109"/>
      <c r="Q15" s="514"/>
      <c r="R15" s="109"/>
      <c r="S15" s="909"/>
      <c r="T15" s="910"/>
      <c r="U15" s="909"/>
      <c r="V15" s="909"/>
      <c r="W15" s="910"/>
      <c r="X15" s="909"/>
      <c r="Y15" s="909"/>
      <c r="Z15" s="909"/>
      <c r="AA15" s="9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942"/>
      <c r="AU15" s="942"/>
      <c r="AX15" s="934"/>
      <c r="AZ15" s="935"/>
    </row>
    <row r="16" spans="1:53" s="933" customFormat="1" ht="15">
      <c r="A16" s="213"/>
      <c r="B16" s="1999"/>
      <c r="C16" s="59" t="s">
        <v>199</v>
      </c>
      <c r="D16" s="110"/>
      <c r="E16" s="110"/>
      <c r="F16" s="110"/>
      <c r="G16" s="110"/>
      <c r="H16" s="110"/>
      <c r="I16" s="110"/>
      <c r="J16" s="110"/>
      <c r="K16" s="110"/>
      <c r="L16" s="795"/>
      <c r="M16" s="956"/>
      <c r="N16" s="515"/>
      <c r="O16" s="110"/>
      <c r="P16" s="110"/>
      <c r="Q16" s="515"/>
      <c r="R16" s="110"/>
      <c r="S16" s="911"/>
      <c r="T16" s="912"/>
      <c r="U16" s="911"/>
      <c r="V16" s="911"/>
      <c r="W16" s="912"/>
      <c r="X16" s="911"/>
      <c r="Y16" s="911"/>
      <c r="Z16" s="911"/>
      <c r="AA16" s="911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943"/>
      <c r="AU16" s="943"/>
      <c r="AV16" s="943"/>
      <c r="AW16" s="943"/>
      <c r="AX16" s="944"/>
      <c r="AY16" s="943"/>
      <c r="AZ16" s="945"/>
      <c r="BA16" s="943"/>
    </row>
    <row r="17" spans="1:53" s="933" customFormat="1" ht="15">
      <c r="A17" s="213"/>
      <c r="B17" s="1999"/>
      <c r="C17" s="60" t="s">
        <v>200</v>
      </c>
      <c r="D17" s="18"/>
      <c r="E17" s="18"/>
      <c r="F17" s="18"/>
      <c r="G17" s="18"/>
      <c r="H17" s="18"/>
      <c r="I17" s="18"/>
      <c r="J17" s="18"/>
      <c r="K17" s="18"/>
      <c r="L17" s="796"/>
      <c r="M17" s="929"/>
      <c r="N17" s="516"/>
      <c r="O17" s="18"/>
      <c r="P17" s="18"/>
      <c r="Q17" s="516"/>
      <c r="R17" s="18"/>
      <c r="S17" s="905"/>
      <c r="T17" s="904"/>
      <c r="U17" s="905"/>
      <c r="V17" s="905"/>
      <c r="W17" s="904"/>
      <c r="X17" s="905"/>
      <c r="Y17" s="905"/>
      <c r="Z17" s="905"/>
      <c r="AA17" s="905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943"/>
      <c r="AU17" s="943"/>
      <c r="AV17" s="943"/>
      <c r="AW17" s="943"/>
      <c r="AX17" s="944"/>
      <c r="AY17" s="943"/>
      <c r="AZ17" s="945"/>
      <c r="BA17" s="943"/>
    </row>
    <row r="18" spans="1:52" s="933" customFormat="1" ht="15">
      <c r="A18" s="213"/>
      <c r="B18" s="1999"/>
      <c r="C18" s="60" t="s">
        <v>193</v>
      </c>
      <c r="D18" s="18">
        <f>SUM(E18:F18)</f>
        <v>4.302</v>
      </c>
      <c r="E18" s="313">
        <v>4.302</v>
      </c>
      <c r="F18" s="18"/>
      <c r="G18" s="18">
        <f>SUM(H18:I18)</f>
        <v>0</v>
      </c>
      <c r="H18" s="313"/>
      <c r="I18" s="18"/>
      <c r="J18" s="18">
        <f>SUM(K18:L18)</f>
        <v>0</v>
      </c>
      <c r="K18" s="313"/>
      <c r="L18" s="796"/>
      <c r="M18" s="929">
        <f>SUM(N18:O18)</f>
        <v>4.534</v>
      </c>
      <c r="N18" s="516">
        <v>4.534</v>
      </c>
      <c r="O18" s="18"/>
      <c r="P18" s="18">
        <f>SUM(Q18:R18)</f>
        <v>4.534</v>
      </c>
      <c r="Q18" s="516">
        <v>4.534</v>
      </c>
      <c r="R18" s="18"/>
      <c r="S18" s="904">
        <f>SUM(T18:U18)</f>
        <v>4.534</v>
      </c>
      <c r="T18" s="959">
        <v>4.534</v>
      </c>
      <c r="U18" s="907"/>
      <c r="V18" s="907">
        <f>SUM(W18:X18)</f>
        <v>2.777</v>
      </c>
      <c r="W18" s="907">
        <v>2.777</v>
      </c>
      <c r="X18" s="907"/>
      <c r="Y18" s="907">
        <f>SUM(Z18:AA18)</f>
        <v>1.756</v>
      </c>
      <c r="Z18" s="907">
        <v>1.756</v>
      </c>
      <c r="AA18" s="907"/>
      <c r="AB18" s="483">
        <f>AC18</f>
        <v>4.534</v>
      </c>
      <c r="AC18" s="483">
        <v>4.534</v>
      </c>
      <c r="AD18" s="483"/>
      <c r="AE18" s="483">
        <f>AF18</f>
        <v>2.777</v>
      </c>
      <c r="AF18" s="483">
        <v>2.777</v>
      </c>
      <c r="AG18" s="483"/>
      <c r="AH18" s="483">
        <f>AI18</f>
        <v>1.756</v>
      </c>
      <c r="AI18" s="483">
        <v>1.756</v>
      </c>
      <c r="AJ18" s="483"/>
      <c r="AK18" s="483">
        <f>AB18</f>
        <v>4.534</v>
      </c>
      <c r="AL18" s="483">
        <f>AC18</f>
        <v>4.534</v>
      </c>
      <c r="AM18" s="483"/>
      <c r="AN18" s="483">
        <f>AE18</f>
        <v>2.777</v>
      </c>
      <c r="AO18" s="483">
        <f>AF18</f>
        <v>2.777</v>
      </c>
      <c r="AP18" s="483"/>
      <c r="AQ18" s="483">
        <f>AH18</f>
        <v>1.756</v>
      </c>
      <c r="AR18" s="483">
        <f>AI18</f>
        <v>1.756</v>
      </c>
      <c r="AS18" s="483"/>
      <c r="AT18" s="943"/>
      <c r="AX18" s="946"/>
      <c r="AZ18" s="947"/>
    </row>
    <row r="19" spans="1:52" s="933" customFormat="1" ht="15">
      <c r="A19" s="213"/>
      <c r="B19" s="2000"/>
      <c r="C19" s="60" t="s">
        <v>194</v>
      </c>
      <c r="D19" s="18"/>
      <c r="E19" s="18"/>
      <c r="F19" s="18"/>
      <c r="G19" s="18"/>
      <c r="H19" s="18"/>
      <c r="I19" s="18"/>
      <c r="J19" s="18"/>
      <c r="K19" s="18"/>
      <c r="L19" s="796"/>
      <c r="M19" s="18"/>
      <c r="N19" s="516"/>
      <c r="O19" s="18"/>
      <c r="P19" s="18"/>
      <c r="Q19" s="516"/>
      <c r="R19" s="18"/>
      <c r="S19" s="91"/>
      <c r="T19" s="516"/>
      <c r="U19" s="91"/>
      <c r="V19" s="91"/>
      <c r="W19" s="516"/>
      <c r="X19" s="91"/>
      <c r="Y19" s="91"/>
      <c r="Z19" s="91"/>
      <c r="AA19" s="91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943"/>
      <c r="AZ19" s="947"/>
    </row>
    <row r="20" spans="1:45" s="933" customFormat="1" ht="25.5">
      <c r="A20" s="213"/>
      <c r="B20" s="47" t="s">
        <v>1010</v>
      </c>
      <c r="C20" s="54" t="s">
        <v>668</v>
      </c>
      <c r="D20" s="19">
        <f>SUM(E20:F20)</f>
        <v>0</v>
      </c>
      <c r="E20" s="19"/>
      <c r="F20" s="19"/>
      <c r="G20" s="19">
        <f>SUM(H20:I20)</f>
        <v>0</v>
      </c>
      <c r="H20" s="19"/>
      <c r="I20" s="19"/>
      <c r="J20" s="19">
        <f>SUM(K20:L20)</f>
        <v>0</v>
      </c>
      <c r="K20" s="18">
        <f>SUM(K21:K21)</f>
        <v>0</v>
      </c>
      <c r="L20" s="792"/>
      <c r="M20" s="19"/>
      <c r="N20" s="516"/>
      <c r="O20" s="18"/>
      <c r="P20" s="19"/>
      <c r="Q20" s="516"/>
      <c r="R20" s="18"/>
      <c r="S20" s="90"/>
      <c r="T20" s="516"/>
      <c r="U20" s="91"/>
      <c r="V20" s="90"/>
      <c r="W20" s="516"/>
      <c r="X20" s="91"/>
      <c r="Y20" s="90"/>
      <c r="Z20" s="91"/>
      <c r="AA20" s="91"/>
      <c r="AB20" s="917"/>
      <c r="AC20" s="917"/>
      <c r="AD20" s="917"/>
      <c r="AE20" s="917"/>
      <c r="AF20" s="918"/>
      <c r="AG20" s="918"/>
      <c r="AH20" s="917"/>
      <c r="AI20" s="918"/>
      <c r="AJ20" s="918"/>
      <c r="AK20" s="917"/>
      <c r="AL20" s="917"/>
      <c r="AM20" s="917"/>
      <c r="AN20" s="917"/>
      <c r="AO20" s="918"/>
      <c r="AP20" s="918"/>
      <c r="AQ20" s="917"/>
      <c r="AR20" s="918"/>
      <c r="AS20" s="918"/>
    </row>
    <row r="21" spans="1:53" s="933" customFormat="1" ht="15">
      <c r="A21" s="213"/>
      <c r="B21" s="185"/>
      <c r="C21" s="36" t="s">
        <v>1034</v>
      </c>
      <c r="D21" s="18"/>
      <c r="E21" s="18"/>
      <c r="F21" s="18"/>
      <c r="G21" s="18"/>
      <c r="H21" s="18"/>
      <c r="I21" s="18"/>
      <c r="J21" s="18"/>
      <c r="K21" s="18"/>
      <c r="L21" s="796"/>
      <c r="M21" s="18"/>
      <c r="N21" s="516"/>
      <c r="O21" s="18"/>
      <c r="P21" s="18"/>
      <c r="Q21" s="516"/>
      <c r="R21" s="18"/>
      <c r="S21" s="91"/>
      <c r="T21" s="516"/>
      <c r="U21" s="91"/>
      <c r="V21" s="91"/>
      <c r="W21" s="516"/>
      <c r="X21" s="91"/>
      <c r="Y21" s="91"/>
      <c r="Z21" s="91"/>
      <c r="AA21" s="91"/>
      <c r="AB21" s="918"/>
      <c r="AC21" s="918"/>
      <c r="AD21" s="918"/>
      <c r="AE21" s="918"/>
      <c r="AF21" s="918"/>
      <c r="AG21" s="918"/>
      <c r="AH21" s="918"/>
      <c r="AI21" s="918"/>
      <c r="AJ21" s="918"/>
      <c r="AK21" s="918"/>
      <c r="AL21" s="918"/>
      <c r="AM21" s="918"/>
      <c r="AN21" s="918"/>
      <c r="AO21" s="918"/>
      <c r="AP21" s="918"/>
      <c r="AQ21" s="918"/>
      <c r="AR21" s="918"/>
      <c r="AS21" s="918"/>
      <c r="AT21" s="494"/>
      <c r="AU21" s="940"/>
      <c r="AW21" s="948"/>
      <c r="AX21" s="949"/>
      <c r="AY21" s="948"/>
      <c r="AZ21" s="950"/>
      <c r="BA21" s="951"/>
    </row>
    <row r="22" spans="1:51" s="933" customFormat="1" ht="38.25">
      <c r="A22" s="213">
        <v>2</v>
      </c>
      <c r="B22" s="47" t="s">
        <v>1012</v>
      </c>
      <c r="C22" s="56" t="s">
        <v>1518</v>
      </c>
      <c r="D22" s="19">
        <f>SUM(E22:F22)</f>
        <v>0</v>
      </c>
      <c r="E22" s="48"/>
      <c r="F22" s="48"/>
      <c r="G22" s="19">
        <f>SUM(H22:I22)</f>
        <v>0</v>
      </c>
      <c r="H22" s="48"/>
      <c r="I22" s="48"/>
      <c r="J22" s="19">
        <f>SUM(K22:L22)</f>
        <v>0</v>
      </c>
      <c r="K22" s="48"/>
      <c r="L22" s="48"/>
      <c r="M22" s="19"/>
      <c r="N22" s="517"/>
      <c r="O22" s="20"/>
      <c r="P22" s="19"/>
      <c r="Q22" s="517"/>
      <c r="R22" s="20"/>
      <c r="S22" s="90"/>
      <c r="T22" s="517"/>
      <c r="U22" s="93"/>
      <c r="V22" s="90"/>
      <c r="W22" s="516"/>
      <c r="X22" s="93"/>
      <c r="Y22" s="90"/>
      <c r="Z22" s="91"/>
      <c r="AA22" s="93"/>
      <c r="AB22" s="917"/>
      <c r="AC22" s="919"/>
      <c r="AD22" s="919"/>
      <c r="AE22" s="917"/>
      <c r="AF22" s="920"/>
      <c r="AG22" s="920"/>
      <c r="AH22" s="917"/>
      <c r="AI22" s="918"/>
      <c r="AJ22" s="920"/>
      <c r="AK22" s="917"/>
      <c r="AL22" s="919"/>
      <c r="AM22" s="919"/>
      <c r="AN22" s="917"/>
      <c r="AO22" s="920"/>
      <c r="AP22" s="920"/>
      <c r="AQ22" s="917"/>
      <c r="AR22" s="918"/>
      <c r="AS22" s="920"/>
      <c r="AT22" s="494"/>
      <c r="AU22" s="940"/>
      <c r="AV22" s="941"/>
      <c r="AW22" s="941"/>
      <c r="AX22" s="941"/>
      <c r="AY22" s="941"/>
    </row>
    <row r="23" spans="1:49" s="933" customFormat="1" ht="38.25">
      <c r="A23" s="326">
        <v>3</v>
      </c>
      <c r="B23" s="318" t="s">
        <v>1018</v>
      </c>
      <c r="C23" s="327" t="s">
        <v>1277</v>
      </c>
      <c r="D23" s="320">
        <f>SUM(E23:F23)</f>
        <v>4.302</v>
      </c>
      <c r="E23" s="320">
        <f>E14+E20-E22</f>
        <v>4.302</v>
      </c>
      <c r="F23" s="320">
        <f>F14+F20-F22</f>
        <v>0</v>
      </c>
      <c r="G23" s="320">
        <f>SUM(H23:I23)</f>
        <v>0</v>
      </c>
      <c r="H23" s="320">
        <f>H14+H20-H22</f>
        <v>0</v>
      </c>
      <c r="I23" s="320">
        <f>I14+I20-I22</f>
        <v>0</v>
      </c>
      <c r="J23" s="320">
        <f>SUM(K23:L23)</f>
        <v>0</v>
      </c>
      <c r="K23" s="320">
        <f>K14+K20-K22</f>
        <v>0</v>
      </c>
      <c r="L23" s="320">
        <f>L14+L20-L22</f>
        <v>0</v>
      </c>
      <c r="M23" s="520">
        <f>SUM(N23:O23)</f>
        <v>4.534</v>
      </c>
      <c r="N23" s="914">
        <f>N14+N20-N22</f>
        <v>4.534</v>
      </c>
      <c r="O23" s="328"/>
      <c r="P23" s="320">
        <f>SUM(Q23:R23)</f>
        <v>4.534</v>
      </c>
      <c r="Q23" s="914">
        <f>Q14+Q20-Q22</f>
        <v>4.534</v>
      </c>
      <c r="R23" s="328"/>
      <c r="S23" s="520">
        <f>SUM(T23:U23)</f>
        <v>4.534</v>
      </c>
      <c r="T23" s="914">
        <f>T18</f>
        <v>4.534</v>
      </c>
      <c r="U23" s="914"/>
      <c r="V23" s="520">
        <f>SUM(W23:X23)</f>
        <v>2.777</v>
      </c>
      <c r="W23" s="914">
        <f>W18</f>
        <v>2.777</v>
      </c>
      <c r="X23" s="914"/>
      <c r="Y23" s="520">
        <f>SUM(Z23:AA23)</f>
        <v>1.756</v>
      </c>
      <c r="Z23" s="914">
        <f>Z18</f>
        <v>1.756</v>
      </c>
      <c r="AA23" s="328"/>
      <c r="AB23" s="492">
        <f>AC23</f>
        <v>4.534</v>
      </c>
      <c r="AC23" s="496">
        <f>AC18</f>
        <v>4.534</v>
      </c>
      <c r="AD23" s="492"/>
      <c r="AE23" s="492">
        <f>AF23</f>
        <v>2.777</v>
      </c>
      <c r="AF23" s="496">
        <f>AF18</f>
        <v>2.777</v>
      </c>
      <c r="AG23" s="492"/>
      <c r="AH23" s="492">
        <f>AI23</f>
        <v>1.756</v>
      </c>
      <c r="AI23" s="496">
        <f>AI18</f>
        <v>1.756</v>
      </c>
      <c r="AJ23" s="492"/>
      <c r="AK23" s="492">
        <f aca="true" t="shared" si="0" ref="AK23:AL26">AB23</f>
        <v>4.534</v>
      </c>
      <c r="AL23" s="492">
        <f t="shared" si="0"/>
        <v>4.534</v>
      </c>
      <c r="AM23" s="492"/>
      <c r="AN23" s="492">
        <f aca="true" t="shared" si="1" ref="AN23:AO26">AE23</f>
        <v>2.777</v>
      </c>
      <c r="AO23" s="492">
        <f t="shared" si="1"/>
        <v>2.777</v>
      </c>
      <c r="AP23" s="492"/>
      <c r="AQ23" s="492">
        <f aca="true" t="shared" si="2" ref="AQ23:AR26">AH23</f>
        <v>1.756</v>
      </c>
      <c r="AR23" s="492">
        <f t="shared" si="2"/>
        <v>1.756</v>
      </c>
      <c r="AS23" s="492"/>
      <c r="AT23" s="494"/>
      <c r="AU23" s="940"/>
      <c r="AV23" s="952"/>
      <c r="AW23" s="952"/>
    </row>
    <row r="24" spans="1:51" s="933" customFormat="1" ht="38.25">
      <c r="A24" s="213">
        <v>4</v>
      </c>
      <c r="B24" s="47" t="s">
        <v>1019</v>
      </c>
      <c r="C24" s="55" t="s">
        <v>669</v>
      </c>
      <c r="D24" s="19">
        <f>SUM(E24:F24)</f>
        <v>0.004</v>
      </c>
      <c r="E24" s="19">
        <v>0.004</v>
      </c>
      <c r="F24" s="19"/>
      <c r="G24" s="19">
        <f>SUM(H24:I24)</f>
        <v>0</v>
      </c>
      <c r="H24" s="19"/>
      <c r="I24" s="19"/>
      <c r="J24" s="19">
        <f>SUM(K24:L24)</f>
        <v>0</v>
      </c>
      <c r="K24" s="180"/>
      <c r="L24" s="19"/>
      <c r="M24" s="930">
        <f>SUM(N24:O24)</f>
        <v>0.06</v>
      </c>
      <c r="N24" s="516">
        <v>0.06</v>
      </c>
      <c r="O24" s="18"/>
      <c r="P24" s="19">
        <f>SUM(Q24:R24)</f>
        <v>0.06</v>
      </c>
      <c r="Q24" s="516">
        <v>0.06</v>
      </c>
      <c r="R24" s="18"/>
      <c r="S24" s="513">
        <f>SUM(T24:U24)</f>
        <v>0.06</v>
      </c>
      <c r="T24" s="516">
        <v>0.06</v>
      </c>
      <c r="U24" s="516"/>
      <c r="V24" s="513">
        <f>SUM(W24:X24)</f>
        <v>0.04</v>
      </c>
      <c r="W24" s="516">
        <v>0.04</v>
      </c>
      <c r="X24" s="516"/>
      <c r="Y24" s="513">
        <f>SUM(Z24:AA24)</f>
        <v>0.04</v>
      </c>
      <c r="Z24" s="516">
        <v>0.04</v>
      </c>
      <c r="AA24" s="91"/>
      <c r="AB24" s="483">
        <f>AC24</f>
        <v>0.06</v>
      </c>
      <c r="AC24" s="516">
        <v>0.06</v>
      </c>
      <c r="AD24" s="483"/>
      <c r="AE24" s="483">
        <f>AF24</f>
        <v>0.04</v>
      </c>
      <c r="AF24" s="487">
        <v>0.04</v>
      </c>
      <c r="AG24" s="483"/>
      <c r="AH24" s="483">
        <f>AI24</f>
        <v>0.019999999999999997</v>
      </c>
      <c r="AI24" s="487">
        <f>AC24-AF24</f>
        <v>0.019999999999999997</v>
      </c>
      <c r="AJ24" s="483"/>
      <c r="AK24" s="483">
        <f t="shared" si="0"/>
        <v>0.06</v>
      </c>
      <c r="AL24" s="483">
        <f t="shared" si="0"/>
        <v>0.06</v>
      </c>
      <c r="AM24" s="483"/>
      <c r="AN24" s="483">
        <f t="shared" si="1"/>
        <v>0.04</v>
      </c>
      <c r="AO24" s="483">
        <f t="shared" si="1"/>
        <v>0.04</v>
      </c>
      <c r="AP24" s="483"/>
      <c r="AQ24" s="483">
        <f t="shared" si="2"/>
        <v>0.019999999999999997</v>
      </c>
      <c r="AR24" s="483">
        <f t="shared" si="2"/>
        <v>0.019999999999999997</v>
      </c>
      <c r="AS24" s="483"/>
      <c r="AT24" s="953"/>
      <c r="AU24" s="940"/>
      <c r="AV24" s="941"/>
      <c r="AW24" s="941"/>
      <c r="AX24" s="941"/>
      <c r="AY24" s="941"/>
    </row>
    <row r="25" spans="1:48" s="933" customFormat="1" ht="15">
      <c r="A25" s="213">
        <v>5</v>
      </c>
      <c r="B25" s="53" t="s">
        <v>1020</v>
      </c>
      <c r="C25" s="57"/>
      <c r="D25" s="48"/>
      <c r="E25" s="48"/>
      <c r="F25" s="48"/>
      <c r="G25" s="48"/>
      <c r="H25" s="48"/>
      <c r="I25" s="48"/>
      <c r="J25" s="48"/>
      <c r="K25" s="48"/>
      <c r="L25" s="48"/>
      <c r="M25" s="957"/>
      <c r="N25" s="517"/>
      <c r="O25" s="20"/>
      <c r="P25" s="48"/>
      <c r="Q25" s="516"/>
      <c r="R25" s="18"/>
      <c r="S25" s="916"/>
      <c r="T25" s="958"/>
      <c r="U25" s="517"/>
      <c r="V25" s="916"/>
      <c r="W25" s="517"/>
      <c r="X25" s="517"/>
      <c r="Y25" s="916"/>
      <c r="Z25" s="517"/>
      <c r="AA25" s="517"/>
      <c r="AB25" s="483"/>
      <c r="AC25" s="487"/>
      <c r="AD25" s="483"/>
      <c r="AE25" s="483"/>
      <c r="AF25" s="487"/>
      <c r="AG25" s="483"/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95"/>
      <c r="AU25" s="940"/>
      <c r="AV25" s="941"/>
    </row>
    <row r="26" spans="1:50" s="933" customFormat="1" ht="52.5" customHeight="1">
      <c r="A26" s="322">
        <v>6</v>
      </c>
      <c r="B26" s="318">
        <v>7</v>
      </c>
      <c r="C26" s="323" t="s">
        <v>1278</v>
      </c>
      <c r="D26" s="324">
        <f>SUM(E26:F26)</f>
        <v>4.298</v>
      </c>
      <c r="E26" s="324">
        <f>E23-E24-E25</f>
        <v>4.298</v>
      </c>
      <c r="F26" s="324">
        <f>F23-F24-F25</f>
        <v>0</v>
      </c>
      <c r="G26" s="324">
        <f>SUM(H26:I26)</f>
        <v>0</v>
      </c>
      <c r="H26" s="324">
        <f>H23-H24-H25</f>
        <v>0</v>
      </c>
      <c r="I26" s="324">
        <f>I23-I24-I25</f>
        <v>0</v>
      </c>
      <c r="J26" s="324">
        <f>SUM(K26:L26)</f>
        <v>0</v>
      </c>
      <c r="K26" s="324">
        <f>K23-K24-K25</f>
        <v>0</v>
      </c>
      <c r="L26" s="324">
        <f>L23-L24-L25</f>
        <v>0</v>
      </c>
      <c r="M26" s="520">
        <f>SUM(N26:O26)</f>
        <v>4.474</v>
      </c>
      <c r="N26" s="914">
        <f>N23-N24-N25</f>
        <v>4.474</v>
      </c>
      <c r="O26" s="325"/>
      <c r="P26" s="324">
        <f>SUM(Q26:R26)</f>
        <v>4.474</v>
      </c>
      <c r="Q26" s="954">
        <f>Q23-Q24-Q25</f>
        <v>4.474</v>
      </c>
      <c r="R26" s="325"/>
      <c r="S26" s="520">
        <f>SUM(T26:U26)</f>
        <v>4.474</v>
      </c>
      <c r="T26" s="954">
        <f>T23-T24</f>
        <v>4.474</v>
      </c>
      <c r="U26" s="914"/>
      <c r="V26" s="520">
        <f>SUM(W26:X26)</f>
        <v>2.737</v>
      </c>
      <c r="W26" s="954">
        <f>W23-W24-W25</f>
        <v>2.737</v>
      </c>
      <c r="X26" s="914"/>
      <c r="Y26" s="520">
        <f>SUM(Z26:AA26)</f>
        <v>1.716</v>
      </c>
      <c r="Z26" s="954">
        <f>Z23-Z24-Z25</f>
        <v>1.716</v>
      </c>
      <c r="AA26" s="328"/>
      <c r="AB26" s="492">
        <f>AC26</f>
        <v>4.474</v>
      </c>
      <c r="AC26" s="496">
        <f>AC23-AC24</f>
        <v>4.474</v>
      </c>
      <c r="AD26" s="492"/>
      <c r="AE26" s="492">
        <f>AF26</f>
        <v>2.737</v>
      </c>
      <c r="AF26" s="954">
        <f>AF23-AF24-AF25</f>
        <v>2.737</v>
      </c>
      <c r="AG26" s="492"/>
      <c r="AH26" s="492">
        <f>AI26</f>
        <v>1.736</v>
      </c>
      <c r="AI26" s="496">
        <f>AI23-AI24</f>
        <v>1.736</v>
      </c>
      <c r="AJ26" s="492"/>
      <c r="AK26" s="492">
        <f t="shared" si="0"/>
        <v>4.474</v>
      </c>
      <c r="AL26" s="492">
        <f t="shared" si="0"/>
        <v>4.474</v>
      </c>
      <c r="AM26" s="492"/>
      <c r="AN26" s="492">
        <f t="shared" si="1"/>
        <v>2.737</v>
      </c>
      <c r="AO26" s="492">
        <f t="shared" si="1"/>
        <v>2.737</v>
      </c>
      <c r="AP26" s="492"/>
      <c r="AQ26" s="492">
        <f t="shared" si="2"/>
        <v>1.736</v>
      </c>
      <c r="AR26" s="492">
        <f t="shared" si="2"/>
        <v>1.736</v>
      </c>
      <c r="AS26" s="492"/>
      <c r="AU26" s="940"/>
      <c r="AV26" s="941"/>
      <c r="AW26" s="941"/>
      <c r="AX26" s="941"/>
    </row>
    <row r="27" spans="1:45" s="933" customFormat="1" ht="14.25" hidden="1" outlineLevel="1">
      <c r="A27" s="213"/>
      <c r="B27" s="113" t="s">
        <v>35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107" s="933" customFormat="1" ht="31.5" customHeight="1" hidden="1" outlineLevel="1">
      <c r="A28" s="213"/>
      <c r="B28" s="116" t="s">
        <v>637</v>
      </c>
      <c r="C28" s="1951" t="s">
        <v>1520</v>
      </c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936"/>
      <c r="AU28" s="936"/>
      <c r="AV28" s="936"/>
      <c r="AW28" s="936"/>
      <c r="AX28" s="936"/>
      <c r="AY28" s="936"/>
      <c r="AZ28" s="936"/>
      <c r="BA28" s="936"/>
      <c r="BB28" s="936"/>
      <c r="BC28" s="936"/>
      <c r="BD28" s="936"/>
      <c r="BE28" s="936"/>
      <c r="BF28" s="936"/>
      <c r="BG28" s="936"/>
      <c r="BH28" s="936"/>
      <c r="BI28" s="936"/>
      <c r="BJ28" s="936"/>
      <c r="BK28" s="936"/>
      <c r="BL28" s="936"/>
      <c r="BM28" s="936"/>
      <c r="BN28" s="936"/>
      <c r="BO28" s="936"/>
      <c r="BP28" s="936"/>
      <c r="BQ28" s="936"/>
      <c r="BR28" s="936"/>
      <c r="BS28" s="936"/>
      <c r="BT28" s="936"/>
      <c r="BU28" s="936"/>
      <c r="BV28" s="936"/>
      <c r="BW28" s="936"/>
      <c r="BX28" s="936"/>
      <c r="BY28" s="936"/>
      <c r="BZ28" s="936"/>
      <c r="CA28" s="936"/>
      <c r="CB28" s="936"/>
      <c r="CC28" s="936"/>
      <c r="CD28" s="936"/>
      <c r="CE28" s="936"/>
      <c r="CF28" s="936"/>
      <c r="CG28" s="936"/>
      <c r="CH28" s="936"/>
      <c r="CI28" s="936"/>
      <c r="CJ28" s="936"/>
      <c r="CK28" s="936"/>
      <c r="CL28" s="936"/>
      <c r="CM28" s="936"/>
      <c r="CN28" s="936"/>
      <c r="CO28" s="936"/>
      <c r="CP28" s="936"/>
      <c r="CQ28" s="936"/>
      <c r="CR28" s="936"/>
      <c r="CS28" s="936"/>
      <c r="CT28" s="936"/>
      <c r="CU28" s="936"/>
      <c r="CV28" s="936"/>
      <c r="CW28" s="936"/>
      <c r="CX28" s="936"/>
      <c r="CY28" s="936"/>
      <c r="CZ28" s="936"/>
      <c r="DA28" s="936"/>
      <c r="DB28" s="936"/>
      <c r="DC28" s="936"/>
    </row>
    <row r="29" spans="1:107" s="933" customFormat="1" ht="14.25" hidden="1" outlineLevel="1">
      <c r="A29" s="213"/>
      <c r="B29" s="116" t="s">
        <v>639</v>
      </c>
      <c r="C29" s="114" t="s">
        <v>1427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937"/>
      <c r="AU29" s="937"/>
      <c r="AV29" s="937"/>
      <c r="AW29" s="937"/>
      <c r="AX29" s="937"/>
      <c r="AY29" s="937"/>
      <c r="AZ29" s="937"/>
      <c r="BA29" s="937"/>
      <c r="BB29" s="937"/>
      <c r="BC29" s="937"/>
      <c r="BD29" s="937"/>
      <c r="BE29" s="937"/>
      <c r="BF29" s="937"/>
      <c r="BG29" s="937"/>
      <c r="BH29" s="937"/>
      <c r="BI29" s="937"/>
      <c r="BJ29" s="937"/>
      <c r="BK29" s="937"/>
      <c r="BL29" s="937"/>
      <c r="BM29" s="937"/>
      <c r="BN29" s="937"/>
      <c r="BO29" s="937"/>
      <c r="BP29" s="937"/>
      <c r="BQ29" s="937"/>
      <c r="BR29" s="937"/>
      <c r="BS29" s="937"/>
      <c r="BT29" s="937"/>
      <c r="BU29" s="937"/>
      <c r="BV29" s="937"/>
      <c r="BW29" s="937"/>
      <c r="BX29" s="937"/>
      <c r="BY29" s="937"/>
      <c r="BZ29" s="937"/>
      <c r="CA29" s="937"/>
      <c r="CB29" s="937"/>
      <c r="CC29" s="937"/>
      <c r="CD29" s="937"/>
      <c r="CE29" s="937"/>
      <c r="CF29" s="937"/>
      <c r="CG29" s="937"/>
      <c r="CH29" s="937"/>
      <c r="CI29" s="937"/>
      <c r="CJ29" s="937"/>
      <c r="CK29" s="937"/>
      <c r="CL29" s="937"/>
      <c r="CM29" s="937"/>
      <c r="CN29" s="937"/>
      <c r="CO29" s="937"/>
      <c r="CP29" s="937"/>
      <c r="CQ29" s="937"/>
      <c r="CR29" s="937"/>
      <c r="CS29" s="937"/>
      <c r="CT29" s="937"/>
      <c r="CU29" s="937"/>
      <c r="CV29" s="937"/>
      <c r="CW29" s="937"/>
      <c r="CX29" s="937"/>
      <c r="CY29" s="937"/>
      <c r="CZ29" s="937"/>
      <c r="DA29" s="937"/>
      <c r="DB29" s="937"/>
      <c r="DC29" s="937"/>
    </row>
    <row r="30" spans="1:107" s="933" customFormat="1" ht="14.25" hidden="1" outlineLevel="1">
      <c r="A30" s="213"/>
      <c r="B30" s="116" t="s">
        <v>640</v>
      </c>
      <c r="C30" s="114" t="s">
        <v>1281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937"/>
      <c r="AU30" s="937"/>
      <c r="AV30" s="937"/>
      <c r="AW30" s="937"/>
      <c r="AX30" s="937"/>
      <c r="AY30" s="937"/>
      <c r="AZ30" s="937"/>
      <c r="BA30" s="937"/>
      <c r="BB30" s="937"/>
      <c r="BC30" s="937"/>
      <c r="BD30" s="937"/>
      <c r="BE30" s="937"/>
      <c r="BF30" s="937"/>
      <c r="BG30" s="937"/>
      <c r="BH30" s="937"/>
      <c r="BI30" s="937"/>
      <c r="BJ30" s="937"/>
      <c r="BK30" s="937"/>
      <c r="BL30" s="937"/>
      <c r="BM30" s="937"/>
      <c r="BN30" s="937"/>
      <c r="BO30" s="937"/>
      <c r="BP30" s="937"/>
      <c r="BQ30" s="937"/>
      <c r="BR30" s="937"/>
      <c r="BS30" s="937"/>
      <c r="BT30" s="937"/>
      <c r="BU30" s="937"/>
      <c r="BV30" s="937"/>
      <c r="BW30" s="937"/>
      <c r="BX30" s="937"/>
      <c r="BY30" s="937"/>
      <c r="BZ30" s="937"/>
      <c r="CA30" s="937"/>
      <c r="CB30" s="937"/>
      <c r="CC30" s="937"/>
      <c r="CD30" s="937"/>
      <c r="CE30" s="937"/>
      <c r="CF30" s="937"/>
      <c r="CG30" s="937"/>
      <c r="CH30" s="937"/>
      <c r="CI30" s="937"/>
      <c r="CJ30" s="937"/>
      <c r="CK30" s="937"/>
      <c r="CL30" s="937"/>
      <c r="CM30" s="937"/>
      <c r="CN30" s="937"/>
      <c r="CO30" s="937"/>
      <c r="CP30" s="937"/>
      <c r="CQ30" s="937"/>
      <c r="CR30" s="937"/>
      <c r="CS30" s="937"/>
      <c r="CT30" s="937"/>
      <c r="CU30" s="937"/>
      <c r="CV30" s="937"/>
      <c r="CW30" s="937"/>
      <c r="CX30" s="937"/>
      <c r="CY30" s="937"/>
      <c r="CZ30" s="937"/>
      <c r="DA30" s="937"/>
      <c r="DB30" s="937"/>
      <c r="DC30" s="937"/>
    </row>
    <row r="31" spans="1:45" s="933" customFormat="1" ht="14.25" collapsed="1">
      <c r="A31" s="213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s="933" customFormat="1" ht="14.25">
      <c r="A32" s="213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 s="187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2:22" ht="14.25">
      <c r="B33" s="1"/>
      <c r="M33" t="s">
        <v>1051</v>
      </c>
      <c r="V33" s="187"/>
    </row>
    <row r="34" spans="2:24" ht="14.25">
      <c r="B34" s="1"/>
      <c r="C34" s="25"/>
      <c r="D34" s="40"/>
      <c r="E34" s="40"/>
      <c r="F34" s="40"/>
      <c r="G34" s="40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</row>
  </sheetData>
  <sheetProtection/>
  <protectedRanges>
    <protectedRange password="CC01" sqref="G2:H2" name="Диапазон1_1"/>
  </protectedRanges>
  <mergeCells count="70">
    <mergeCell ref="AB9:AD9"/>
    <mergeCell ref="S7:AS7"/>
    <mergeCell ref="T11:T12"/>
    <mergeCell ref="X11:X12"/>
    <mergeCell ref="S8:AA8"/>
    <mergeCell ref="Y9:AA9"/>
    <mergeCell ref="AR10:AS10"/>
    <mergeCell ref="AL11:AL12"/>
    <mergeCell ref="AR11:AR12"/>
    <mergeCell ref="AM11:AM12"/>
    <mergeCell ref="G8:I9"/>
    <mergeCell ref="V9:X9"/>
    <mergeCell ref="S9:U9"/>
    <mergeCell ref="P8:R9"/>
    <mergeCell ref="J8:L9"/>
    <mergeCell ref="F11:F12"/>
    <mergeCell ref="I11:I12"/>
    <mergeCell ref="K11:K12"/>
    <mergeCell ref="AC10:AD10"/>
    <mergeCell ref="P10:P12"/>
    <mergeCell ref="K10:L10"/>
    <mergeCell ref="Q11:Q12"/>
    <mergeCell ref="O11:O12"/>
    <mergeCell ref="L11:L12"/>
    <mergeCell ref="Z10:AA10"/>
    <mergeCell ref="D7:R7"/>
    <mergeCell ref="M8:O9"/>
    <mergeCell ref="C28:X28"/>
    <mergeCell ref="U11:U12"/>
    <mergeCell ref="W11:W12"/>
    <mergeCell ref="D8:F9"/>
    <mergeCell ref="D10:D12"/>
    <mergeCell ref="E10:F10"/>
    <mergeCell ref="E11:E12"/>
    <mergeCell ref="H11:H12"/>
    <mergeCell ref="B15:B19"/>
    <mergeCell ref="B7:B12"/>
    <mergeCell ref="Q10:R10"/>
    <mergeCell ref="M10:M12"/>
    <mergeCell ref="N10:O10"/>
    <mergeCell ref="C7:C12"/>
    <mergeCell ref="G10:G12"/>
    <mergeCell ref="H10:I10"/>
    <mergeCell ref="J10:J12"/>
    <mergeCell ref="N11:N12"/>
    <mergeCell ref="R11:R12"/>
    <mergeCell ref="AB8:AJ8"/>
    <mergeCell ref="AK8:AS8"/>
    <mergeCell ref="AK9:AM9"/>
    <mergeCell ref="AN9:AP9"/>
    <mergeCell ref="AQ9:AS9"/>
    <mergeCell ref="AH9:AJ9"/>
    <mergeCell ref="AE9:AG9"/>
    <mergeCell ref="AL10:AM10"/>
    <mergeCell ref="AC11:AC12"/>
    <mergeCell ref="AO11:AO12"/>
    <mergeCell ref="AP11:AP12"/>
    <mergeCell ref="AH10:AH12"/>
    <mergeCell ref="AF11:AF12"/>
    <mergeCell ref="AG11:AG12"/>
    <mergeCell ref="AD11:AD12"/>
    <mergeCell ref="AS11:AS12"/>
    <mergeCell ref="W10:X10"/>
    <mergeCell ref="T10:U10"/>
    <mergeCell ref="AO10:AP10"/>
    <mergeCell ref="AQ10:AQ12"/>
    <mergeCell ref="AF10:AG10"/>
    <mergeCell ref="AI11:AI12"/>
    <mergeCell ref="AJ11:AJ12"/>
    <mergeCell ref="AI10:AJ10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L33"/>
  <sheetViews>
    <sheetView zoomScaleSheetLayoutView="75" zoomScalePageLayoutView="0" workbookViewId="0" topLeftCell="A1">
      <pane xSplit="2" topLeftCell="C1" activePane="topRight" state="frozen"/>
      <selection pane="topLeft" activeCell="K29" sqref="K29"/>
      <selection pane="topRight" activeCell="AZ21" sqref="AZ21"/>
    </sheetView>
  </sheetViews>
  <sheetFormatPr defaultColWidth="9.140625" defaultRowHeight="15" outlineLevelRow="1" outlineLevelCol="2"/>
  <cols>
    <col min="1" max="1" width="4.00390625" style="1" customWidth="1"/>
    <col min="2" max="2" width="28.28125" style="1" customWidth="1"/>
    <col min="3" max="3" width="12.57421875" style="1" hidden="1" customWidth="1"/>
    <col min="4" max="4" width="9.7109375" style="1" hidden="1" customWidth="1" outlineLevel="1"/>
    <col min="5" max="5" width="13.28125" style="1" hidden="1" customWidth="1"/>
    <col min="6" max="6" width="12.57421875" style="1" hidden="1" customWidth="1"/>
    <col min="7" max="7" width="9.7109375" style="1" hidden="1" customWidth="1" outlineLevel="1"/>
    <col min="8" max="8" width="13.28125" style="1" hidden="1" customWidth="1"/>
    <col min="9" max="9" width="11.00390625" style="1" hidden="1" customWidth="1" outlineLevel="1"/>
    <col min="10" max="10" width="10.421875" style="1" customWidth="1" collapsed="1"/>
    <col min="11" max="11" width="10.421875" style="1" hidden="1" customWidth="1" outlineLevel="1"/>
    <col min="12" max="12" width="10.421875" style="1" customWidth="1" collapsed="1"/>
    <col min="13" max="13" width="10.421875" style="1" hidden="1" customWidth="1" outlineLevel="1"/>
    <col min="14" max="14" width="10.421875" style="1" customWidth="1" collapsed="1"/>
    <col min="15" max="15" width="10.421875" style="1" hidden="1" customWidth="1" outlineLevel="1"/>
    <col min="16" max="16" width="10.421875" style="1" customWidth="1" collapsed="1"/>
    <col min="17" max="17" width="10.421875" style="1" hidden="1" customWidth="1" outlineLevel="1"/>
    <col min="18" max="18" width="10.421875" style="1" customWidth="1" collapsed="1"/>
    <col min="19" max="19" width="10.421875" style="1" hidden="1" customWidth="1" outlineLevel="1"/>
    <col min="20" max="20" width="10.421875" style="1" customWidth="1" collapsed="1"/>
    <col min="21" max="21" width="10.421875" style="1" hidden="1" customWidth="1" outlineLevel="1"/>
    <col min="22" max="22" width="10.421875" style="1" customWidth="1" collapsed="1"/>
    <col min="23" max="23" width="10.421875" style="1" hidden="1" customWidth="1" outlineLevel="1"/>
    <col min="24" max="24" width="10.421875" style="1" customWidth="1" collapsed="1"/>
    <col min="25" max="25" width="10.421875" style="1" hidden="1" customWidth="1" outlineLevel="1"/>
    <col min="26" max="26" width="10.421875" style="1" customWidth="1" collapsed="1"/>
    <col min="27" max="27" width="10.421875" style="1" hidden="1" customWidth="1" outlineLevel="1"/>
    <col min="28" max="28" width="10.421875" style="1" customWidth="1" collapsed="1"/>
    <col min="29" max="29" width="10.421875" style="1" hidden="1" customWidth="1" outlineLevel="2"/>
    <col min="30" max="30" width="10.421875" style="1" customWidth="1" outlineLevel="1" collapsed="1"/>
    <col min="31" max="31" width="10.421875" style="1" hidden="1" customWidth="1" outlineLevel="2"/>
    <col min="32" max="32" width="10.421875" style="1" customWidth="1" outlineLevel="1" collapsed="1"/>
    <col min="33" max="33" width="10.421875" style="1" hidden="1" customWidth="1" outlineLevel="2"/>
    <col min="34" max="34" width="10.421875" style="1" customWidth="1" outlineLevel="1" collapsed="1"/>
    <col min="35" max="35" width="10.421875" style="1" hidden="1" customWidth="1" outlineLevel="2"/>
    <col min="36" max="36" width="10.421875" style="1" customWidth="1" outlineLevel="1" collapsed="1"/>
    <col min="37" max="37" width="10.421875" style="1" hidden="1" customWidth="1" outlineLevel="2"/>
    <col min="38" max="38" width="10.421875" style="1" customWidth="1" outlineLevel="1" collapsed="1"/>
    <col min="39" max="39" width="10.421875" style="1" hidden="1" customWidth="1" outlineLevel="2"/>
    <col min="40" max="40" width="10.421875" style="1" customWidth="1" outlineLevel="1" collapsed="1"/>
    <col min="41" max="41" width="10.421875" style="1" hidden="1" customWidth="1" outlineLevel="2"/>
    <col min="42" max="42" width="10.421875" style="1" customWidth="1" collapsed="1"/>
    <col min="43" max="43" width="10.421875" style="1" hidden="1" customWidth="1"/>
    <col min="44" max="44" width="10.421875" style="1" customWidth="1"/>
    <col min="45" max="45" width="10.421875" style="1" hidden="1" customWidth="1"/>
    <col min="46" max="46" width="10.421875" style="1" customWidth="1"/>
    <col min="47" max="47" width="10.421875" style="1" hidden="1" customWidth="1"/>
    <col min="48" max="48" width="10.421875" style="1" customWidth="1"/>
    <col min="49" max="49" width="10.421875" style="1" hidden="1" customWidth="1"/>
    <col min="50" max="50" width="10.421875" style="1" customWidth="1"/>
    <col min="51" max="51" width="10.421875" style="1" hidden="1" customWidth="1"/>
    <col min="52" max="52" width="10.421875" style="1" customWidth="1"/>
    <col min="53" max="16384" width="9.140625" style="1" customWidth="1"/>
  </cols>
  <sheetData>
    <row r="1" spans="1:52" ht="15">
      <c r="A1" s="52" t="s">
        <v>1152</v>
      </c>
      <c r="B1" s="52"/>
      <c r="C1" s="52"/>
      <c r="D1" s="52"/>
      <c r="E1" s="52"/>
      <c r="F1" s="506"/>
      <c r="G1" s="505"/>
      <c r="H1" s="52"/>
      <c r="I1" s="52"/>
      <c r="J1" s="52"/>
      <c r="K1" s="37"/>
      <c r="L1" s="37"/>
      <c r="AB1" s="2"/>
      <c r="AK1" s="11"/>
      <c r="AO1" s="2"/>
      <c r="AV1" s="2035" t="s">
        <v>672</v>
      </c>
      <c r="AW1" s="2035"/>
      <c r="AX1" s="2035"/>
      <c r="AZ1" s="64"/>
    </row>
    <row r="2" spans="1:35" ht="12.75">
      <c r="A2" s="921" t="str">
        <f>'4.1'!B3</f>
        <v>Базовый период/Период регулирования:2016/2017-2019 г.г.</v>
      </c>
      <c r="B2" s="921"/>
      <c r="C2" s="921"/>
      <c r="D2" s="921"/>
      <c r="E2" s="921"/>
      <c r="F2" s="921"/>
      <c r="G2" s="921"/>
      <c r="H2" s="921"/>
      <c r="I2" s="921"/>
      <c r="J2" s="921"/>
      <c r="K2" s="570"/>
      <c r="L2" s="570"/>
      <c r="M2" s="570"/>
      <c r="N2" s="570"/>
      <c r="O2" s="570"/>
      <c r="P2" s="570"/>
      <c r="Q2" s="570"/>
      <c r="R2" s="570"/>
      <c r="S2" s="570"/>
      <c r="T2" s="570"/>
      <c r="AF2" s="52"/>
      <c r="AG2" s="52"/>
      <c r="AH2" s="52"/>
      <c r="AI2" s="52"/>
    </row>
    <row r="3" spans="25:41" ht="12.75">
      <c r="Y3" s="2"/>
      <c r="Z3" s="2"/>
      <c r="AA3" s="2"/>
      <c r="AB3" s="2"/>
      <c r="AC3" s="2"/>
      <c r="AL3" s="2"/>
      <c r="AM3" s="2"/>
      <c r="AN3" s="2"/>
      <c r="AO3" s="2"/>
    </row>
    <row r="4" spans="1:37" ht="16.5">
      <c r="A4" s="33" t="s">
        <v>671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ht="13.5">
      <c r="A5" s="308" t="str">
        <f>Реестр!A5</f>
        <v>Наименование    Усть - Камчатское муниципальное образование</v>
      </c>
    </row>
    <row r="6" spans="1:52" ht="15.75" customHeight="1">
      <c r="A6" s="2087" t="s">
        <v>1008</v>
      </c>
      <c r="B6" s="2087"/>
      <c r="C6" s="2091" t="s">
        <v>1005</v>
      </c>
      <c r="D6" s="2091"/>
      <c r="E6" s="2091"/>
      <c r="F6" s="2091"/>
      <c r="G6" s="2091"/>
      <c r="H6" s="2091"/>
      <c r="I6" s="2091"/>
      <c r="J6" s="2091"/>
      <c r="K6" s="2091"/>
      <c r="L6" s="2091"/>
      <c r="M6" s="2091"/>
      <c r="N6" s="2091"/>
      <c r="O6" s="2091"/>
      <c r="P6" s="2091"/>
      <c r="Q6" s="2032"/>
      <c r="R6" s="2081" t="s">
        <v>1007</v>
      </c>
      <c r="S6" s="2082"/>
      <c r="T6" s="2082"/>
      <c r="U6" s="2082"/>
      <c r="V6" s="2082"/>
      <c r="W6" s="2082"/>
      <c r="X6" s="2082"/>
      <c r="Y6" s="2082"/>
      <c r="Z6" s="2082"/>
      <c r="AA6" s="2082"/>
      <c r="AB6" s="2082"/>
      <c r="AC6" s="2082"/>
      <c r="AD6" s="2082"/>
      <c r="AE6" s="2082"/>
      <c r="AF6" s="2082"/>
      <c r="AG6" s="2082"/>
      <c r="AH6" s="2082"/>
      <c r="AI6" s="2082"/>
      <c r="AJ6" s="2082"/>
      <c r="AK6" s="2082"/>
      <c r="AL6" s="2082"/>
      <c r="AM6" s="2082"/>
      <c r="AN6" s="2082"/>
      <c r="AO6" s="2082"/>
      <c r="AP6" s="2082"/>
      <c r="AQ6" s="2082"/>
      <c r="AR6" s="2082"/>
      <c r="AS6" s="2082"/>
      <c r="AT6" s="2082"/>
      <c r="AU6" s="2082"/>
      <c r="AV6" s="2082"/>
      <c r="AW6" s="2082"/>
      <c r="AX6" s="2082"/>
      <c r="AY6" s="2082"/>
      <c r="AZ6" s="2083"/>
    </row>
    <row r="7" spans="1:52" s="25" customFormat="1" ht="12.75" customHeight="1">
      <c r="A7" s="2088"/>
      <c r="B7" s="2088"/>
      <c r="C7" s="2010" t="s">
        <v>1564</v>
      </c>
      <c r="D7" s="1949"/>
      <c r="E7" s="1950"/>
      <c r="F7" s="2010" t="s">
        <v>1788</v>
      </c>
      <c r="G7" s="1949"/>
      <c r="H7" s="1949"/>
      <c r="I7" s="1950"/>
      <c r="J7" s="1957" t="s">
        <v>117</v>
      </c>
      <c r="K7" s="1958"/>
      <c r="L7" s="1958"/>
      <c r="M7" s="1942"/>
      <c r="N7" s="1952" t="s">
        <v>118</v>
      </c>
      <c r="O7" s="1953"/>
      <c r="P7" s="1953"/>
      <c r="Q7" s="1946"/>
      <c r="R7" s="2021" t="s">
        <v>1537</v>
      </c>
      <c r="S7" s="2022"/>
      <c r="T7" s="2022"/>
      <c r="U7" s="2022"/>
      <c r="V7" s="2022"/>
      <c r="W7" s="2022"/>
      <c r="X7" s="2022"/>
      <c r="Y7" s="2022"/>
      <c r="Z7" s="2022"/>
      <c r="AA7" s="2022"/>
      <c r="AB7" s="2022"/>
      <c r="AC7" s="2023"/>
      <c r="AD7" s="2021" t="s">
        <v>1071</v>
      </c>
      <c r="AE7" s="2022"/>
      <c r="AF7" s="2022"/>
      <c r="AG7" s="2022"/>
      <c r="AH7" s="2022"/>
      <c r="AI7" s="2022"/>
      <c r="AJ7" s="2022"/>
      <c r="AK7" s="2022"/>
      <c r="AL7" s="2022"/>
      <c r="AM7" s="2022"/>
      <c r="AN7" s="2022"/>
      <c r="AO7" s="2023"/>
      <c r="AP7" s="2024" t="s">
        <v>122</v>
      </c>
      <c r="AQ7" s="2025"/>
      <c r="AR7" s="2025"/>
      <c r="AS7" s="2025"/>
      <c r="AT7" s="2025"/>
      <c r="AU7" s="2025"/>
      <c r="AV7" s="2025"/>
      <c r="AW7" s="2025"/>
      <c r="AX7" s="2025"/>
      <c r="AY7" s="2025"/>
      <c r="AZ7" s="2025"/>
    </row>
    <row r="8" spans="1:52" s="25" customFormat="1" ht="12.75" customHeight="1">
      <c r="A8" s="2088"/>
      <c r="B8" s="2088"/>
      <c r="C8" s="2021"/>
      <c r="D8" s="2022"/>
      <c r="E8" s="2023"/>
      <c r="F8" s="2021"/>
      <c r="G8" s="2022"/>
      <c r="H8" s="2022"/>
      <c r="I8" s="2023"/>
      <c r="J8" s="1943"/>
      <c r="K8" s="1944"/>
      <c r="L8" s="1944"/>
      <c r="M8" s="1945"/>
      <c r="N8" s="1954"/>
      <c r="O8" s="1955"/>
      <c r="P8" s="1955"/>
      <c r="Q8" s="2080"/>
      <c r="R8" s="1990" t="s">
        <v>121</v>
      </c>
      <c r="S8" s="1991"/>
      <c r="T8" s="1991"/>
      <c r="U8" s="1966"/>
      <c r="V8" s="2005" t="s">
        <v>119</v>
      </c>
      <c r="W8" s="2005"/>
      <c r="X8" s="2005"/>
      <c r="Y8" s="2005"/>
      <c r="Z8" s="2005" t="s">
        <v>120</v>
      </c>
      <c r="AA8" s="2005"/>
      <c r="AB8" s="2005"/>
      <c r="AC8" s="2005"/>
      <c r="AD8" s="1990" t="s">
        <v>142</v>
      </c>
      <c r="AE8" s="1991"/>
      <c r="AF8" s="1991"/>
      <c r="AG8" s="1966"/>
      <c r="AH8" s="2005" t="s">
        <v>707</v>
      </c>
      <c r="AI8" s="2005"/>
      <c r="AJ8" s="2005"/>
      <c r="AK8" s="2005"/>
      <c r="AL8" s="2005" t="s">
        <v>708</v>
      </c>
      <c r="AM8" s="2005"/>
      <c r="AN8" s="2005"/>
      <c r="AO8" s="2005"/>
      <c r="AP8" s="1990" t="s">
        <v>121</v>
      </c>
      <c r="AQ8" s="1991"/>
      <c r="AR8" s="1991"/>
      <c r="AS8" s="1966"/>
      <c r="AT8" s="2005" t="s">
        <v>119</v>
      </c>
      <c r="AU8" s="2005"/>
      <c r="AV8" s="2005"/>
      <c r="AW8" s="2005"/>
      <c r="AX8" s="2005" t="s">
        <v>120</v>
      </c>
      <c r="AY8" s="2005"/>
      <c r="AZ8" s="2005"/>
    </row>
    <row r="9" spans="1:52" ht="137.25" customHeight="1">
      <c r="A9" s="2089"/>
      <c r="B9" s="2090"/>
      <c r="C9" s="13" t="s">
        <v>1646</v>
      </c>
      <c r="D9" s="119" t="s">
        <v>1647</v>
      </c>
      <c r="E9" s="13" t="s">
        <v>133</v>
      </c>
      <c r="F9" s="13" t="s">
        <v>1646</v>
      </c>
      <c r="G9" s="119" t="s">
        <v>1647</v>
      </c>
      <c r="H9" s="13" t="s">
        <v>133</v>
      </c>
      <c r="I9" s="119" t="s">
        <v>385</v>
      </c>
      <c r="J9" s="13" t="s">
        <v>1646</v>
      </c>
      <c r="K9" s="119" t="s">
        <v>1647</v>
      </c>
      <c r="L9" s="13" t="s">
        <v>133</v>
      </c>
      <c r="M9" s="119" t="s">
        <v>385</v>
      </c>
      <c r="N9" s="13" t="s">
        <v>1646</v>
      </c>
      <c r="O9" s="119" t="s">
        <v>1647</v>
      </c>
      <c r="P9" s="13" t="s">
        <v>133</v>
      </c>
      <c r="Q9" s="119" t="s">
        <v>385</v>
      </c>
      <c r="R9" s="13" t="s">
        <v>1646</v>
      </c>
      <c r="S9" s="119" t="s">
        <v>1647</v>
      </c>
      <c r="T9" s="13" t="s">
        <v>133</v>
      </c>
      <c r="U9" s="119" t="s">
        <v>385</v>
      </c>
      <c r="V9" s="13" t="s">
        <v>1646</v>
      </c>
      <c r="W9" s="119" t="s">
        <v>1647</v>
      </c>
      <c r="X9" s="13" t="s">
        <v>133</v>
      </c>
      <c r="Y9" s="119" t="s">
        <v>385</v>
      </c>
      <c r="Z9" s="13" t="s">
        <v>1646</v>
      </c>
      <c r="AA9" s="119" t="s">
        <v>1647</v>
      </c>
      <c r="AB9" s="13" t="s">
        <v>133</v>
      </c>
      <c r="AC9" s="119" t="s">
        <v>385</v>
      </c>
      <c r="AD9" s="13" t="s">
        <v>1646</v>
      </c>
      <c r="AE9" s="119" t="s">
        <v>1647</v>
      </c>
      <c r="AF9" s="13" t="s">
        <v>133</v>
      </c>
      <c r="AG9" s="119" t="s">
        <v>385</v>
      </c>
      <c r="AH9" s="13" t="s">
        <v>1646</v>
      </c>
      <c r="AI9" s="119" t="s">
        <v>1647</v>
      </c>
      <c r="AJ9" s="13" t="s">
        <v>133</v>
      </c>
      <c r="AK9" s="119" t="s">
        <v>385</v>
      </c>
      <c r="AL9" s="13" t="s">
        <v>1646</v>
      </c>
      <c r="AM9" s="119" t="s">
        <v>1647</v>
      </c>
      <c r="AN9" s="13" t="s">
        <v>133</v>
      </c>
      <c r="AO9" s="66" t="s">
        <v>385</v>
      </c>
      <c r="AP9" s="13" t="s">
        <v>1646</v>
      </c>
      <c r="AQ9" s="119" t="s">
        <v>1647</v>
      </c>
      <c r="AR9" s="13" t="s">
        <v>133</v>
      </c>
      <c r="AS9" s="119" t="s">
        <v>385</v>
      </c>
      <c r="AT9" s="13" t="s">
        <v>1646</v>
      </c>
      <c r="AU9" s="119" t="s">
        <v>1647</v>
      </c>
      <c r="AV9" s="13" t="s">
        <v>133</v>
      </c>
      <c r="AW9" s="119" t="s">
        <v>385</v>
      </c>
      <c r="AX9" s="13" t="s">
        <v>1646</v>
      </c>
      <c r="AY9" s="119" t="s">
        <v>1647</v>
      </c>
      <c r="AZ9" s="13" t="s">
        <v>133</v>
      </c>
    </row>
    <row r="10" spans="1:52" ht="12.75">
      <c r="A10" s="4">
        <v>1</v>
      </c>
      <c r="B10" s="5">
        <v>2</v>
      </c>
      <c r="C10" s="4">
        <v>3</v>
      </c>
      <c r="D10" s="5">
        <v>4</v>
      </c>
      <c r="E10" s="4">
        <v>5</v>
      </c>
      <c r="F10" s="5">
        <v>6</v>
      </c>
      <c r="G10" s="4">
        <v>7</v>
      </c>
      <c r="H10" s="5">
        <v>8</v>
      </c>
      <c r="I10" s="4">
        <v>9</v>
      </c>
      <c r="J10" s="5">
        <v>10</v>
      </c>
      <c r="K10" s="4">
        <v>11</v>
      </c>
      <c r="L10" s="5">
        <v>12</v>
      </c>
      <c r="M10" s="4">
        <v>13</v>
      </c>
      <c r="N10" s="521">
        <v>14</v>
      </c>
      <c r="O10" s="512">
        <v>15</v>
      </c>
      <c r="P10" s="521">
        <v>16</v>
      </c>
      <c r="Q10" s="4">
        <v>17</v>
      </c>
      <c r="R10" s="5">
        <v>18</v>
      </c>
      <c r="S10" s="4">
        <v>19</v>
      </c>
      <c r="T10" s="5">
        <v>20</v>
      </c>
      <c r="U10" s="4">
        <v>21</v>
      </c>
      <c r="V10" s="5">
        <v>22</v>
      </c>
      <c r="W10" s="4">
        <v>23</v>
      </c>
      <c r="X10" s="5">
        <v>24</v>
      </c>
      <c r="Y10" s="4">
        <v>25</v>
      </c>
      <c r="Z10" s="5">
        <v>26</v>
      </c>
      <c r="AA10" s="4">
        <v>27</v>
      </c>
      <c r="AB10" s="5">
        <v>28</v>
      </c>
      <c r="AC10" s="4">
        <v>29</v>
      </c>
      <c r="AD10" s="5">
        <v>30</v>
      </c>
      <c r="AE10" s="4">
        <v>31</v>
      </c>
      <c r="AF10" s="5">
        <v>32</v>
      </c>
      <c r="AG10" s="4">
        <v>33</v>
      </c>
      <c r="AH10" s="5">
        <v>34</v>
      </c>
      <c r="AI10" s="4">
        <v>35</v>
      </c>
      <c r="AJ10" s="5">
        <v>36</v>
      </c>
      <c r="AK10" s="4">
        <v>37</v>
      </c>
      <c r="AL10" s="5">
        <v>38</v>
      </c>
      <c r="AM10" s="4">
        <v>39</v>
      </c>
      <c r="AN10" s="5">
        <v>40</v>
      </c>
      <c r="AO10" s="4">
        <v>41</v>
      </c>
      <c r="AP10" s="4">
        <v>91</v>
      </c>
      <c r="AQ10" s="5">
        <v>92</v>
      </c>
      <c r="AR10" s="4">
        <v>93</v>
      </c>
      <c r="AS10" s="5">
        <v>94</v>
      </c>
      <c r="AT10" s="4">
        <v>95</v>
      </c>
      <c r="AU10" s="5">
        <v>96</v>
      </c>
      <c r="AV10" s="4">
        <v>97</v>
      </c>
      <c r="AW10" s="5">
        <v>98</v>
      </c>
      <c r="AX10" s="4">
        <v>99</v>
      </c>
      <c r="AY10" s="5">
        <v>100</v>
      </c>
      <c r="AZ10" s="4">
        <v>101</v>
      </c>
    </row>
    <row r="11" spans="1:52" ht="30" customHeight="1">
      <c r="A11" s="47">
        <v>1</v>
      </c>
      <c r="B11" s="117" t="s">
        <v>607</v>
      </c>
      <c r="C11" s="120">
        <f aca="true" t="shared" si="0" ref="C11:H11">SUM(C12,C13,C18)</f>
        <v>0</v>
      </c>
      <c r="D11" s="120">
        <f t="shared" si="0"/>
        <v>0</v>
      </c>
      <c r="E11" s="120">
        <f t="shared" si="0"/>
        <v>0</v>
      </c>
      <c r="F11" s="120">
        <f t="shared" si="0"/>
        <v>0</v>
      </c>
      <c r="G11" s="120">
        <f t="shared" si="0"/>
        <v>0</v>
      </c>
      <c r="H11" s="120">
        <f t="shared" si="0"/>
        <v>0</v>
      </c>
      <c r="I11" s="120"/>
      <c r="J11" s="120">
        <f>SUM(J12,J13,J18)</f>
        <v>0.35994525547445255</v>
      </c>
      <c r="K11" s="120">
        <f>SUM(K12,K13,K18)</f>
        <v>0</v>
      </c>
      <c r="L11" s="120">
        <f>SUM(L12,L13,L18)</f>
        <v>2.367</v>
      </c>
      <c r="M11" s="120"/>
      <c r="N11" s="726">
        <f>SUM(N12,N13,N18)</f>
        <v>0.35994525547445255</v>
      </c>
      <c r="O11" s="726">
        <f>SUM(O12,O13,O18)</f>
        <v>0</v>
      </c>
      <c r="P11" s="726">
        <f>SUM(P12,P13,P18)</f>
        <v>2.367</v>
      </c>
      <c r="Q11" s="726"/>
      <c r="R11" s="960">
        <f>SUM(R12,R13,R18)</f>
        <v>0.3612637362637362</v>
      </c>
      <c r="S11" s="960">
        <f>SUM(S12,S13,S18)</f>
        <v>0</v>
      </c>
      <c r="T11" s="960">
        <f>SUM(T12,T13,T18)</f>
        <v>2.367</v>
      </c>
      <c r="U11" s="960"/>
      <c r="V11" s="960">
        <f>SUM(V12,V13,V18)</f>
        <v>0.22252747252747251</v>
      </c>
      <c r="W11" s="960">
        <f>SUM(W12,W13,W18)</f>
        <v>0</v>
      </c>
      <c r="X11" s="960">
        <f>SUM(X12,X13,X18)</f>
        <v>1.458</v>
      </c>
      <c r="Y11" s="960"/>
      <c r="Z11" s="960">
        <f>SUM(Z12,Z13,Z18)</f>
        <v>0.13873626373626372</v>
      </c>
      <c r="AA11" s="960">
        <f>SUM(AA12,AA13,AA18)</f>
        <v>0</v>
      </c>
      <c r="AB11" s="960">
        <f>SUM(AB12,AB13,AB18)</f>
        <v>0.9089999999999999</v>
      </c>
      <c r="AC11" s="961"/>
      <c r="AD11" s="961">
        <f>SUM(AD12,AD13,AD18)</f>
        <v>0.3612637362637362</v>
      </c>
      <c r="AE11" s="961">
        <f>SUM(AE12,AE13,AE18)</f>
        <v>0</v>
      </c>
      <c r="AF11" s="961">
        <f>SUM(AF12,AF13,AF18)</f>
        <v>2.367</v>
      </c>
      <c r="AG11" s="961"/>
      <c r="AH11" s="961">
        <f>SUM(AH12,AH13,AH18)</f>
        <v>0.22252747252747251</v>
      </c>
      <c r="AI11" s="961">
        <f>SUM(AI12,AI13,AI18)</f>
        <v>0</v>
      </c>
      <c r="AJ11" s="961">
        <f>SUM(AJ12,AJ13,AJ18)</f>
        <v>1.458</v>
      </c>
      <c r="AK11" s="961"/>
      <c r="AL11" s="961">
        <f>SUM(AL12,AL13,AL18)</f>
        <v>0.13873626373626372</v>
      </c>
      <c r="AM11" s="961">
        <f>SUM(AM12,AM13,AM18)</f>
        <v>0</v>
      </c>
      <c r="AN11" s="961">
        <f>SUM(AN12,AN13,AN18)</f>
        <v>0.9089999999999999</v>
      </c>
      <c r="AO11" s="4"/>
      <c r="AP11" s="923">
        <f>AP12</f>
        <v>0.3612637362637362</v>
      </c>
      <c r="AQ11" s="923">
        <f aca="true" t="shared" si="1" ref="AQ11:AY12">S11</f>
        <v>0</v>
      </c>
      <c r="AR11" s="923">
        <f>AR12</f>
        <v>2.367</v>
      </c>
      <c r="AS11" s="923">
        <f t="shared" si="1"/>
        <v>0</v>
      </c>
      <c r="AT11" s="923">
        <f>AT12</f>
        <v>0.22252747252747251</v>
      </c>
      <c r="AU11" s="923">
        <f t="shared" si="1"/>
        <v>0</v>
      </c>
      <c r="AV11" s="923">
        <f>AV12</f>
        <v>1.458</v>
      </c>
      <c r="AW11" s="923">
        <f t="shared" si="1"/>
        <v>0</v>
      </c>
      <c r="AX11" s="923">
        <f>AX12</f>
        <v>0.13873626373626372</v>
      </c>
      <c r="AY11" s="923">
        <f t="shared" si="1"/>
        <v>0</v>
      </c>
      <c r="AZ11" s="923">
        <f>AZ12</f>
        <v>0.9089999999999999</v>
      </c>
    </row>
    <row r="12" spans="1:52" ht="12.75">
      <c r="A12" s="2084"/>
      <c r="B12" s="6" t="s">
        <v>673</v>
      </c>
      <c r="C12" s="182">
        <v>0</v>
      </c>
      <c r="D12" s="4"/>
      <c r="E12" s="118">
        <v>0</v>
      </c>
      <c r="F12" s="182">
        <f>H12*1000/(257*24)</f>
        <v>0</v>
      </c>
      <c r="G12" s="4"/>
      <c r="H12" s="118">
        <v>0</v>
      </c>
      <c r="I12" s="118"/>
      <c r="J12" s="727">
        <f>L12*1000/(274*24)</f>
        <v>0.35994525547445255</v>
      </c>
      <c r="K12" s="118"/>
      <c r="L12" s="118">
        <f>'4.1'!T30</f>
        <v>2.367</v>
      </c>
      <c r="M12" s="118"/>
      <c r="N12" s="727">
        <f>P12*1000/(274*24)</f>
        <v>0.35994525547445255</v>
      </c>
      <c r="O12" s="728"/>
      <c r="P12" s="728">
        <f>'4.1'!AC30</f>
        <v>2.367</v>
      </c>
      <c r="Q12" s="728"/>
      <c r="R12" s="962">
        <f>V12+Z12</f>
        <v>0.3612637362637362</v>
      </c>
      <c r="S12" s="962">
        <f>W12+AA12</f>
        <v>0</v>
      </c>
      <c r="T12" s="962">
        <f>X12+AB12</f>
        <v>2.367</v>
      </c>
      <c r="U12" s="962">
        <f>Y12+AC12</f>
        <v>0</v>
      </c>
      <c r="V12" s="963">
        <f>X12*1000/(273*24)</f>
        <v>0.22252747252747251</v>
      </c>
      <c r="W12" s="962"/>
      <c r="X12" s="962">
        <f>'4.1'!AR30</f>
        <v>1.458</v>
      </c>
      <c r="Y12" s="962"/>
      <c r="Z12" s="963">
        <f>AB12*1000/(273*24)</f>
        <v>0.13873626373626372</v>
      </c>
      <c r="AA12" s="962"/>
      <c r="AB12" s="962">
        <f>'4.1'!AZ30</f>
        <v>0.9089999999999999</v>
      </c>
      <c r="AC12" s="964"/>
      <c r="AD12" s="964">
        <f>AH12+AL12</f>
        <v>0.3612637362637362</v>
      </c>
      <c r="AE12" s="964">
        <f>AI12+AM12</f>
        <v>0</v>
      </c>
      <c r="AF12" s="964">
        <f>AJ12+AN12</f>
        <v>2.367</v>
      </c>
      <c r="AG12" s="964">
        <f>AK12+AO12</f>
        <v>0</v>
      </c>
      <c r="AH12" s="965">
        <f>AJ12*1000/(273*24)</f>
        <v>0.22252747252747251</v>
      </c>
      <c r="AI12" s="964"/>
      <c r="AJ12" s="964">
        <f>'4.1'!BU30</f>
        <v>1.458</v>
      </c>
      <c r="AK12" s="964"/>
      <c r="AL12" s="965">
        <f>AN12*1000/(273*24)</f>
        <v>0.13873626373626372</v>
      </c>
      <c r="AM12" s="964"/>
      <c r="AN12" s="964">
        <f>'4.1'!CC30</f>
        <v>0.9089999999999999</v>
      </c>
      <c r="AO12" s="4"/>
      <c r="AP12" s="924">
        <f>AT12+AX12</f>
        <v>0.3612637362637362</v>
      </c>
      <c r="AQ12" s="924">
        <f t="shared" si="1"/>
        <v>0</v>
      </c>
      <c r="AR12" s="924">
        <f>AV12+AZ12</f>
        <v>2.367</v>
      </c>
      <c r="AS12" s="924">
        <f t="shared" si="1"/>
        <v>0</v>
      </c>
      <c r="AT12" s="925">
        <f>AV12*1000/(273*24)</f>
        <v>0.22252747252747251</v>
      </c>
      <c r="AU12" s="924">
        <f t="shared" si="1"/>
        <v>0</v>
      </c>
      <c r="AV12" s="924">
        <f>'4.1'!CX30</f>
        <v>1.458</v>
      </c>
      <c r="AW12" s="924">
        <f t="shared" si="1"/>
        <v>0</v>
      </c>
      <c r="AX12" s="925">
        <f>AZ12*1000/(273*24)</f>
        <v>0.13873626373626372</v>
      </c>
      <c r="AY12" s="924">
        <f t="shared" si="1"/>
        <v>0</v>
      </c>
      <c r="AZ12" s="924">
        <f>'4.1'!DF30</f>
        <v>0.9089999999999999</v>
      </c>
    </row>
    <row r="13" spans="1:52" ht="12.75">
      <c r="A13" s="2085"/>
      <c r="B13" s="6" t="s">
        <v>608</v>
      </c>
      <c r="C13" s="118"/>
      <c r="D13" s="4"/>
      <c r="E13" s="118"/>
      <c r="F13" s="118"/>
      <c r="G13" s="4"/>
      <c r="H13" s="118"/>
      <c r="I13" s="118"/>
      <c r="J13" s="118"/>
      <c r="K13" s="118"/>
      <c r="L13" s="118"/>
      <c r="M13" s="118"/>
      <c r="N13" s="728"/>
      <c r="O13" s="728"/>
      <c r="P13" s="728"/>
      <c r="Q13" s="728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4"/>
      <c r="AD13" s="964"/>
      <c r="AE13" s="964"/>
      <c r="AF13" s="964"/>
      <c r="AG13" s="964"/>
      <c r="AH13" s="964"/>
      <c r="AI13" s="964"/>
      <c r="AJ13" s="964"/>
      <c r="AK13" s="964"/>
      <c r="AL13" s="964"/>
      <c r="AM13" s="964"/>
      <c r="AN13" s="964"/>
      <c r="AO13" s="4"/>
      <c r="AP13" s="926"/>
      <c r="AQ13" s="926"/>
      <c r="AR13" s="926"/>
      <c r="AS13" s="926"/>
      <c r="AT13" s="926"/>
      <c r="AU13" s="926"/>
      <c r="AV13" s="926"/>
      <c r="AW13" s="926"/>
      <c r="AX13" s="926"/>
      <c r="AY13" s="926"/>
      <c r="AZ13" s="926"/>
    </row>
    <row r="14" spans="1:52" ht="12.75">
      <c r="A14" s="2085"/>
      <c r="B14" s="61" t="s">
        <v>674</v>
      </c>
      <c r="C14" s="118"/>
      <c r="D14" s="4"/>
      <c r="E14" s="118"/>
      <c r="F14" s="118"/>
      <c r="G14" s="4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  <c r="AJ14" s="964"/>
      <c r="AK14" s="964"/>
      <c r="AL14" s="964"/>
      <c r="AM14" s="964"/>
      <c r="AN14" s="964"/>
      <c r="AO14" s="4"/>
      <c r="AP14" s="926"/>
      <c r="AQ14" s="926"/>
      <c r="AR14" s="926"/>
      <c r="AS14" s="926"/>
      <c r="AT14" s="926"/>
      <c r="AU14" s="926"/>
      <c r="AV14" s="926"/>
      <c r="AW14" s="926"/>
      <c r="AX14" s="926"/>
      <c r="AY14" s="926"/>
      <c r="AZ14" s="926"/>
    </row>
    <row r="15" spans="1:52" ht="12.75">
      <c r="A15" s="2085"/>
      <c r="B15" s="61" t="s">
        <v>675</v>
      </c>
      <c r="C15" s="118"/>
      <c r="D15" s="4"/>
      <c r="E15" s="118"/>
      <c r="F15" s="118"/>
      <c r="G15" s="4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964"/>
      <c r="S15" s="964"/>
      <c r="T15" s="964"/>
      <c r="U15" s="964"/>
      <c r="V15" s="964"/>
      <c r="W15" s="964"/>
      <c r="X15" s="964"/>
      <c r="Y15" s="964"/>
      <c r="Z15" s="964"/>
      <c r="AA15" s="964"/>
      <c r="AB15" s="964"/>
      <c r="AC15" s="964"/>
      <c r="AD15" s="964"/>
      <c r="AE15" s="964"/>
      <c r="AF15" s="964"/>
      <c r="AG15" s="964"/>
      <c r="AH15" s="964"/>
      <c r="AI15" s="964"/>
      <c r="AJ15" s="964"/>
      <c r="AK15" s="964"/>
      <c r="AL15" s="964"/>
      <c r="AM15" s="964"/>
      <c r="AN15" s="964"/>
      <c r="AO15" s="4"/>
      <c r="AP15" s="926"/>
      <c r="AQ15" s="926"/>
      <c r="AR15" s="926"/>
      <c r="AS15" s="926"/>
      <c r="AT15" s="926"/>
      <c r="AU15" s="926"/>
      <c r="AV15" s="926"/>
      <c r="AW15" s="926"/>
      <c r="AX15" s="926"/>
      <c r="AY15" s="926"/>
      <c r="AZ15" s="926"/>
    </row>
    <row r="16" spans="1:52" ht="12.75">
      <c r="A16" s="2085"/>
      <c r="B16" s="61" t="s">
        <v>676</v>
      </c>
      <c r="C16" s="118"/>
      <c r="D16" s="4"/>
      <c r="E16" s="118"/>
      <c r="F16" s="118"/>
      <c r="G16" s="4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964"/>
      <c r="S16" s="964"/>
      <c r="T16" s="964"/>
      <c r="U16" s="964"/>
      <c r="V16" s="964"/>
      <c r="W16" s="964"/>
      <c r="X16" s="964"/>
      <c r="Y16" s="964"/>
      <c r="Z16" s="964"/>
      <c r="AA16" s="964"/>
      <c r="AB16" s="964"/>
      <c r="AC16" s="964"/>
      <c r="AD16" s="964"/>
      <c r="AE16" s="964"/>
      <c r="AF16" s="964"/>
      <c r="AG16" s="964"/>
      <c r="AH16" s="964"/>
      <c r="AI16" s="964"/>
      <c r="AJ16" s="964"/>
      <c r="AK16" s="964"/>
      <c r="AL16" s="964"/>
      <c r="AM16" s="964"/>
      <c r="AN16" s="964"/>
      <c r="AO16" s="4"/>
      <c r="AP16" s="926"/>
      <c r="AQ16" s="926"/>
      <c r="AR16" s="926"/>
      <c r="AS16" s="926"/>
      <c r="AT16" s="926"/>
      <c r="AU16" s="926"/>
      <c r="AV16" s="926"/>
      <c r="AW16" s="926"/>
      <c r="AX16" s="926"/>
      <c r="AY16" s="926"/>
      <c r="AZ16" s="926"/>
    </row>
    <row r="17" spans="1:52" ht="14.25" customHeight="1">
      <c r="A17" s="2085"/>
      <c r="B17" s="61" t="s">
        <v>1333</v>
      </c>
      <c r="C17" s="118"/>
      <c r="D17" s="4"/>
      <c r="E17" s="118"/>
      <c r="F17" s="118"/>
      <c r="G17" s="4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964"/>
      <c r="S17" s="964"/>
      <c r="T17" s="964"/>
      <c r="U17" s="964"/>
      <c r="V17" s="964"/>
      <c r="W17" s="964"/>
      <c r="X17" s="964"/>
      <c r="Y17" s="964"/>
      <c r="Z17" s="964"/>
      <c r="AA17" s="964"/>
      <c r="AB17" s="964"/>
      <c r="AC17" s="964"/>
      <c r="AD17" s="964"/>
      <c r="AE17" s="964"/>
      <c r="AF17" s="964"/>
      <c r="AG17" s="964"/>
      <c r="AH17" s="964"/>
      <c r="AI17" s="964"/>
      <c r="AJ17" s="964"/>
      <c r="AK17" s="964"/>
      <c r="AL17" s="964"/>
      <c r="AM17" s="964"/>
      <c r="AN17" s="964"/>
      <c r="AO17" s="4"/>
      <c r="AP17" s="926"/>
      <c r="AQ17" s="926"/>
      <c r="AR17" s="926"/>
      <c r="AS17" s="926"/>
      <c r="AT17" s="926"/>
      <c r="AU17" s="926"/>
      <c r="AV17" s="926"/>
      <c r="AW17" s="926"/>
      <c r="AX17" s="926"/>
      <c r="AY17" s="926"/>
      <c r="AZ17" s="926"/>
    </row>
    <row r="18" spans="1:52" ht="12.75">
      <c r="A18" s="2085"/>
      <c r="B18" s="6" t="s">
        <v>609</v>
      </c>
      <c r="C18" s="118"/>
      <c r="D18" s="4"/>
      <c r="E18" s="118"/>
      <c r="F18" s="118"/>
      <c r="G18" s="4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964"/>
      <c r="S18" s="964"/>
      <c r="T18" s="964"/>
      <c r="U18" s="964"/>
      <c r="V18" s="964"/>
      <c r="W18" s="964"/>
      <c r="X18" s="964"/>
      <c r="Y18" s="964"/>
      <c r="Z18" s="964"/>
      <c r="AA18" s="964"/>
      <c r="AB18" s="964"/>
      <c r="AC18" s="964"/>
      <c r="AD18" s="964"/>
      <c r="AE18" s="964"/>
      <c r="AF18" s="964"/>
      <c r="AG18" s="964"/>
      <c r="AH18" s="964"/>
      <c r="AI18" s="964"/>
      <c r="AJ18" s="964"/>
      <c r="AK18" s="964"/>
      <c r="AL18" s="964"/>
      <c r="AM18" s="964"/>
      <c r="AN18" s="964"/>
      <c r="AO18" s="4"/>
      <c r="AP18" s="926"/>
      <c r="AQ18" s="926"/>
      <c r="AR18" s="926"/>
      <c r="AS18" s="926"/>
      <c r="AT18" s="926"/>
      <c r="AU18" s="926"/>
      <c r="AV18" s="926"/>
      <c r="AW18" s="926"/>
      <c r="AX18" s="926"/>
      <c r="AY18" s="926"/>
      <c r="AZ18" s="926"/>
    </row>
    <row r="19" spans="1:52" ht="12.75">
      <c r="A19" s="2085"/>
      <c r="B19" s="26" t="s">
        <v>201</v>
      </c>
      <c r="C19" s="120">
        <f aca="true" t="shared" si="2" ref="C19:H19">SUM(C20,C21,C26)</f>
        <v>0</v>
      </c>
      <c r="D19" s="120">
        <f t="shared" si="2"/>
        <v>0</v>
      </c>
      <c r="E19" s="120">
        <f t="shared" si="2"/>
        <v>0</v>
      </c>
      <c r="F19" s="120">
        <f t="shared" si="2"/>
        <v>0</v>
      </c>
      <c r="G19" s="120">
        <f t="shared" si="2"/>
        <v>0</v>
      </c>
      <c r="H19" s="120">
        <f t="shared" si="2"/>
        <v>0</v>
      </c>
      <c r="I19" s="120"/>
      <c r="J19" s="120">
        <f>SUM(J20,J21,J26)</f>
        <v>0.18628345498783455</v>
      </c>
      <c r="K19" s="120">
        <f>SUM(K20,K21,K26)</f>
        <v>0</v>
      </c>
      <c r="L19" s="120">
        <f>SUM(L20,L21,L26)</f>
        <v>1.225</v>
      </c>
      <c r="M19" s="120"/>
      <c r="N19" s="729">
        <f>SUM(N20,N21,N26)</f>
        <v>0.18628345498783455</v>
      </c>
      <c r="O19" s="729">
        <f>SUM(O20,O21,O26)</f>
        <v>0</v>
      </c>
      <c r="P19" s="729">
        <f>SUM(P20,P21,P26)</f>
        <v>1.225</v>
      </c>
      <c r="Q19" s="729"/>
      <c r="R19" s="966">
        <f>SUM(R20,R21,R26)</f>
        <v>0.18696581196581197</v>
      </c>
      <c r="S19" s="966">
        <f>SUM(S20,S21,S26)</f>
        <v>0</v>
      </c>
      <c r="T19" s="966">
        <f>T20</f>
        <v>1.225</v>
      </c>
      <c r="U19" s="966"/>
      <c r="V19" s="966">
        <f>SUM(V20,V21,V26)</f>
        <v>0.1311050061050061</v>
      </c>
      <c r="W19" s="966">
        <f>SUM(W20,W21,W26)</f>
        <v>0</v>
      </c>
      <c r="X19" s="966">
        <f>X20</f>
        <v>0.859</v>
      </c>
      <c r="Y19" s="966"/>
      <c r="Z19" s="966">
        <f>SUM(Z20,Z21,Z26)</f>
        <v>0.055860805860805864</v>
      </c>
      <c r="AA19" s="966">
        <f>SUM(AA20,AA21,AA26)</f>
        <v>0</v>
      </c>
      <c r="AB19" s="966">
        <f>AB20</f>
        <v>0.366</v>
      </c>
      <c r="AC19" s="961"/>
      <c r="AD19" s="961">
        <f>SUM(AD20,AD21,AD26)</f>
        <v>0.18676194041157546</v>
      </c>
      <c r="AE19" s="961">
        <f>SUM(AE20,AE21,AE26)</f>
        <v>0</v>
      </c>
      <c r="AF19" s="961">
        <f>SUM(AF20,AF21,AF26)</f>
        <v>1.225</v>
      </c>
      <c r="AG19" s="961"/>
      <c r="AH19" s="961">
        <f>SUM(AH20,AH21,AH26)</f>
        <v>0.1311050061050061</v>
      </c>
      <c r="AI19" s="961">
        <f>SUM(AI20,AI21,AI26)</f>
        <v>0</v>
      </c>
      <c r="AJ19" s="961">
        <f>SUM(AJ20,AJ21,AJ26)</f>
        <v>0.859</v>
      </c>
      <c r="AK19" s="961"/>
      <c r="AL19" s="961">
        <f>SUM(AL20,AL21,AL26)</f>
        <v>0.055656934306569344</v>
      </c>
      <c r="AM19" s="961">
        <f>SUM(AM20,AM21,AM26)</f>
        <v>0</v>
      </c>
      <c r="AN19" s="961">
        <f>SUM(AN20,AN21,AN26)</f>
        <v>0.366</v>
      </c>
      <c r="AO19" s="4"/>
      <c r="AP19" s="927">
        <f>SUM(AP20,AP21,AP26)</f>
        <v>0.18696581196581197</v>
      </c>
      <c r="AQ19" s="927">
        <f>SUM(AQ20,AQ21,AQ26)</f>
        <v>0</v>
      </c>
      <c r="AR19" s="927">
        <f>AR20</f>
        <v>1.225</v>
      </c>
      <c r="AS19" s="927"/>
      <c r="AT19" s="927">
        <f>SUM(AT20,AT21,AT26)</f>
        <v>0.1311050061050061</v>
      </c>
      <c r="AU19" s="927">
        <f>SUM(AU20,AU21,AU26)</f>
        <v>0</v>
      </c>
      <c r="AV19" s="927">
        <f>AV20</f>
        <v>0.859</v>
      </c>
      <c r="AW19" s="927"/>
      <c r="AX19" s="927">
        <f>SUM(AX20,AX21,AX26)</f>
        <v>0.055860805860805864</v>
      </c>
      <c r="AY19" s="927">
        <f>SUM(AY20,AY21,AY26)</f>
        <v>0</v>
      </c>
      <c r="AZ19" s="927">
        <f>AZ20</f>
        <v>0.366</v>
      </c>
    </row>
    <row r="20" spans="1:54" ht="12.75">
      <c r="A20" s="2085"/>
      <c r="B20" s="6" t="s">
        <v>673</v>
      </c>
      <c r="C20" s="182">
        <v>0</v>
      </c>
      <c r="D20" s="4"/>
      <c r="E20" s="118">
        <v>0</v>
      </c>
      <c r="F20" s="182">
        <f>H20*1000/(274*24)</f>
        <v>0</v>
      </c>
      <c r="G20" s="4"/>
      <c r="H20" s="118">
        <v>0</v>
      </c>
      <c r="I20" s="118"/>
      <c r="J20" s="727">
        <f>L20*1000/(274*24)</f>
        <v>0.18628345498783455</v>
      </c>
      <c r="K20" s="118"/>
      <c r="L20" s="118">
        <v>1.225</v>
      </c>
      <c r="M20" s="118"/>
      <c r="N20" s="730">
        <f>P20*1000/(274*24)</f>
        <v>0.18628345498783455</v>
      </c>
      <c r="O20" s="730"/>
      <c r="P20" s="118">
        <f>L20</f>
        <v>1.225</v>
      </c>
      <c r="Q20" s="730"/>
      <c r="R20" s="967">
        <f>V20+Z20</f>
        <v>0.18696581196581197</v>
      </c>
      <c r="S20" s="967">
        <f>W20+AA20</f>
        <v>0</v>
      </c>
      <c r="T20" s="967">
        <f>X20+AB20</f>
        <v>1.225</v>
      </c>
      <c r="U20" s="967">
        <f>Y20+AC20</f>
        <v>0</v>
      </c>
      <c r="V20" s="967">
        <f>X20*1000/(273*24)</f>
        <v>0.1311050061050061</v>
      </c>
      <c r="W20" s="967"/>
      <c r="X20" s="967">
        <v>0.859</v>
      </c>
      <c r="Y20" s="967"/>
      <c r="Z20" s="967">
        <f>AB20*1000/(273*24)</f>
        <v>0.055860805860805864</v>
      </c>
      <c r="AA20" s="967"/>
      <c r="AB20" s="967">
        <v>0.366</v>
      </c>
      <c r="AC20" s="964"/>
      <c r="AD20" s="964">
        <f>AH20+AL20</f>
        <v>0.18676194041157546</v>
      </c>
      <c r="AE20" s="964">
        <f>AI20+AM20</f>
        <v>0</v>
      </c>
      <c r="AF20" s="964">
        <f>AJ20+AN20</f>
        <v>1.225</v>
      </c>
      <c r="AG20" s="964">
        <f>AK20+AO20</f>
        <v>0</v>
      </c>
      <c r="AH20" s="965">
        <f>AJ20*1000/(273*24)</f>
        <v>0.1311050061050061</v>
      </c>
      <c r="AI20" s="965">
        <v>0</v>
      </c>
      <c r="AJ20" s="964">
        <v>0.859</v>
      </c>
      <c r="AK20" s="964"/>
      <c r="AL20" s="965">
        <f>AN20*1000/(274*24)</f>
        <v>0.055656934306569344</v>
      </c>
      <c r="AM20" s="964"/>
      <c r="AN20" s="964">
        <v>0.366</v>
      </c>
      <c r="AO20" s="4"/>
      <c r="AP20" s="928">
        <f>AT20+AX20</f>
        <v>0.18696581196581197</v>
      </c>
      <c r="AQ20" s="928">
        <f>AU20+AY20</f>
        <v>0</v>
      </c>
      <c r="AR20" s="928">
        <f>AV20+AZ20</f>
        <v>1.225</v>
      </c>
      <c r="AS20" s="928" t="e">
        <f>AW20+#REF!</f>
        <v>#REF!</v>
      </c>
      <c r="AT20" s="928">
        <f>AV20*1000/(273*24)</f>
        <v>0.1311050061050061</v>
      </c>
      <c r="AU20" s="928"/>
      <c r="AV20" s="928">
        <f>0.859</f>
        <v>0.859</v>
      </c>
      <c r="AW20" s="928"/>
      <c r="AX20" s="928">
        <f>AZ20*1000/(273*24)</f>
        <v>0.055860805860805864</v>
      </c>
      <c r="AY20" s="928"/>
      <c r="AZ20" s="928">
        <v>0.366</v>
      </c>
      <c r="BA20" s="745"/>
      <c r="BB20" s="745"/>
    </row>
    <row r="21" spans="1:52" ht="12.75">
      <c r="A21" s="2085"/>
      <c r="B21" s="6" t="s">
        <v>608</v>
      </c>
      <c r="C21" s="118"/>
      <c r="D21" s="4"/>
      <c r="E21" s="118"/>
      <c r="F21" s="118"/>
      <c r="G21" s="4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964"/>
      <c r="S21" s="964"/>
      <c r="T21" s="964"/>
      <c r="U21" s="964"/>
      <c r="V21" s="964"/>
      <c r="W21" s="964"/>
      <c r="X21" s="964"/>
      <c r="Y21" s="964"/>
      <c r="Z21" s="964"/>
      <c r="AA21" s="964"/>
      <c r="AB21" s="964"/>
      <c r="AC21" s="964"/>
      <c r="AD21" s="964"/>
      <c r="AE21" s="964"/>
      <c r="AF21" s="964"/>
      <c r="AG21" s="964"/>
      <c r="AH21" s="964"/>
      <c r="AI21" s="964"/>
      <c r="AJ21" s="964"/>
      <c r="AK21" s="964"/>
      <c r="AL21" s="964"/>
      <c r="AM21" s="964"/>
      <c r="AN21" s="964"/>
      <c r="AO21" s="4"/>
      <c r="AP21" s="926"/>
      <c r="AQ21" s="926"/>
      <c r="AR21" s="926"/>
      <c r="AS21" s="926"/>
      <c r="AT21" s="926"/>
      <c r="AU21" s="926"/>
      <c r="AV21" s="926"/>
      <c r="AW21" s="926"/>
      <c r="AX21" s="926"/>
      <c r="AY21" s="926"/>
      <c r="AZ21" s="926"/>
    </row>
    <row r="22" spans="1:52" ht="12.75">
      <c r="A22" s="2085"/>
      <c r="B22" s="61" t="s">
        <v>674</v>
      </c>
      <c r="C22" s="118"/>
      <c r="D22" s="4"/>
      <c r="E22" s="118"/>
      <c r="F22" s="118"/>
      <c r="G22" s="4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4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</row>
    <row r="23" spans="1:52" ht="12.75">
      <c r="A23" s="2085"/>
      <c r="B23" s="61" t="s">
        <v>675</v>
      </c>
      <c r="C23" s="118"/>
      <c r="D23" s="4"/>
      <c r="E23" s="118"/>
      <c r="F23" s="118"/>
      <c r="G23" s="4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4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</row>
    <row r="24" spans="1:52" ht="12.75">
      <c r="A24" s="2085"/>
      <c r="B24" s="61" t="s">
        <v>676</v>
      </c>
      <c r="C24" s="118"/>
      <c r="D24" s="4"/>
      <c r="E24" s="118"/>
      <c r="F24" s="118"/>
      <c r="G24" s="4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4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</row>
    <row r="25" spans="1:52" ht="12.75">
      <c r="A25" s="2085"/>
      <c r="B25" s="61" t="s">
        <v>1333</v>
      </c>
      <c r="C25" s="118"/>
      <c r="D25" s="4"/>
      <c r="E25" s="118"/>
      <c r="F25" s="118"/>
      <c r="G25" s="4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4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</row>
    <row r="26" spans="1:52" ht="12.75">
      <c r="A26" s="2086"/>
      <c r="B26" s="6" t="s">
        <v>609</v>
      </c>
      <c r="C26" s="118"/>
      <c r="D26" s="4"/>
      <c r="E26" s="118"/>
      <c r="F26" s="118"/>
      <c r="G26" s="4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4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</row>
    <row r="27" ht="13.5" hidden="1" outlineLevel="1">
      <c r="A27" s="113" t="s">
        <v>35</v>
      </c>
    </row>
    <row r="28" spans="1:90" ht="13.5" hidden="1" outlineLevel="1">
      <c r="A28" s="116" t="s">
        <v>637</v>
      </c>
      <c r="B28" s="1956" t="s">
        <v>1644</v>
      </c>
      <c r="C28" s="1956"/>
      <c r="D28" s="1956"/>
      <c r="E28" s="1956"/>
      <c r="F28" s="1956"/>
      <c r="G28" s="1956"/>
      <c r="H28" s="1956"/>
      <c r="I28" s="1956"/>
      <c r="J28" s="1956"/>
      <c r="K28" s="1956"/>
      <c r="L28" s="1956"/>
      <c r="M28" s="1956"/>
      <c r="N28" s="1956"/>
      <c r="O28" s="1956"/>
      <c r="P28" s="1956"/>
      <c r="Q28" s="1956"/>
      <c r="R28" s="1956"/>
      <c r="S28" s="1956"/>
      <c r="T28" s="1956"/>
      <c r="U28" s="1956"/>
      <c r="V28" s="1956"/>
      <c r="W28" s="1956"/>
      <c r="X28" s="1956"/>
      <c r="Y28" s="1956"/>
      <c r="Z28" s="1956"/>
      <c r="AA28" s="1956"/>
      <c r="AB28" s="1956"/>
      <c r="AC28" s="1956"/>
      <c r="AD28" s="1956"/>
      <c r="AE28" s="1956"/>
      <c r="AF28" s="1956"/>
      <c r="AG28" s="1956"/>
      <c r="AH28" s="1956"/>
      <c r="AI28" s="1956"/>
      <c r="AJ28" s="1956"/>
      <c r="AK28" s="1956"/>
      <c r="AL28" s="1956"/>
      <c r="AM28" s="1956"/>
      <c r="AN28" s="1956"/>
      <c r="AO28" s="1956"/>
      <c r="AP28" s="1956"/>
      <c r="AQ28" s="1956"/>
      <c r="AR28" s="1956"/>
      <c r="AS28" s="1956"/>
      <c r="AT28" s="1956"/>
      <c r="AU28" s="1956"/>
      <c r="AV28" s="1956"/>
      <c r="AW28" s="1956"/>
      <c r="AX28" s="1956"/>
      <c r="AY28" s="1956"/>
      <c r="AZ28" s="1956"/>
      <c r="BA28" s="1956"/>
      <c r="BB28" s="1956"/>
      <c r="BC28" s="1956"/>
      <c r="BD28" s="1956"/>
      <c r="BE28" s="1956"/>
      <c r="BF28" s="1956"/>
      <c r="BG28" s="1956"/>
      <c r="BH28" s="1956"/>
      <c r="BI28" s="1956"/>
      <c r="BJ28" s="1956"/>
      <c r="BK28" s="1956"/>
      <c r="BL28" s="1956"/>
      <c r="BM28" s="1956"/>
      <c r="BN28" s="1956"/>
      <c r="BO28" s="1956"/>
      <c r="BP28" s="1956"/>
      <c r="BQ28" s="1956"/>
      <c r="BR28" s="1956"/>
      <c r="BS28" s="1956"/>
      <c r="BT28" s="1956"/>
      <c r="BU28" s="1956"/>
      <c r="BV28" s="1956"/>
      <c r="BW28" s="1956"/>
      <c r="BX28" s="1956"/>
      <c r="BY28" s="1956"/>
      <c r="BZ28" s="1956"/>
      <c r="CA28" s="1956"/>
      <c r="CB28" s="1956"/>
      <c r="CC28" s="1956"/>
      <c r="CD28" s="1956"/>
      <c r="CE28" s="1956"/>
      <c r="CF28" s="1956"/>
      <c r="CG28" s="1956"/>
      <c r="CH28" s="1956"/>
      <c r="CI28" s="1956"/>
      <c r="CJ28" s="1956"/>
      <c r="CK28" s="1956"/>
      <c r="CL28" s="1956"/>
    </row>
    <row r="29" spans="1:90" ht="13.5" hidden="1" outlineLevel="1">
      <c r="A29" s="116" t="s">
        <v>639</v>
      </c>
      <c r="B29" s="114" t="s">
        <v>1645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</row>
    <row r="30" spans="32:40" ht="12.75" collapsed="1">
      <c r="AF30" s="186"/>
      <c r="AJ30" s="186"/>
      <c r="AN30" s="186"/>
    </row>
    <row r="33" spans="1:40" ht="12.75">
      <c r="A33" s="52"/>
      <c r="B33" s="52" t="s">
        <v>1496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</row>
  </sheetData>
  <sheetProtection/>
  <protectedRanges>
    <protectedRange password="CC01" sqref="F1:G1" name="Диапазон1_1"/>
  </protectedRanges>
  <mergeCells count="23">
    <mergeCell ref="A12:A26"/>
    <mergeCell ref="R8:U8"/>
    <mergeCell ref="V8:Y8"/>
    <mergeCell ref="AD8:AG8"/>
    <mergeCell ref="A6:A9"/>
    <mergeCell ref="B6:B9"/>
    <mergeCell ref="F7:I8"/>
    <mergeCell ref="C6:Q6"/>
    <mergeCell ref="C7:E8"/>
    <mergeCell ref="AV1:AX1"/>
    <mergeCell ref="AP8:AS8"/>
    <mergeCell ref="R6:AZ6"/>
    <mergeCell ref="AD7:AO7"/>
    <mergeCell ref="B28:CL28"/>
    <mergeCell ref="J7:M8"/>
    <mergeCell ref="R7:AC7"/>
    <mergeCell ref="N7:Q8"/>
    <mergeCell ref="Z8:AC8"/>
    <mergeCell ref="AL8:AO8"/>
    <mergeCell ref="AH8:AK8"/>
    <mergeCell ref="AT8:AW8"/>
    <mergeCell ref="AX8:AZ8"/>
    <mergeCell ref="AP7:AZ7"/>
  </mergeCells>
  <printOptions/>
  <pageMargins left="0.32" right="0.2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12"/>
  <sheetViews>
    <sheetView zoomScaleSheetLayoutView="100" workbookViewId="0" topLeftCell="A1">
      <pane xSplit="3" ySplit="9" topLeftCell="F132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P140" sqref="P140"/>
    </sheetView>
  </sheetViews>
  <sheetFormatPr defaultColWidth="9.140625" defaultRowHeight="15" outlineLevelRow="1"/>
  <cols>
    <col min="1" max="1" width="6.140625" style="72" customWidth="1"/>
    <col min="2" max="2" width="27.7109375" style="0" customWidth="1"/>
    <col min="3" max="3" width="14.00390625" style="0" customWidth="1"/>
    <col min="4" max="5" width="12.140625" style="0" hidden="1" customWidth="1"/>
    <col min="6" max="6" width="11.28125" style="0" customWidth="1"/>
    <col min="7" max="7" width="10.8515625" style="0" customWidth="1"/>
    <col min="8" max="8" width="10.421875" style="0" customWidth="1"/>
    <col min="9" max="10" width="11.7109375" style="0" customWidth="1"/>
    <col min="11" max="11" width="9.57421875" style="0" customWidth="1"/>
    <col min="12" max="12" width="11.28125" style="0" customWidth="1"/>
    <col min="13" max="13" width="11.8515625" style="0" customWidth="1"/>
    <col min="14" max="14" width="9.421875" style="0" customWidth="1"/>
    <col min="15" max="15" width="11.28125" style="0" customWidth="1"/>
    <col min="16" max="16" width="10.7109375" style="0" customWidth="1"/>
  </cols>
  <sheetData>
    <row r="1" spans="1:15" ht="15">
      <c r="A1" s="52" t="s">
        <v>1152</v>
      </c>
      <c r="B1" s="52"/>
      <c r="C1" s="52"/>
      <c r="D1" s="52"/>
      <c r="E1" s="52"/>
      <c r="J1" s="74"/>
      <c r="L1" s="2092" t="s">
        <v>387</v>
      </c>
      <c r="M1" s="2092"/>
      <c r="N1" s="506"/>
      <c r="O1" s="508"/>
    </row>
    <row r="2" spans="1:5" ht="15">
      <c r="A2" s="52" t="s">
        <v>811</v>
      </c>
      <c r="B2" s="52"/>
      <c r="C2" s="52"/>
      <c r="D2" s="52"/>
      <c r="E2" s="52"/>
    </row>
    <row r="3" ht="15"/>
    <row r="4" spans="1:10" ht="15">
      <c r="A4" s="2095" t="s">
        <v>386</v>
      </c>
      <c r="B4" s="2095"/>
      <c r="C4" s="2095"/>
      <c r="D4" s="2095"/>
      <c r="E4" s="2095"/>
      <c r="F4" s="2095"/>
      <c r="G4" s="2095"/>
      <c r="H4" s="2095"/>
      <c r="I4" s="2095"/>
      <c r="J4" s="2095"/>
    </row>
    <row r="5" ht="15">
      <c r="A5" s="308"/>
    </row>
    <row r="6" spans="1:16" ht="15">
      <c r="A6" s="2093" t="s">
        <v>652</v>
      </c>
      <c r="B6" s="2093" t="s">
        <v>1016</v>
      </c>
      <c r="C6" s="2094" t="s">
        <v>161</v>
      </c>
      <c r="D6" s="2091" t="s">
        <v>1005</v>
      </c>
      <c r="E6" s="2091"/>
      <c r="F6" s="2091"/>
      <c r="G6" s="2032"/>
      <c r="H6" s="2032" t="s">
        <v>1007</v>
      </c>
      <c r="I6" s="2033"/>
      <c r="J6" s="2033"/>
      <c r="K6" s="2033"/>
      <c r="L6" s="2033"/>
      <c r="M6" s="2033"/>
      <c r="N6" s="2033"/>
      <c r="O6" s="2033"/>
      <c r="P6" s="2034"/>
    </row>
    <row r="7" spans="1:16" ht="15" customHeight="1">
      <c r="A7" s="2093"/>
      <c r="B7" s="2093"/>
      <c r="C7" s="2094"/>
      <c r="D7" s="2005" t="s">
        <v>1564</v>
      </c>
      <c r="E7" s="2005" t="s">
        <v>1788</v>
      </c>
      <c r="F7" s="2005" t="s">
        <v>117</v>
      </c>
      <c r="G7" s="2005" t="s">
        <v>123</v>
      </c>
      <c r="H7" s="2003" t="s">
        <v>1537</v>
      </c>
      <c r="I7" s="2003"/>
      <c r="J7" s="2003"/>
      <c r="K7" s="2003" t="s">
        <v>1071</v>
      </c>
      <c r="L7" s="2003"/>
      <c r="M7" s="2003"/>
      <c r="N7" s="2003" t="s">
        <v>122</v>
      </c>
      <c r="O7" s="2003"/>
      <c r="P7" s="2003"/>
    </row>
    <row r="8" spans="1:16" ht="30" customHeight="1">
      <c r="A8" s="2093"/>
      <c r="B8" s="2093"/>
      <c r="C8" s="2094"/>
      <c r="D8" s="2005"/>
      <c r="E8" s="2005"/>
      <c r="F8" s="2005"/>
      <c r="G8" s="2005"/>
      <c r="H8" s="22" t="s">
        <v>142</v>
      </c>
      <c r="I8" s="22" t="s">
        <v>707</v>
      </c>
      <c r="J8" s="22" t="s">
        <v>708</v>
      </c>
      <c r="K8" s="22" t="s">
        <v>142</v>
      </c>
      <c r="L8" s="22" t="s">
        <v>707</v>
      </c>
      <c r="M8" s="22" t="s">
        <v>708</v>
      </c>
      <c r="N8" s="22" t="s">
        <v>142</v>
      </c>
      <c r="O8" s="22" t="s">
        <v>707</v>
      </c>
      <c r="P8" s="22" t="s">
        <v>708</v>
      </c>
    </row>
    <row r="9" spans="1:18" s="794" customFormat="1" ht="15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522">
        <v>7</v>
      </c>
      <c r="H9" s="105">
        <v>8</v>
      </c>
      <c r="I9" s="105">
        <v>9</v>
      </c>
      <c r="J9" s="105">
        <v>10</v>
      </c>
      <c r="K9" s="105">
        <v>8</v>
      </c>
      <c r="L9" s="105">
        <v>9</v>
      </c>
      <c r="M9" s="105">
        <v>10</v>
      </c>
      <c r="N9" s="105">
        <v>8</v>
      </c>
      <c r="O9" s="105">
        <v>9</v>
      </c>
      <c r="P9" s="105">
        <v>10</v>
      </c>
      <c r="Q9"/>
      <c r="R9"/>
    </row>
    <row r="10" spans="1:16" ht="27" hidden="1" outlineLevel="1">
      <c r="A10" s="81">
        <v>1</v>
      </c>
      <c r="B10" s="78" t="s">
        <v>432</v>
      </c>
      <c r="C10" s="34" t="s">
        <v>1746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6" ht="27" hidden="1" outlineLevel="1">
      <c r="A11" s="81">
        <v>2</v>
      </c>
      <c r="B11" s="78" t="s">
        <v>433</v>
      </c>
      <c r="C11" s="34" t="s">
        <v>1746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16" ht="27" hidden="1" outlineLevel="1">
      <c r="A12" s="79" t="s">
        <v>1011</v>
      </c>
      <c r="B12" s="122" t="s">
        <v>434</v>
      </c>
      <c r="C12" s="34" t="s">
        <v>1746</v>
      </c>
      <c r="D12" s="123"/>
      <c r="E12" s="123"/>
      <c r="F12" s="124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ht="27" hidden="1" outlineLevel="1">
      <c r="A13" s="79" t="s">
        <v>185</v>
      </c>
      <c r="B13" s="80" t="s">
        <v>435</v>
      </c>
      <c r="C13" s="34" t="s">
        <v>1307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</row>
    <row r="14" spans="1:16" ht="27" hidden="1" outlineLevel="1">
      <c r="A14" s="79" t="s">
        <v>686</v>
      </c>
      <c r="B14" s="377" t="s">
        <v>143</v>
      </c>
      <c r="C14" s="34" t="s">
        <v>1746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ht="14.25" hidden="1" outlineLevel="1">
      <c r="A15" s="79" t="s">
        <v>388</v>
      </c>
      <c r="B15" s="80" t="s">
        <v>436</v>
      </c>
      <c r="C15" s="34" t="s">
        <v>1747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</row>
    <row r="16" spans="1:16" ht="14.25" hidden="1" outlineLevel="1">
      <c r="A16" s="81" t="s">
        <v>1012</v>
      </c>
      <c r="B16" s="78" t="s">
        <v>437</v>
      </c>
      <c r="C16" s="34" t="s">
        <v>1746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1:16" ht="39.75" hidden="1" outlineLevel="1">
      <c r="A17" s="81" t="s">
        <v>1018</v>
      </c>
      <c r="B17" s="78" t="s">
        <v>1482</v>
      </c>
      <c r="C17" s="34" t="s">
        <v>1746</v>
      </c>
      <c r="D17" s="125"/>
      <c r="E17" s="125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6" ht="14.25" hidden="1" outlineLevel="1">
      <c r="A18" s="79" t="s">
        <v>602</v>
      </c>
      <c r="B18" s="122" t="s">
        <v>1483</v>
      </c>
      <c r="C18" s="34" t="s">
        <v>1307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1:16" ht="27" hidden="1" outlineLevel="1">
      <c r="A19" s="81" t="s">
        <v>1019</v>
      </c>
      <c r="B19" s="78" t="s">
        <v>438</v>
      </c>
      <c r="C19" s="34" t="s">
        <v>1746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6" ht="14.25" hidden="1" outlineLevel="1">
      <c r="A20" s="79" t="s">
        <v>1308</v>
      </c>
      <c r="B20" s="122" t="s">
        <v>1483</v>
      </c>
      <c r="C20" s="34" t="s">
        <v>1307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1:16" ht="27" hidden="1" outlineLevel="1">
      <c r="A21" s="81" t="s">
        <v>1020</v>
      </c>
      <c r="B21" s="78" t="s">
        <v>1484</v>
      </c>
      <c r="C21" s="34" t="s">
        <v>1746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1:16" ht="51" collapsed="1">
      <c r="A22" s="79" t="s">
        <v>1023</v>
      </c>
      <c r="B22" s="82" t="s">
        <v>1485</v>
      </c>
      <c r="C22" s="34" t="s">
        <v>621</v>
      </c>
      <c r="D22" s="127">
        <f>'4.1'!D24</f>
        <v>1.965</v>
      </c>
      <c r="E22" s="127">
        <f>'4.1'!L24</f>
        <v>1.772</v>
      </c>
      <c r="F22" s="127">
        <f>'4.1'!T24</f>
        <v>2.529</v>
      </c>
      <c r="G22" s="968">
        <f>'4.1'!AC18</f>
        <v>2.529</v>
      </c>
      <c r="H22" s="487">
        <f>'4.1'!AK18</f>
        <v>2.529</v>
      </c>
      <c r="I22" s="487">
        <f>'4.1'!AS18</f>
        <v>1.562</v>
      </c>
      <c r="J22" s="487">
        <f>'4.1'!BA18</f>
        <v>0.967</v>
      </c>
      <c r="K22" s="487">
        <f aca="true" t="shared" si="0" ref="K22:P22">H22</f>
        <v>2.529</v>
      </c>
      <c r="L22" s="487">
        <f t="shared" si="0"/>
        <v>1.562</v>
      </c>
      <c r="M22" s="487">
        <f t="shared" si="0"/>
        <v>0.967</v>
      </c>
      <c r="N22" s="487">
        <f t="shared" si="0"/>
        <v>2.529</v>
      </c>
      <c r="O22" s="487">
        <f t="shared" si="0"/>
        <v>1.562</v>
      </c>
      <c r="P22" s="487">
        <f t="shared" si="0"/>
        <v>0.967</v>
      </c>
    </row>
    <row r="23" spans="1:16" ht="25.5">
      <c r="A23" s="79" t="s">
        <v>1024</v>
      </c>
      <c r="B23" s="82" t="s">
        <v>1486</v>
      </c>
      <c r="C23" s="34" t="s">
        <v>621</v>
      </c>
      <c r="D23" s="127">
        <v>0</v>
      </c>
      <c r="E23" s="127">
        <v>0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</row>
    <row r="24" spans="1:16" ht="25.5">
      <c r="A24" s="79" t="s">
        <v>144</v>
      </c>
      <c r="B24" s="122" t="s">
        <v>1642</v>
      </c>
      <c r="C24" s="34" t="s">
        <v>1307</v>
      </c>
      <c r="D24" s="127">
        <v>0</v>
      </c>
      <c r="E24" s="127">
        <v>0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</row>
    <row r="25" spans="1:16" ht="51">
      <c r="A25" s="81" t="s">
        <v>1025</v>
      </c>
      <c r="B25" s="78" t="s">
        <v>1430</v>
      </c>
      <c r="C25" s="129" t="s">
        <v>621</v>
      </c>
      <c r="D25" s="450">
        <f>'4.1'!D24</f>
        <v>1.965</v>
      </c>
      <c r="E25" s="450">
        <f>'4.1'!L24</f>
        <v>1.772</v>
      </c>
      <c r="F25" s="450">
        <f>'4.1'!T24</f>
        <v>2.529</v>
      </c>
      <c r="G25" s="969">
        <f>'4.1'!AC24</f>
        <v>2.529</v>
      </c>
      <c r="H25" s="483">
        <f>'4.1'!AK24</f>
        <v>2.529</v>
      </c>
      <c r="I25" s="483">
        <f>'4.1'!AS24</f>
        <v>1.562</v>
      </c>
      <c r="J25" s="483">
        <f>'4.1'!BA24</f>
        <v>0.967</v>
      </c>
      <c r="K25" s="483">
        <f aca="true" t="shared" si="1" ref="K25:P25">H25</f>
        <v>2.529</v>
      </c>
      <c r="L25" s="483">
        <f t="shared" si="1"/>
        <v>1.562</v>
      </c>
      <c r="M25" s="483">
        <f t="shared" si="1"/>
        <v>0.967</v>
      </c>
      <c r="N25" s="483">
        <f t="shared" si="1"/>
        <v>2.529</v>
      </c>
      <c r="O25" s="483">
        <f t="shared" si="1"/>
        <v>1.562</v>
      </c>
      <c r="P25" s="483">
        <f t="shared" si="1"/>
        <v>0.967</v>
      </c>
    </row>
    <row r="26" spans="1:16" ht="14.25" hidden="1" outlineLevel="1">
      <c r="A26" s="79" t="s">
        <v>1026</v>
      </c>
      <c r="B26" s="82" t="s">
        <v>437</v>
      </c>
      <c r="C26" s="34" t="s">
        <v>1746</v>
      </c>
      <c r="D26" s="127">
        <v>0</v>
      </c>
      <c r="E26" s="127">
        <v>0</v>
      </c>
      <c r="F26" s="127">
        <v>0</v>
      </c>
      <c r="G26" s="970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</row>
    <row r="27" spans="1:16" ht="39.75" hidden="1" outlineLevel="1">
      <c r="A27" s="79" t="s">
        <v>1027</v>
      </c>
      <c r="B27" s="82" t="s">
        <v>1641</v>
      </c>
      <c r="C27" s="34" t="s">
        <v>1748</v>
      </c>
      <c r="D27" s="127">
        <v>0</v>
      </c>
      <c r="E27" s="127">
        <v>0</v>
      </c>
      <c r="F27" s="127">
        <v>0</v>
      </c>
      <c r="G27" s="970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</row>
    <row r="28" spans="1:16" ht="27" hidden="1" outlineLevel="1">
      <c r="A28" s="79" t="s">
        <v>1028</v>
      </c>
      <c r="B28" s="82" t="s">
        <v>1756</v>
      </c>
      <c r="C28" s="34" t="s">
        <v>1749</v>
      </c>
      <c r="D28" s="127">
        <v>0</v>
      </c>
      <c r="E28" s="127">
        <v>0</v>
      </c>
      <c r="F28" s="127">
        <v>0</v>
      </c>
      <c r="G28" s="970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</row>
    <row r="29" spans="1:16" ht="39.75" hidden="1" outlineLevel="1">
      <c r="A29" s="79" t="s">
        <v>1029</v>
      </c>
      <c r="B29" s="82" t="s">
        <v>1485</v>
      </c>
      <c r="C29" s="34" t="s">
        <v>621</v>
      </c>
      <c r="D29" s="127">
        <v>0</v>
      </c>
      <c r="E29" s="127">
        <v>0</v>
      </c>
      <c r="F29" s="127">
        <v>0</v>
      </c>
      <c r="G29" s="970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</row>
    <row r="30" spans="1:16" ht="51" collapsed="1">
      <c r="A30" s="81" t="s">
        <v>1030</v>
      </c>
      <c r="B30" s="78" t="s">
        <v>1431</v>
      </c>
      <c r="C30" s="129" t="s">
        <v>615</v>
      </c>
      <c r="D30" s="451">
        <v>183.17</v>
      </c>
      <c r="E30" s="451">
        <v>181.99</v>
      </c>
      <c r="F30" s="1820">
        <v>181.9</v>
      </c>
      <c r="G30" s="1820">
        <v>181.9</v>
      </c>
      <c r="H30" s="1821">
        <v>181.9</v>
      </c>
      <c r="I30" s="1821">
        <v>181.9</v>
      </c>
      <c r="J30" s="1821">
        <v>181.9</v>
      </c>
      <c r="K30" s="1821">
        <v>181.9</v>
      </c>
      <c r="L30" s="1821">
        <v>181.9</v>
      </c>
      <c r="M30" s="1821">
        <v>181.9</v>
      </c>
      <c r="N30" s="1821">
        <v>181.9</v>
      </c>
      <c r="O30" s="1821">
        <v>181.9</v>
      </c>
      <c r="P30" s="1821">
        <v>181.9</v>
      </c>
    </row>
    <row r="31" spans="1:16" ht="38.25">
      <c r="A31" s="79" t="s">
        <v>1031</v>
      </c>
      <c r="B31" s="82" t="s">
        <v>1526</v>
      </c>
      <c r="C31" s="34" t="s">
        <v>1749</v>
      </c>
      <c r="D31" s="127">
        <f>D22*D30/1000</f>
        <v>0.35992905000000003</v>
      </c>
      <c r="E31" s="127">
        <v>0.30256</v>
      </c>
      <c r="F31" s="127">
        <f aca="true" t="shared" si="2" ref="F31:P31">F22*F30/1000</f>
        <v>0.4600251</v>
      </c>
      <c r="G31" s="968">
        <f t="shared" si="2"/>
        <v>0.4600251</v>
      </c>
      <c r="H31" s="487">
        <f t="shared" si="2"/>
        <v>0.4600251</v>
      </c>
      <c r="I31" s="487">
        <f t="shared" si="2"/>
        <v>0.28412780000000004</v>
      </c>
      <c r="J31" s="487">
        <f t="shared" si="2"/>
        <v>0.1758973</v>
      </c>
      <c r="K31" s="487">
        <f t="shared" si="2"/>
        <v>0.4600251</v>
      </c>
      <c r="L31" s="487">
        <f t="shared" si="2"/>
        <v>0.28412780000000004</v>
      </c>
      <c r="M31" s="487">
        <f t="shared" si="2"/>
        <v>0.1758973</v>
      </c>
      <c r="N31" s="487">
        <f t="shared" si="2"/>
        <v>0.4600251</v>
      </c>
      <c r="O31" s="487">
        <f t="shared" si="2"/>
        <v>0.28412780000000004</v>
      </c>
      <c r="P31" s="487">
        <f t="shared" si="2"/>
        <v>0.1758973</v>
      </c>
    </row>
    <row r="32" spans="1:16" ht="14.25" hidden="1" outlineLevel="1">
      <c r="A32" s="79" t="s">
        <v>1033</v>
      </c>
      <c r="B32" s="82" t="s">
        <v>1640</v>
      </c>
      <c r="C32" s="34" t="s">
        <v>1749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</row>
    <row r="33" spans="1:17" ht="38.25" collapsed="1">
      <c r="A33" s="79" t="s">
        <v>622</v>
      </c>
      <c r="B33" s="82" t="s">
        <v>1527</v>
      </c>
      <c r="C33" s="34" t="s">
        <v>1307</v>
      </c>
      <c r="D33" s="452">
        <v>1</v>
      </c>
      <c r="E33" s="452">
        <v>1</v>
      </c>
      <c r="F33" s="452">
        <v>1</v>
      </c>
      <c r="G33" s="452">
        <v>1</v>
      </c>
      <c r="H33" s="980">
        <v>1</v>
      </c>
      <c r="I33" s="980">
        <v>1</v>
      </c>
      <c r="J33" s="980">
        <v>1</v>
      </c>
      <c r="K33" s="980">
        <v>1</v>
      </c>
      <c r="L33" s="980">
        <v>1</v>
      </c>
      <c r="M33" s="980">
        <v>1</v>
      </c>
      <c r="N33" s="980">
        <v>1</v>
      </c>
      <c r="O33" s="980">
        <v>1</v>
      </c>
      <c r="P33" s="980">
        <v>1</v>
      </c>
      <c r="Q33" s="525"/>
    </row>
    <row r="34" spans="1:17" ht="25.5">
      <c r="A34" s="81" t="s">
        <v>623</v>
      </c>
      <c r="B34" s="78" t="s">
        <v>1528</v>
      </c>
      <c r="C34" s="129" t="s">
        <v>1749</v>
      </c>
      <c r="D34" s="450">
        <f>D31</f>
        <v>0.35992905000000003</v>
      </c>
      <c r="E34" s="450">
        <f aca="true" t="shared" si="3" ref="E34:P34">E31</f>
        <v>0.30256</v>
      </c>
      <c r="F34" s="450">
        <f t="shared" si="3"/>
        <v>0.4600251</v>
      </c>
      <c r="G34" s="969">
        <f t="shared" si="3"/>
        <v>0.4600251</v>
      </c>
      <c r="H34" s="483">
        <f t="shared" si="3"/>
        <v>0.4600251</v>
      </c>
      <c r="I34" s="483">
        <f t="shared" si="3"/>
        <v>0.28412780000000004</v>
      </c>
      <c r="J34" s="483">
        <f t="shared" si="3"/>
        <v>0.1758973</v>
      </c>
      <c r="K34" s="483">
        <f t="shared" si="3"/>
        <v>0.4600251</v>
      </c>
      <c r="L34" s="483">
        <f t="shared" si="3"/>
        <v>0.28412780000000004</v>
      </c>
      <c r="M34" s="483">
        <f t="shared" si="3"/>
        <v>0.1758973</v>
      </c>
      <c r="N34" s="483">
        <f t="shared" si="3"/>
        <v>0.4600251</v>
      </c>
      <c r="O34" s="483">
        <f t="shared" si="3"/>
        <v>0.28412780000000004</v>
      </c>
      <c r="P34" s="483">
        <f t="shared" si="3"/>
        <v>0.1758973</v>
      </c>
      <c r="Q34" s="526"/>
    </row>
    <row r="35" spans="1:17" ht="15">
      <c r="A35" s="79" t="s">
        <v>389</v>
      </c>
      <c r="B35" s="122" t="s">
        <v>1519</v>
      </c>
      <c r="C35" s="34" t="s">
        <v>1749</v>
      </c>
      <c r="D35" s="127">
        <v>0</v>
      </c>
      <c r="E35" s="127">
        <v>0</v>
      </c>
      <c r="F35" s="127"/>
      <c r="G35" s="970"/>
      <c r="H35" s="127"/>
      <c r="I35" s="127"/>
      <c r="J35" s="127"/>
      <c r="K35" s="127"/>
      <c r="L35" s="127"/>
      <c r="M35" s="127"/>
      <c r="N35" s="127"/>
      <c r="O35" s="127"/>
      <c r="P35" s="127"/>
      <c r="Q35" s="527"/>
    </row>
    <row r="36" spans="1:17" ht="15">
      <c r="A36" s="79" t="s">
        <v>390</v>
      </c>
      <c r="B36" s="122" t="s">
        <v>655</v>
      </c>
      <c r="C36" s="34" t="s">
        <v>1749</v>
      </c>
      <c r="D36" s="127">
        <v>0</v>
      </c>
      <c r="E36" s="127">
        <v>0</v>
      </c>
      <c r="F36" s="127"/>
      <c r="G36" s="970"/>
      <c r="H36" s="127"/>
      <c r="I36" s="127"/>
      <c r="J36" s="127"/>
      <c r="K36" s="127"/>
      <c r="L36" s="127"/>
      <c r="M36" s="127"/>
      <c r="N36" s="127"/>
      <c r="O36" s="127"/>
      <c r="P36" s="127"/>
      <c r="Q36" s="527"/>
    </row>
    <row r="37" spans="1:17" ht="15">
      <c r="A37" s="79" t="s">
        <v>391</v>
      </c>
      <c r="B37" s="122" t="s">
        <v>1530</v>
      </c>
      <c r="C37" s="34" t="s">
        <v>1749</v>
      </c>
      <c r="D37" s="127">
        <v>0</v>
      </c>
      <c r="E37" s="127">
        <v>0</v>
      </c>
      <c r="F37" s="127"/>
      <c r="G37" s="970"/>
      <c r="H37" s="127"/>
      <c r="I37" s="127"/>
      <c r="J37" s="127"/>
      <c r="K37" s="127"/>
      <c r="L37" s="127"/>
      <c r="M37" s="127"/>
      <c r="N37" s="127"/>
      <c r="O37" s="127"/>
      <c r="P37" s="127"/>
      <c r="Q37" s="527"/>
    </row>
    <row r="38" spans="1:17" ht="14.25" hidden="1" outlineLevel="1">
      <c r="A38" s="79" t="s">
        <v>392</v>
      </c>
      <c r="B38" s="80" t="s">
        <v>1531</v>
      </c>
      <c r="C38" s="34" t="s">
        <v>1749</v>
      </c>
      <c r="D38" s="127">
        <v>0</v>
      </c>
      <c r="E38" s="127">
        <v>0</v>
      </c>
      <c r="F38" s="127">
        <v>0</v>
      </c>
      <c r="G38" s="970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525"/>
    </row>
    <row r="39" spans="1:16" ht="14.25" hidden="1" outlineLevel="1">
      <c r="A39" s="79" t="s">
        <v>393</v>
      </c>
      <c r="B39" s="80" t="s">
        <v>1533</v>
      </c>
      <c r="C39" s="34" t="s">
        <v>1749</v>
      </c>
      <c r="D39" s="127">
        <v>0</v>
      </c>
      <c r="E39" s="127">
        <v>0</v>
      </c>
      <c r="F39" s="127">
        <v>0</v>
      </c>
      <c r="G39" s="970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</row>
    <row r="40" spans="1:16" ht="14.25" hidden="1" outlineLevel="1">
      <c r="A40" s="79" t="s">
        <v>394</v>
      </c>
      <c r="B40" s="80" t="s">
        <v>1532</v>
      </c>
      <c r="C40" s="34" t="s">
        <v>1749</v>
      </c>
      <c r="D40" s="127">
        <v>0</v>
      </c>
      <c r="E40" s="127">
        <v>0</v>
      </c>
      <c r="F40" s="127">
        <v>0</v>
      </c>
      <c r="G40" s="970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</row>
    <row r="41" spans="1:17" ht="25.5" collapsed="1">
      <c r="A41" s="79" t="s">
        <v>395</v>
      </c>
      <c r="B41" s="122" t="s">
        <v>1643</v>
      </c>
      <c r="C41" s="34" t="s">
        <v>1749</v>
      </c>
      <c r="D41" s="127">
        <f>D34</f>
        <v>0.35992905000000003</v>
      </c>
      <c r="E41" s="127">
        <f aca="true" t="shared" si="4" ref="E41:P41">E34</f>
        <v>0.30256</v>
      </c>
      <c r="F41" s="127">
        <f t="shared" si="4"/>
        <v>0.4600251</v>
      </c>
      <c r="G41" s="971">
        <f t="shared" si="4"/>
        <v>0.4600251</v>
      </c>
      <c r="H41" s="487">
        <f t="shared" si="4"/>
        <v>0.4600251</v>
      </c>
      <c r="I41" s="487">
        <f t="shared" si="4"/>
        <v>0.28412780000000004</v>
      </c>
      <c r="J41" s="487">
        <f t="shared" si="4"/>
        <v>0.1758973</v>
      </c>
      <c r="K41" s="487">
        <f t="shared" si="4"/>
        <v>0.4600251</v>
      </c>
      <c r="L41" s="487">
        <f t="shared" si="4"/>
        <v>0.28412780000000004</v>
      </c>
      <c r="M41" s="487">
        <f t="shared" si="4"/>
        <v>0.1758973</v>
      </c>
      <c r="N41" s="487">
        <f t="shared" si="4"/>
        <v>0.4600251</v>
      </c>
      <c r="O41" s="487">
        <f t="shared" si="4"/>
        <v>0.28412780000000004</v>
      </c>
      <c r="P41" s="487">
        <f t="shared" si="4"/>
        <v>0.1758973</v>
      </c>
      <c r="Q41" s="526"/>
    </row>
    <row r="42" spans="1:17" ht="25.5">
      <c r="A42" s="79" t="s">
        <v>396</v>
      </c>
      <c r="B42" s="122" t="s">
        <v>143</v>
      </c>
      <c r="C42" s="34" t="s">
        <v>1749</v>
      </c>
      <c r="D42" s="127">
        <f>D34</f>
        <v>0.35992905000000003</v>
      </c>
      <c r="E42" s="127">
        <f aca="true" t="shared" si="5" ref="E42:P42">E34</f>
        <v>0.30256</v>
      </c>
      <c r="F42" s="127">
        <f t="shared" si="5"/>
        <v>0.4600251</v>
      </c>
      <c r="G42" s="971">
        <f t="shared" si="5"/>
        <v>0.4600251</v>
      </c>
      <c r="H42" s="487">
        <f t="shared" si="5"/>
        <v>0.4600251</v>
      </c>
      <c r="I42" s="487">
        <f t="shared" si="5"/>
        <v>0.28412780000000004</v>
      </c>
      <c r="J42" s="487">
        <f t="shared" si="5"/>
        <v>0.1758973</v>
      </c>
      <c r="K42" s="487">
        <f t="shared" si="5"/>
        <v>0.4600251</v>
      </c>
      <c r="L42" s="487">
        <f t="shared" si="5"/>
        <v>0.28412780000000004</v>
      </c>
      <c r="M42" s="487">
        <f t="shared" si="5"/>
        <v>0.1758973</v>
      </c>
      <c r="N42" s="487">
        <f t="shared" si="5"/>
        <v>0.4600251</v>
      </c>
      <c r="O42" s="487">
        <f t="shared" si="5"/>
        <v>0.28412780000000004</v>
      </c>
      <c r="P42" s="487">
        <f t="shared" si="5"/>
        <v>0.1758973</v>
      </c>
      <c r="Q42" s="527"/>
    </row>
    <row r="43" spans="1:16" ht="15">
      <c r="A43" s="81" t="s">
        <v>624</v>
      </c>
      <c r="B43" s="78" t="s">
        <v>1535</v>
      </c>
      <c r="C43" s="129" t="s">
        <v>1307</v>
      </c>
      <c r="D43" s="452">
        <v>1</v>
      </c>
      <c r="E43" s="452">
        <v>1</v>
      </c>
      <c r="F43" s="452">
        <v>1</v>
      </c>
      <c r="G43" s="972">
        <v>1</v>
      </c>
      <c r="H43" s="980">
        <v>1</v>
      </c>
      <c r="I43" s="980">
        <v>1</v>
      </c>
      <c r="J43" s="980">
        <v>1</v>
      </c>
      <c r="K43" s="980">
        <v>1</v>
      </c>
      <c r="L43" s="980">
        <v>1</v>
      </c>
      <c r="M43" s="980">
        <v>1</v>
      </c>
      <c r="N43" s="980">
        <v>1</v>
      </c>
      <c r="O43" s="980">
        <v>1</v>
      </c>
      <c r="P43" s="980">
        <v>1</v>
      </c>
    </row>
    <row r="44" spans="1:16" ht="15">
      <c r="A44" s="79" t="s">
        <v>397</v>
      </c>
      <c r="B44" s="122" t="s">
        <v>1519</v>
      </c>
      <c r="C44" s="34" t="s">
        <v>1307</v>
      </c>
      <c r="D44" s="127">
        <v>0</v>
      </c>
      <c r="E44" s="127">
        <v>0</v>
      </c>
      <c r="F44" s="127"/>
      <c r="G44" s="127"/>
      <c r="H44" s="918"/>
      <c r="I44" s="918"/>
      <c r="J44" s="918"/>
      <c r="K44" s="918"/>
      <c r="L44" s="918"/>
      <c r="M44" s="918"/>
      <c r="N44" s="918"/>
      <c r="O44" s="918"/>
      <c r="P44" s="918"/>
    </row>
    <row r="45" spans="1:16" ht="15">
      <c r="A45" s="79" t="s">
        <v>398</v>
      </c>
      <c r="B45" s="122" t="s">
        <v>655</v>
      </c>
      <c r="C45" s="34" t="s">
        <v>1307</v>
      </c>
      <c r="D45" s="127">
        <v>0</v>
      </c>
      <c r="E45" s="127">
        <v>0</v>
      </c>
      <c r="F45" s="127"/>
      <c r="G45" s="127"/>
      <c r="H45" s="918"/>
      <c r="I45" s="918"/>
      <c r="J45" s="918"/>
      <c r="K45" s="918"/>
      <c r="L45" s="918"/>
      <c r="M45" s="918"/>
      <c r="N45" s="918"/>
      <c r="O45" s="918"/>
      <c r="P45" s="918"/>
    </row>
    <row r="46" spans="1:16" ht="15">
      <c r="A46" s="79" t="s">
        <v>399</v>
      </c>
      <c r="B46" s="122" t="s">
        <v>1530</v>
      </c>
      <c r="C46" s="34" t="s">
        <v>1307</v>
      </c>
      <c r="D46" s="127">
        <v>0</v>
      </c>
      <c r="E46" s="127">
        <v>0</v>
      </c>
      <c r="F46" s="127"/>
      <c r="G46" s="127"/>
      <c r="H46" s="918"/>
      <c r="I46" s="918"/>
      <c r="J46" s="918"/>
      <c r="K46" s="918"/>
      <c r="L46" s="918"/>
      <c r="M46" s="918"/>
      <c r="N46" s="918"/>
      <c r="O46" s="918"/>
      <c r="P46" s="918"/>
    </row>
    <row r="47" spans="1:16" ht="14.25" hidden="1" outlineLevel="1">
      <c r="A47" s="79" t="s">
        <v>400</v>
      </c>
      <c r="B47" s="80" t="s">
        <v>1531</v>
      </c>
      <c r="C47" s="34" t="s">
        <v>1307</v>
      </c>
      <c r="D47" s="127">
        <v>0</v>
      </c>
      <c r="E47" s="127">
        <v>0</v>
      </c>
      <c r="F47" s="127">
        <v>0</v>
      </c>
      <c r="G47" s="127">
        <v>0</v>
      </c>
      <c r="H47" s="918">
        <v>0</v>
      </c>
      <c r="I47" s="918">
        <v>0</v>
      </c>
      <c r="J47" s="918">
        <v>0</v>
      </c>
      <c r="K47" s="918">
        <v>0</v>
      </c>
      <c r="L47" s="918">
        <v>0</v>
      </c>
      <c r="M47" s="918">
        <v>0</v>
      </c>
      <c r="N47" s="918">
        <v>0</v>
      </c>
      <c r="O47" s="918">
        <v>0</v>
      </c>
      <c r="P47" s="918">
        <v>0</v>
      </c>
    </row>
    <row r="48" spans="1:17" ht="14.25" hidden="1" outlineLevel="1">
      <c r="A48" s="79" t="s">
        <v>1386</v>
      </c>
      <c r="B48" s="80" t="s">
        <v>1533</v>
      </c>
      <c r="C48" s="34" t="s">
        <v>1307</v>
      </c>
      <c r="D48" s="127">
        <v>0</v>
      </c>
      <c r="E48" s="127">
        <v>0</v>
      </c>
      <c r="F48" s="127">
        <v>0</v>
      </c>
      <c r="G48" s="127">
        <v>0</v>
      </c>
      <c r="H48" s="918">
        <v>0</v>
      </c>
      <c r="I48" s="918">
        <v>0</v>
      </c>
      <c r="J48" s="918">
        <v>0</v>
      </c>
      <c r="K48" s="918">
        <v>0</v>
      </c>
      <c r="L48" s="918">
        <v>0</v>
      </c>
      <c r="M48" s="918">
        <v>0</v>
      </c>
      <c r="N48" s="918">
        <v>0</v>
      </c>
      <c r="O48" s="918">
        <v>0</v>
      </c>
      <c r="P48" s="918">
        <v>0</v>
      </c>
      <c r="Q48" s="525" t="s">
        <v>1057</v>
      </c>
    </row>
    <row r="49" spans="1:17" ht="14.25" hidden="1" outlineLevel="1">
      <c r="A49" s="79" t="s">
        <v>1387</v>
      </c>
      <c r="B49" s="80" t="s">
        <v>1532</v>
      </c>
      <c r="C49" s="34" t="s">
        <v>1307</v>
      </c>
      <c r="D49" s="127">
        <v>0</v>
      </c>
      <c r="E49" s="127">
        <v>0</v>
      </c>
      <c r="F49" s="127">
        <v>0</v>
      </c>
      <c r="G49" s="127">
        <v>0</v>
      </c>
      <c r="H49" s="918">
        <v>0</v>
      </c>
      <c r="I49" s="918">
        <v>0</v>
      </c>
      <c r="J49" s="918">
        <v>0</v>
      </c>
      <c r="K49" s="918">
        <v>0</v>
      </c>
      <c r="L49" s="918">
        <v>0</v>
      </c>
      <c r="M49" s="918">
        <v>0</v>
      </c>
      <c r="N49" s="918">
        <v>0</v>
      </c>
      <c r="O49" s="918">
        <v>0</v>
      </c>
      <c r="P49" s="918">
        <v>0</v>
      </c>
      <c r="Q49" s="527" t="s">
        <v>1058</v>
      </c>
    </row>
    <row r="50" spans="1:17" ht="25.5" collapsed="1">
      <c r="A50" s="79" t="s">
        <v>1388</v>
      </c>
      <c r="B50" s="122" t="s">
        <v>1643</v>
      </c>
      <c r="C50" s="34" t="s">
        <v>1307</v>
      </c>
      <c r="D50" s="128">
        <v>1</v>
      </c>
      <c r="E50" s="128">
        <v>1</v>
      </c>
      <c r="F50" s="128">
        <v>1</v>
      </c>
      <c r="G50" s="128">
        <v>1</v>
      </c>
      <c r="H50" s="981">
        <v>1</v>
      </c>
      <c r="I50" s="981">
        <v>1</v>
      </c>
      <c r="J50" s="981">
        <v>1</v>
      </c>
      <c r="K50" s="981">
        <v>1</v>
      </c>
      <c r="L50" s="981">
        <v>1</v>
      </c>
      <c r="M50" s="981">
        <v>1</v>
      </c>
      <c r="N50" s="981">
        <v>1</v>
      </c>
      <c r="O50" s="981">
        <v>1</v>
      </c>
      <c r="P50" s="981">
        <v>1</v>
      </c>
      <c r="Q50" s="527"/>
    </row>
    <row r="51" spans="1:17" ht="25.5">
      <c r="A51" s="81" t="s">
        <v>625</v>
      </c>
      <c r="B51" s="78" t="s">
        <v>651</v>
      </c>
      <c r="C51" s="34"/>
      <c r="D51" s="450">
        <v>1.457</v>
      </c>
      <c r="E51" s="450">
        <v>1.457</v>
      </c>
      <c r="F51" s="450">
        <v>1.457</v>
      </c>
      <c r="G51" s="450">
        <v>1.457</v>
      </c>
      <c r="H51" s="917">
        <v>1.457</v>
      </c>
      <c r="I51" s="917">
        <v>1.457</v>
      </c>
      <c r="J51" s="917">
        <v>1.457</v>
      </c>
      <c r="K51" s="917">
        <v>1.457</v>
      </c>
      <c r="L51" s="917">
        <v>1.457</v>
      </c>
      <c r="M51" s="917">
        <v>1.457</v>
      </c>
      <c r="N51" s="917">
        <v>1.457</v>
      </c>
      <c r="O51" s="917">
        <v>1.457</v>
      </c>
      <c r="P51" s="917">
        <v>1.457</v>
      </c>
      <c r="Q51" s="527"/>
    </row>
    <row r="52" spans="1:16" ht="15">
      <c r="A52" s="79" t="s">
        <v>649</v>
      </c>
      <c r="B52" s="122" t="s">
        <v>1519</v>
      </c>
      <c r="C52" s="34"/>
      <c r="D52" s="127">
        <v>0</v>
      </c>
      <c r="E52" s="127">
        <v>0</v>
      </c>
      <c r="F52" s="127"/>
      <c r="G52" s="970"/>
      <c r="H52" s="127"/>
      <c r="I52" s="127"/>
      <c r="J52" s="127"/>
      <c r="K52" s="127"/>
      <c r="L52" s="127"/>
      <c r="M52" s="127"/>
      <c r="N52" s="127"/>
      <c r="O52" s="127"/>
      <c r="P52" s="127"/>
    </row>
    <row r="53" spans="1:16" ht="15">
      <c r="A53" s="79" t="s">
        <v>1389</v>
      </c>
      <c r="B53" s="122" t="s">
        <v>655</v>
      </c>
      <c r="C53" s="34"/>
      <c r="D53" s="127">
        <v>0</v>
      </c>
      <c r="E53" s="127">
        <v>0</v>
      </c>
      <c r="F53" s="127"/>
      <c r="G53" s="970"/>
      <c r="H53" s="127"/>
      <c r="I53" s="127"/>
      <c r="J53" s="127"/>
      <c r="K53" s="127"/>
      <c r="L53" s="127"/>
      <c r="M53" s="127"/>
      <c r="N53" s="127"/>
      <c r="O53" s="127"/>
      <c r="P53" s="127"/>
    </row>
    <row r="54" spans="1:16" ht="15">
      <c r="A54" s="79" t="s">
        <v>1390</v>
      </c>
      <c r="B54" s="122" t="s">
        <v>1530</v>
      </c>
      <c r="C54" s="34"/>
      <c r="D54" s="127">
        <v>0</v>
      </c>
      <c r="E54" s="127">
        <v>0</v>
      </c>
      <c r="F54" s="127"/>
      <c r="G54" s="970"/>
      <c r="H54" s="127"/>
      <c r="I54" s="127"/>
      <c r="J54" s="127"/>
      <c r="K54" s="127"/>
      <c r="L54" s="127"/>
      <c r="M54" s="127"/>
      <c r="N54" s="127"/>
      <c r="O54" s="127"/>
      <c r="P54" s="127"/>
    </row>
    <row r="55" spans="1:17" ht="14.25" hidden="1" outlineLevel="1">
      <c r="A55" s="79" t="s">
        <v>269</v>
      </c>
      <c r="B55" s="80" t="s">
        <v>1531</v>
      </c>
      <c r="C55" s="34"/>
      <c r="D55" s="127">
        <v>0</v>
      </c>
      <c r="E55" s="127">
        <v>0</v>
      </c>
      <c r="F55" s="127">
        <v>0</v>
      </c>
      <c r="G55" s="970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127">
        <v>0</v>
      </c>
      <c r="Q55" s="527" t="s">
        <v>1059</v>
      </c>
    </row>
    <row r="56" spans="1:17" ht="14.25" hidden="1" outlineLevel="1">
      <c r="A56" s="79" t="s">
        <v>270</v>
      </c>
      <c r="B56" s="80" t="s">
        <v>1533</v>
      </c>
      <c r="C56" s="34"/>
      <c r="D56" s="127">
        <v>0</v>
      </c>
      <c r="E56" s="127">
        <v>0</v>
      </c>
      <c r="F56" s="127">
        <v>0</v>
      </c>
      <c r="G56" s="970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527" t="s">
        <v>1060</v>
      </c>
    </row>
    <row r="57" spans="1:17" ht="14.25" hidden="1" outlineLevel="1">
      <c r="A57" s="79" t="s">
        <v>271</v>
      </c>
      <c r="B57" s="80" t="s">
        <v>1532</v>
      </c>
      <c r="C57" s="34"/>
      <c r="D57" s="127">
        <v>0</v>
      </c>
      <c r="E57" s="127">
        <v>0</v>
      </c>
      <c r="F57" s="127">
        <v>0</v>
      </c>
      <c r="G57" s="970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Q57" s="527" t="s">
        <v>1061</v>
      </c>
    </row>
    <row r="58" spans="1:17" ht="25.5" collapsed="1">
      <c r="A58" s="79" t="s">
        <v>272</v>
      </c>
      <c r="B58" s="122" t="s">
        <v>1643</v>
      </c>
      <c r="C58" s="34"/>
      <c r="D58" s="127">
        <v>1.457</v>
      </c>
      <c r="E58" s="127">
        <v>1.457</v>
      </c>
      <c r="F58" s="127">
        <v>1.457</v>
      </c>
      <c r="G58" s="971">
        <v>1.457</v>
      </c>
      <c r="H58" s="982">
        <v>1.457</v>
      </c>
      <c r="I58" s="982">
        <v>1.457</v>
      </c>
      <c r="J58" s="982">
        <v>1.457</v>
      </c>
      <c r="K58" s="982">
        <v>1.457</v>
      </c>
      <c r="L58" s="982">
        <v>1.457</v>
      </c>
      <c r="M58" s="982">
        <v>1.457</v>
      </c>
      <c r="N58" s="982">
        <v>1.457</v>
      </c>
      <c r="O58" s="982">
        <v>1.457</v>
      </c>
      <c r="P58" s="982">
        <v>1.457</v>
      </c>
      <c r="Q58" s="527"/>
    </row>
    <row r="59" spans="1:16" ht="25.5">
      <c r="A59" s="81" t="s">
        <v>648</v>
      </c>
      <c r="B59" s="78" t="s">
        <v>381</v>
      </c>
      <c r="C59" s="129"/>
      <c r="D59" s="450">
        <f>D66</f>
        <v>0.2470343514070007</v>
      </c>
      <c r="E59" s="450">
        <f aca="true" t="shared" si="6" ref="E59:P59">E66</f>
        <v>0.20766</v>
      </c>
      <c r="F59" s="450">
        <f t="shared" si="6"/>
        <v>0.3157344543582704</v>
      </c>
      <c r="G59" s="973">
        <f t="shared" si="6"/>
        <v>0.3157344543582704</v>
      </c>
      <c r="H59" s="983">
        <f t="shared" si="6"/>
        <v>0.3157344543582704</v>
      </c>
      <c r="I59" s="983">
        <f t="shared" si="6"/>
        <v>0.19500878517501719</v>
      </c>
      <c r="J59" s="983">
        <f t="shared" si="6"/>
        <v>0.12072566918325325</v>
      </c>
      <c r="K59" s="983">
        <f t="shared" si="6"/>
        <v>0.3157344543582704</v>
      </c>
      <c r="L59" s="983">
        <f t="shared" si="6"/>
        <v>0.19500878517501719</v>
      </c>
      <c r="M59" s="983">
        <f t="shared" si="6"/>
        <v>0.12072566918325325</v>
      </c>
      <c r="N59" s="983">
        <f t="shared" si="6"/>
        <v>0.3157344543582704</v>
      </c>
      <c r="O59" s="983">
        <f t="shared" si="6"/>
        <v>0.19500878517501719</v>
      </c>
      <c r="P59" s="983">
        <f t="shared" si="6"/>
        <v>0.12072566918325325</v>
      </c>
    </row>
    <row r="60" spans="1:16" ht="15">
      <c r="A60" s="79" t="s">
        <v>653</v>
      </c>
      <c r="B60" s="122" t="s">
        <v>1519</v>
      </c>
      <c r="C60" s="34" t="s">
        <v>1751</v>
      </c>
      <c r="D60" s="127">
        <v>0</v>
      </c>
      <c r="E60" s="127">
        <v>0</v>
      </c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</row>
    <row r="61" spans="1:16" ht="15">
      <c r="A61" s="79" t="s">
        <v>654</v>
      </c>
      <c r="B61" s="122" t="s">
        <v>655</v>
      </c>
      <c r="C61" s="34" t="s">
        <v>1751</v>
      </c>
      <c r="D61" s="127">
        <v>0</v>
      </c>
      <c r="E61" s="127">
        <v>0</v>
      </c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  <row r="62" spans="1:16" ht="15">
      <c r="A62" s="79" t="s">
        <v>273</v>
      </c>
      <c r="B62" s="122" t="s">
        <v>1530</v>
      </c>
      <c r="C62" s="34" t="s">
        <v>1750</v>
      </c>
      <c r="D62" s="127">
        <v>0</v>
      </c>
      <c r="E62" s="127">
        <v>0</v>
      </c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</row>
    <row r="63" spans="1:16" ht="14.25" hidden="1" outlineLevel="1">
      <c r="A63" s="79" t="s">
        <v>274</v>
      </c>
      <c r="B63" s="80" t="s">
        <v>1531</v>
      </c>
      <c r="C63" s="34" t="s">
        <v>1750</v>
      </c>
      <c r="D63" s="127">
        <v>0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</row>
    <row r="64" spans="1:16" ht="14.25" hidden="1" outlineLevel="1">
      <c r="A64" s="79" t="s">
        <v>275</v>
      </c>
      <c r="B64" s="80" t="s">
        <v>1533</v>
      </c>
      <c r="C64" s="34" t="s">
        <v>1750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127">
        <v>0</v>
      </c>
    </row>
    <row r="65" spans="1:16" ht="14.25" hidden="1" outlineLevel="1">
      <c r="A65" s="79" t="s">
        <v>276</v>
      </c>
      <c r="B65" s="80" t="s">
        <v>1532</v>
      </c>
      <c r="C65" s="34" t="s">
        <v>1750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127">
        <v>0</v>
      </c>
    </row>
    <row r="66" spans="1:16" ht="26.25" collapsed="1" thickBot="1">
      <c r="A66" s="500" t="s">
        <v>277</v>
      </c>
      <c r="B66" s="501" t="s">
        <v>1643</v>
      </c>
      <c r="C66" s="502" t="s">
        <v>1751</v>
      </c>
      <c r="D66" s="503">
        <f>D41/D58</f>
        <v>0.2470343514070007</v>
      </c>
      <c r="E66" s="503">
        <v>0.20766</v>
      </c>
      <c r="F66" s="503">
        <f aca="true" t="shared" si="7" ref="F66:P66">F41/F58</f>
        <v>0.3157344543582704</v>
      </c>
      <c r="G66" s="974">
        <f t="shared" si="7"/>
        <v>0.3157344543582704</v>
      </c>
      <c r="H66" s="984">
        <f t="shared" si="7"/>
        <v>0.3157344543582704</v>
      </c>
      <c r="I66" s="984">
        <f t="shared" si="7"/>
        <v>0.19500878517501719</v>
      </c>
      <c r="J66" s="984">
        <f t="shared" si="7"/>
        <v>0.12072566918325325</v>
      </c>
      <c r="K66" s="984">
        <f t="shared" si="7"/>
        <v>0.3157344543582704</v>
      </c>
      <c r="L66" s="984">
        <f t="shared" si="7"/>
        <v>0.19500878517501719</v>
      </c>
      <c r="M66" s="984">
        <f t="shared" si="7"/>
        <v>0.12072566918325325</v>
      </c>
      <c r="N66" s="984">
        <f t="shared" si="7"/>
        <v>0.3157344543582704</v>
      </c>
      <c r="O66" s="984">
        <f t="shared" si="7"/>
        <v>0.19500878517501719</v>
      </c>
      <c r="P66" s="984">
        <f t="shared" si="7"/>
        <v>0.12072566918325325</v>
      </c>
    </row>
    <row r="67" spans="1:16" ht="25.5">
      <c r="A67" s="497" t="s">
        <v>650</v>
      </c>
      <c r="B67" s="498" t="s">
        <v>1536</v>
      </c>
      <c r="C67" s="499"/>
      <c r="D67" s="533">
        <f>D74</f>
        <v>1.03</v>
      </c>
      <c r="E67" s="533">
        <f aca="true" t="shared" si="8" ref="E67:P67">E74</f>
        <v>0</v>
      </c>
      <c r="F67" s="533">
        <f t="shared" si="8"/>
        <v>1</v>
      </c>
      <c r="G67" s="533">
        <f t="shared" si="8"/>
        <v>1.033</v>
      </c>
      <c r="H67" s="985">
        <f t="shared" si="8"/>
        <v>1.061</v>
      </c>
      <c r="I67" s="985">
        <f t="shared" si="8"/>
        <v>1.061</v>
      </c>
      <c r="J67" s="985">
        <f t="shared" si="8"/>
        <v>1.061</v>
      </c>
      <c r="K67" s="985">
        <f t="shared" si="8"/>
        <v>1.062</v>
      </c>
      <c r="L67" s="985">
        <f t="shared" si="8"/>
        <v>1.062</v>
      </c>
      <c r="M67" s="985">
        <f t="shared" si="8"/>
        <v>1.062</v>
      </c>
      <c r="N67" s="985">
        <f t="shared" si="8"/>
        <v>1.062</v>
      </c>
      <c r="O67" s="985">
        <f t="shared" si="8"/>
        <v>1.062</v>
      </c>
      <c r="P67" s="985">
        <f t="shared" si="8"/>
        <v>1.062</v>
      </c>
    </row>
    <row r="68" spans="1:16" ht="15">
      <c r="A68" s="79" t="s">
        <v>278</v>
      </c>
      <c r="B68" s="122" t="s">
        <v>1519</v>
      </c>
      <c r="C68" s="34" t="s">
        <v>1307</v>
      </c>
      <c r="D68" s="127">
        <v>0</v>
      </c>
      <c r="E68" s="127">
        <v>0</v>
      </c>
      <c r="F68" s="127"/>
      <c r="G68" s="970"/>
      <c r="H68" s="127"/>
      <c r="I68" s="127"/>
      <c r="J68" s="127"/>
      <c r="K68" s="127"/>
      <c r="L68" s="127"/>
      <c r="M68" s="127"/>
      <c r="N68" s="127"/>
      <c r="O68" s="127"/>
      <c r="P68" s="127"/>
    </row>
    <row r="69" spans="1:16" ht="15">
      <c r="A69" s="79" t="s">
        <v>279</v>
      </c>
      <c r="B69" s="122" t="s">
        <v>655</v>
      </c>
      <c r="C69" s="34" t="s">
        <v>1307</v>
      </c>
      <c r="D69" s="127">
        <v>0</v>
      </c>
      <c r="E69" s="127">
        <v>0</v>
      </c>
      <c r="F69" s="127"/>
      <c r="G69" s="970"/>
      <c r="H69" s="127"/>
      <c r="I69" s="127"/>
      <c r="J69" s="127"/>
      <c r="K69" s="127"/>
      <c r="L69" s="127"/>
      <c r="M69" s="127"/>
      <c r="N69" s="127"/>
      <c r="O69" s="127"/>
      <c r="P69" s="127"/>
    </row>
    <row r="70" spans="1:16" ht="15">
      <c r="A70" s="79" t="s">
        <v>280</v>
      </c>
      <c r="B70" s="122" t="s">
        <v>1530</v>
      </c>
      <c r="C70" s="34" t="s">
        <v>1307</v>
      </c>
      <c r="D70" s="127">
        <v>0</v>
      </c>
      <c r="E70" s="127">
        <v>0</v>
      </c>
      <c r="F70" s="127"/>
      <c r="G70" s="970"/>
      <c r="H70" s="127"/>
      <c r="I70" s="127"/>
      <c r="J70" s="127"/>
      <c r="K70" s="127"/>
      <c r="L70" s="127"/>
      <c r="M70" s="127"/>
      <c r="N70" s="127"/>
      <c r="O70" s="127"/>
      <c r="P70" s="127"/>
    </row>
    <row r="71" spans="1:16" ht="14.25" hidden="1" outlineLevel="1">
      <c r="A71" s="79" t="s">
        <v>281</v>
      </c>
      <c r="B71" s="80" t="s">
        <v>1531</v>
      </c>
      <c r="C71" s="34" t="s">
        <v>1307</v>
      </c>
      <c r="D71" s="127">
        <v>0</v>
      </c>
      <c r="E71" s="127">
        <v>0</v>
      </c>
      <c r="F71" s="127">
        <v>0</v>
      </c>
      <c r="G71" s="970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</row>
    <row r="72" spans="1:16" ht="14.25" hidden="1" outlineLevel="1">
      <c r="A72" s="79" t="s">
        <v>282</v>
      </c>
      <c r="B72" s="80" t="s">
        <v>1533</v>
      </c>
      <c r="C72" s="34" t="s">
        <v>1307</v>
      </c>
      <c r="D72" s="127">
        <v>0</v>
      </c>
      <c r="E72" s="127">
        <v>0</v>
      </c>
      <c r="F72" s="127">
        <v>0</v>
      </c>
      <c r="G72" s="970">
        <v>0</v>
      </c>
      <c r="H72" s="127">
        <v>0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</row>
    <row r="73" spans="1:16" ht="14.25" hidden="1" outlineLevel="1">
      <c r="A73" s="79" t="s">
        <v>283</v>
      </c>
      <c r="B73" s="80" t="s">
        <v>1532</v>
      </c>
      <c r="C73" s="34" t="s">
        <v>1307</v>
      </c>
      <c r="D73" s="127">
        <v>0</v>
      </c>
      <c r="E73" s="127">
        <v>0</v>
      </c>
      <c r="F73" s="127">
        <v>0</v>
      </c>
      <c r="G73" s="970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v>0</v>
      </c>
      <c r="M73" s="127">
        <v>0</v>
      </c>
      <c r="N73" s="127">
        <v>0</v>
      </c>
      <c r="O73" s="127">
        <v>0</v>
      </c>
      <c r="P73" s="127">
        <v>0</v>
      </c>
    </row>
    <row r="74" spans="1:16" ht="25.5" collapsed="1">
      <c r="A74" s="79" t="s">
        <v>284</v>
      </c>
      <c r="B74" s="122" t="s">
        <v>1643</v>
      </c>
      <c r="C74" s="34" t="s">
        <v>1307</v>
      </c>
      <c r="D74" s="128">
        <v>1.03</v>
      </c>
      <c r="E74" s="128">
        <v>0</v>
      </c>
      <c r="F74" s="128">
        <v>1</v>
      </c>
      <c r="G74" s="975">
        <v>1.033</v>
      </c>
      <c r="H74" s="981">
        <v>1.061</v>
      </c>
      <c r="I74" s="981">
        <v>1.061</v>
      </c>
      <c r="J74" s="981">
        <v>1.061</v>
      </c>
      <c r="K74" s="981">
        <v>1.062</v>
      </c>
      <c r="L74" s="981">
        <v>1.062</v>
      </c>
      <c r="M74" s="981">
        <v>1.062</v>
      </c>
      <c r="N74" s="981">
        <v>1.062</v>
      </c>
      <c r="O74" s="981">
        <v>1.062</v>
      </c>
      <c r="P74" s="981">
        <v>1.062</v>
      </c>
    </row>
    <row r="75" spans="1:16" ht="25.5">
      <c r="A75" s="81">
        <v>23</v>
      </c>
      <c r="B75" s="78" t="s">
        <v>260</v>
      </c>
      <c r="C75" s="34"/>
      <c r="D75" s="451">
        <f>D82</f>
        <v>39964</v>
      </c>
      <c r="E75" s="451">
        <f aca="true" t="shared" si="9" ref="E75:P75">E82</f>
        <v>39616.56</v>
      </c>
      <c r="F75" s="451">
        <f t="shared" si="9"/>
        <v>41163</v>
      </c>
      <c r="G75" s="976">
        <f t="shared" si="9"/>
        <v>41163</v>
      </c>
      <c r="H75" s="986">
        <f t="shared" si="9"/>
        <v>43673.943</v>
      </c>
      <c r="I75" s="986">
        <f t="shared" si="9"/>
        <v>41991</v>
      </c>
      <c r="J75" s="986">
        <f t="shared" si="9"/>
        <v>44552.451</v>
      </c>
      <c r="K75" s="986">
        <f t="shared" si="9"/>
        <v>46381.727466000004</v>
      </c>
      <c r="L75" s="986">
        <f t="shared" si="9"/>
        <v>44552.451</v>
      </c>
      <c r="M75" s="986">
        <f t="shared" si="9"/>
        <v>47314.702962</v>
      </c>
      <c r="N75" s="986">
        <f t="shared" si="9"/>
        <v>49257.39456889201</v>
      </c>
      <c r="O75" s="986">
        <f t="shared" si="9"/>
        <v>47314.702962</v>
      </c>
      <c r="P75" s="986">
        <f t="shared" si="9"/>
        <v>50248.214545644005</v>
      </c>
    </row>
    <row r="76" spans="1:17" ht="15">
      <c r="A76" s="79" t="s">
        <v>285</v>
      </c>
      <c r="B76" s="122" t="s">
        <v>1519</v>
      </c>
      <c r="C76" s="34" t="s">
        <v>1752</v>
      </c>
      <c r="D76" s="453">
        <v>0</v>
      </c>
      <c r="E76" s="453">
        <v>0</v>
      </c>
      <c r="F76" s="453"/>
      <c r="G76" s="453"/>
      <c r="H76" s="987"/>
      <c r="I76" s="987"/>
      <c r="J76" s="987"/>
      <c r="K76" s="987"/>
      <c r="L76" s="987"/>
      <c r="M76" s="987"/>
      <c r="N76" s="987"/>
      <c r="O76" s="987"/>
      <c r="P76" s="987"/>
      <c r="Q76" s="527" t="s">
        <v>1154</v>
      </c>
    </row>
    <row r="77" spans="1:17" ht="15">
      <c r="A77" s="79" t="s">
        <v>286</v>
      </c>
      <c r="B77" s="122" t="s">
        <v>655</v>
      </c>
      <c r="C77" s="34" t="s">
        <v>1752</v>
      </c>
      <c r="D77" s="453">
        <v>0</v>
      </c>
      <c r="E77" s="453">
        <v>0</v>
      </c>
      <c r="F77" s="453"/>
      <c r="G77" s="453"/>
      <c r="H77" s="987"/>
      <c r="I77" s="987"/>
      <c r="J77" s="987"/>
      <c r="K77" s="987"/>
      <c r="L77" s="987"/>
      <c r="M77" s="987"/>
      <c r="N77" s="987"/>
      <c r="O77" s="987"/>
      <c r="P77" s="987"/>
      <c r="Q77" s="527" t="s">
        <v>1155</v>
      </c>
    </row>
    <row r="78" spans="1:17" ht="15">
      <c r="A78" s="79" t="s">
        <v>287</v>
      </c>
      <c r="B78" s="122" t="s">
        <v>1530</v>
      </c>
      <c r="C78" s="34" t="s">
        <v>1753</v>
      </c>
      <c r="D78" s="453">
        <v>0</v>
      </c>
      <c r="E78" s="453">
        <v>0</v>
      </c>
      <c r="F78" s="453"/>
      <c r="G78" s="453"/>
      <c r="H78" s="987"/>
      <c r="I78" s="987"/>
      <c r="J78" s="987"/>
      <c r="K78" s="987"/>
      <c r="L78" s="987"/>
      <c r="M78" s="987"/>
      <c r="N78" s="987"/>
      <c r="O78" s="987"/>
      <c r="P78" s="987"/>
      <c r="Q78" s="525"/>
    </row>
    <row r="79" spans="1:16" ht="14.25" hidden="1" outlineLevel="1">
      <c r="A79" s="79" t="s">
        <v>288</v>
      </c>
      <c r="B79" s="80" t="s">
        <v>1531</v>
      </c>
      <c r="C79" s="34" t="s">
        <v>1753</v>
      </c>
      <c r="D79" s="453">
        <v>0</v>
      </c>
      <c r="E79" s="453">
        <v>0</v>
      </c>
      <c r="F79" s="453">
        <v>0</v>
      </c>
      <c r="G79" s="453">
        <v>0</v>
      </c>
      <c r="H79" s="987">
        <v>0</v>
      </c>
      <c r="I79" s="987">
        <v>0</v>
      </c>
      <c r="J79" s="987">
        <v>0</v>
      </c>
      <c r="K79" s="987">
        <v>0</v>
      </c>
      <c r="L79" s="987">
        <v>0</v>
      </c>
      <c r="M79" s="987">
        <v>0</v>
      </c>
      <c r="N79" s="987">
        <v>0</v>
      </c>
      <c r="O79" s="987">
        <v>0</v>
      </c>
      <c r="P79" s="987">
        <v>0</v>
      </c>
    </row>
    <row r="80" spans="1:16" ht="14.25" hidden="1" outlineLevel="1">
      <c r="A80" s="79" t="s">
        <v>289</v>
      </c>
      <c r="B80" s="80" t="s">
        <v>1533</v>
      </c>
      <c r="C80" s="34" t="s">
        <v>1753</v>
      </c>
      <c r="D80" s="453">
        <v>0</v>
      </c>
      <c r="E80" s="453">
        <v>0</v>
      </c>
      <c r="F80" s="453">
        <v>0</v>
      </c>
      <c r="G80" s="453">
        <v>0</v>
      </c>
      <c r="H80" s="987">
        <v>0</v>
      </c>
      <c r="I80" s="987">
        <v>0</v>
      </c>
      <c r="J80" s="987">
        <v>0</v>
      </c>
      <c r="K80" s="987">
        <v>0</v>
      </c>
      <c r="L80" s="987">
        <v>0</v>
      </c>
      <c r="M80" s="987">
        <v>0</v>
      </c>
      <c r="N80" s="987">
        <v>0</v>
      </c>
      <c r="O80" s="987">
        <v>0</v>
      </c>
      <c r="P80" s="987">
        <v>0</v>
      </c>
    </row>
    <row r="81" spans="1:17" ht="14.25" hidden="1" outlineLevel="1">
      <c r="A81" s="79" t="s">
        <v>290</v>
      </c>
      <c r="B81" s="80" t="s">
        <v>1532</v>
      </c>
      <c r="C81" s="34" t="s">
        <v>1753</v>
      </c>
      <c r="D81" s="453">
        <v>0</v>
      </c>
      <c r="E81" s="453">
        <v>0</v>
      </c>
      <c r="F81" s="453">
        <v>0</v>
      </c>
      <c r="G81" s="453">
        <v>0</v>
      </c>
      <c r="H81" s="987">
        <v>0</v>
      </c>
      <c r="I81" s="987">
        <v>0</v>
      </c>
      <c r="J81" s="987">
        <v>0</v>
      </c>
      <c r="K81" s="987">
        <v>0</v>
      </c>
      <c r="L81" s="987">
        <v>0</v>
      </c>
      <c r="M81" s="987">
        <v>0</v>
      </c>
      <c r="N81" s="987">
        <v>0</v>
      </c>
      <c r="O81" s="987">
        <v>0</v>
      </c>
      <c r="P81" s="987">
        <v>0</v>
      </c>
      <c r="Q81" s="526" t="s">
        <v>1790</v>
      </c>
    </row>
    <row r="82" spans="1:17" ht="25.5" collapsed="1">
      <c r="A82" s="79" t="s">
        <v>291</v>
      </c>
      <c r="B82" s="122" t="s">
        <v>1643</v>
      </c>
      <c r="C82" s="34" t="s">
        <v>1752</v>
      </c>
      <c r="D82" s="453">
        <v>39964</v>
      </c>
      <c r="E82" s="453">
        <v>39616.56</v>
      </c>
      <c r="F82" s="453">
        <v>41163</v>
      </c>
      <c r="G82" s="453">
        <v>41163</v>
      </c>
      <c r="H82" s="1413">
        <f>F82*H74</f>
        <v>43673.943</v>
      </c>
      <c r="I82" s="987">
        <v>41991</v>
      </c>
      <c r="J82" s="987">
        <f>I82*J74</f>
        <v>44552.451</v>
      </c>
      <c r="K82" s="987">
        <f>H82*K74</f>
        <v>46381.727466000004</v>
      </c>
      <c r="L82" s="987">
        <f>J82</f>
        <v>44552.451</v>
      </c>
      <c r="M82" s="987">
        <f>L82*M74</f>
        <v>47314.702962</v>
      </c>
      <c r="N82" s="987">
        <f>K82*N74</f>
        <v>49257.39456889201</v>
      </c>
      <c r="O82" s="987">
        <f>M82</f>
        <v>47314.702962</v>
      </c>
      <c r="P82" s="987">
        <f>O82*P74</f>
        <v>50248.214545644005</v>
      </c>
      <c r="Q82" s="526" t="s">
        <v>124</v>
      </c>
    </row>
    <row r="83" spans="1:17" ht="27" hidden="1" outlineLevel="1">
      <c r="A83" s="81" t="s">
        <v>292</v>
      </c>
      <c r="B83" s="78" t="s">
        <v>261</v>
      </c>
      <c r="C83" s="129" t="s">
        <v>638</v>
      </c>
      <c r="D83" s="453">
        <v>0</v>
      </c>
      <c r="E83" s="453">
        <v>0</v>
      </c>
      <c r="F83" s="453">
        <v>0</v>
      </c>
      <c r="G83" s="453">
        <v>0</v>
      </c>
      <c r="H83" s="987">
        <v>0</v>
      </c>
      <c r="I83" s="987">
        <v>0</v>
      </c>
      <c r="J83" s="987">
        <v>0</v>
      </c>
      <c r="K83" s="987">
        <v>0</v>
      </c>
      <c r="L83" s="987">
        <v>0</v>
      </c>
      <c r="M83" s="987">
        <v>0</v>
      </c>
      <c r="N83" s="987">
        <v>0</v>
      </c>
      <c r="O83" s="987">
        <v>0</v>
      </c>
      <c r="P83" s="987">
        <v>0</v>
      </c>
      <c r="Q83" s="527"/>
    </row>
    <row r="84" spans="1:17" ht="14.25" hidden="1" outlineLevel="1">
      <c r="A84" s="79" t="s">
        <v>293</v>
      </c>
      <c r="B84" s="122" t="s">
        <v>1529</v>
      </c>
      <c r="C84" s="34" t="s">
        <v>638</v>
      </c>
      <c r="D84" s="453">
        <v>0</v>
      </c>
      <c r="E84" s="453">
        <v>0</v>
      </c>
      <c r="F84" s="453">
        <v>0</v>
      </c>
      <c r="G84" s="453">
        <v>0</v>
      </c>
      <c r="H84" s="987">
        <v>0</v>
      </c>
      <c r="I84" s="987">
        <v>0</v>
      </c>
      <c r="J84" s="987">
        <v>0</v>
      </c>
      <c r="K84" s="987">
        <v>0</v>
      </c>
      <c r="L84" s="987">
        <v>0</v>
      </c>
      <c r="M84" s="987">
        <v>0</v>
      </c>
      <c r="N84" s="987">
        <v>0</v>
      </c>
      <c r="O84" s="987">
        <v>0</v>
      </c>
      <c r="P84" s="987">
        <v>0</v>
      </c>
      <c r="Q84" s="525"/>
    </row>
    <row r="85" spans="1:16" ht="14.25" hidden="1" outlineLevel="1">
      <c r="A85" s="79" t="s">
        <v>294</v>
      </c>
      <c r="B85" s="122" t="s">
        <v>655</v>
      </c>
      <c r="C85" s="34" t="s">
        <v>638</v>
      </c>
      <c r="D85" s="453">
        <v>0</v>
      </c>
      <c r="E85" s="453">
        <v>0</v>
      </c>
      <c r="F85" s="453">
        <v>0</v>
      </c>
      <c r="G85" s="453">
        <v>0</v>
      </c>
      <c r="H85" s="987">
        <v>0</v>
      </c>
      <c r="I85" s="987">
        <v>0</v>
      </c>
      <c r="J85" s="987">
        <v>0</v>
      </c>
      <c r="K85" s="987">
        <v>0</v>
      </c>
      <c r="L85" s="987">
        <v>0</v>
      </c>
      <c r="M85" s="987">
        <v>0</v>
      </c>
      <c r="N85" s="987">
        <v>0</v>
      </c>
      <c r="O85" s="987">
        <v>0</v>
      </c>
      <c r="P85" s="987">
        <v>0</v>
      </c>
    </row>
    <row r="86" spans="1:16" ht="14.25" hidden="1" outlineLevel="1">
      <c r="A86" s="79" t="s">
        <v>295</v>
      </c>
      <c r="B86" s="122" t="s">
        <v>1530</v>
      </c>
      <c r="C86" s="34" t="s">
        <v>638</v>
      </c>
      <c r="D86" s="453">
        <v>0</v>
      </c>
      <c r="E86" s="453">
        <v>0</v>
      </c>
      <c r="F86" s="453">
        <v>0</v>
      </c>
      <c r="G86" s="453">
        <v>0</v>
      </c>
      <c r="H86" s="987">
        <v>0</v>
      </c>
      <c r="I86" s="987">
        <v>0</v>
      </c>
      <c r="J86" s="987">
        <v>0</v>
      </c>
      <c r="K86" s="987">
        <v>0</v>
      </c>
      <c r="L86" s="987">
        <v>0</v>
      </c>
      <c r="M86" s="987">
        <v>0</v>
      </c>
      <c r="N86" s="987">
        <v>0</v>
      </c>
      <c r="O86" s="987">
        <v>0</v>
      </c>
      <c r="P86" s="987">
        <v>0</v>
      </c>
    </row>
    <row r="87" spans="1:17" ht="14.25" hidden="1" outlineLevel="1">
      <c r="A87" s="79" t="s">
        <v>296</v>
      </c>
      <c r="B87" s="80" t="s">
        <v>1531</v>
      </c>
      <c r="C87" s="34" t="s">
        <v>638</v>
      </c>
      <c r="D87" s="453">
        <v>0</v>
      </c>
      <c r="E87" s="453">
        <v>0</v>
      </c>
      <c r="F87" s="453">
        <v>0</v>
      </c>
      <c r="G87" s="453">
        <v>0</v>
      </c>
      <c r="H87" s="987">
        <v>0</v>
      </c>
      <c r="I87" s="987">
        <v>0</v>
      </c>
      <c r="J87" s="987">
        <v>0</v>
      </c>
      <c r="K87" s="987">
        <v>0</v>
      </c>
      <c r="L87" s="987">
        <v>0</v>
      </c>
      <c r="M87" s="987">
        <v>0</v>
      </c>
      <c r="N87" s="987">
        <v>0</v>
      </c>
      <c r="O87" s="987">
        <v>0</v>
      </c>
      <c r="P87" s="987">
        <v>0</v>
      </c>
      <c r="Q87" s="526"/>
    </row>
    <row r="88" spans="1:16" ht="14.25" hidden="1" outlineLevel="1">
      <c r="A88" s="79" t="s">
        <v>297</v>
      </c>
      <c r="B88" s="80" t="s">
        <v>1533</v>
      </c>
      <c r="C88" s="34" t="s">
        <v>638</v>
      </c>
      <c r="D88" s="453">
        <v>0</v>
      </c>
      <c r="E88" s="453">
        <v>0</v>
      </c>
      <c r="F88" s="453">
        <v>0</v>
      </c>
      <c r="G88" s="453">
        <v>0</v>
      </c>
      <c r="H88" s="987">
        <v>0</v>
      </c>
      <c r="I88" s="987">
        <v>0</v>
      </c>
      <c r="J88" s="987">
        <v>0</v>
      </c>
      <c r="K88" s="987">
        <v>0</v>
      </c>
      <c r="L88" s="987">
        <v>0</v>
      </c>
      <c r="M88" s="987">
        <v>0</v>
      </c>
      <c r="N88" s="987">
        <v>0</v>
      </c>
      <c r="O88" s="987">
        <v>0</v>
      </c>
      <c r="P88" s="987">
        <v>0</v>
      </c>
    </row>
    <row r="89" spans="1:16" ht="14.25" hidden="1" outlineLevel="1">
      <c r="A89" s="79" t="s">
        <v>298</v>
      </c>
      <c r="B89" s="80" t="s">
        <v>1532</v>
      </c>
      <c r="C89" s="34" t="s">
        <v>638</v>
      </c>
      <c r="D89" s="453">
        <v>0</v>
      </c>
      <c r="E89" s="453">
        <v>0</v>
      </c>
      <c r="F89" s="453">
        <v>0</v>
      </c>
      <c r="G89" s="453">
        <v>0</v>
      </c>
      <c r="H89" s="987">
        <v>0</v>
      </c>
      <c r="I89" s="987">
        <v>0</v>
      </c>
      <c r="J89" s="987">
        <v>0</v>
      </c>
      <c r="K89" s="987">
        <v>0</v>
      </c>
      <c r="L89" s="987">
        <v>0</v>
      </c>
      <c r="M89" s="987">
        <v>0</v>
      </c>
      <c r="N89" s="987">
        <v>0</v>
      </c>
      <c r="O89" s="987">
        <v>0</v>
      </c>
      <c r="P89" s="987">
        <v>0</v>
      </c>
    </row>
    <row r="90" spans="1:16" ht="27" hidden="1" outlineLevel="1">
      <c r="A90" s="79" t="s">
        <v>299</v>
      </c>
      <c r="B90" s="122" t="s">
        <v>1643</v>
      </c>
      <c r="C90" s="34" t="s">
        <v>638</v>
      </c>
      <c r="D90" s="453">
        <v>0</v>
      </c>
      <c r="E90" s="453">
        <v>0</v>
      </c>
      <c r="F90" s="453">
        <v>0</v>
      </c>
      <c r="G90" s="453">
        <v>0</v>
      </c>
      <c r="H90" s="987">
        <v>0</v>
      </c>
      <c r="I90" s="987">
        <v>0</v>
      </c>
      <c r="J90" s="987">
        <v>0</v>
      </c>
      <c r="K90" s="987">
        <v>0</v>
      </c>
      <c r="L90" s="987">
        <v>0</v>
      </c>
      <c r="M90" s="987">
        <v>0</v>
      </c>
      <c r="N90" s="987">
        <v>0</v>
      </c>
      <c r="O90" s="987">
        <v>0</v>
      </c>
      <c r="P90" s="987">
        <v>0</v>
      </c>
    </row>
    <row r="91" spans="1:16" ht="27" hidden="1" outlineLevel="1">
      <c r="A91" s="79" t="s">
        <v>300</v>
      </c>
      <c r="B91" s="122" t="s">
        <v>143</v>
      </c>
      <c r="C91" s="34" t="s">
        <v>638</v>
      </c>
      <c r="D91" s="453">
        <v>0</v>
      </c>
      <c r="E91" s="453">
        <v>0</v>
      </c>
      <c r="F91" s="453">
        <v>0</v>
      </c>
      <c r="G91" s="453">
        <v>0</v>
      </c>
      <c r="H91" s="987">
        <v>0</v>
      </c>
      <c r="I91" s="987">
        <v>0</v>
      </c>
      <c r="J91" s="987">
        <v>0</v>
      </c>
      <c r="K91" s="987">
        <v>0</v>
      </c>
      <c r="L91" s="987">
        <v>0</v>
      </c>
      <c r="M91" s="987">
        <v>0</v>
      </c>
      <c r="N91" s="987">
        <v>0</v>
      </c>
      <c r="O91" s="987">
        <v>0</v>
      </c>
      <c r="P91" s="987">
        <v>0</v>
      </c>
    </row>
    <row r="92" spans="1:17" ht="51" collapsed="1">
      <c r="A92" s="81" t="s">
        <v>301</v>
      </c>
      <c r="B92" s="78" t="s">
        <v>262</v>
      </c>
      <c r="C92" s="129" t="s">
        <v>638</v>
      </c>
      <c r="D92" s="454">
        <f>D99</f>
        <v>9875</v>
      </c>
      <c r="E92" s="454">
        <v>8227</v>
      </c>
      <c r="F92" s="454">
        <f aca="true" t="shared" si="10" ref="F92:P92">F99</f>
        <v>12996.577344749485</v>
      </c>
      <c r="G92" s="454">
        <f t="shared" si="10"/>
        <v>12996.577344749485</v>
      </c>
      <c r="H92" s="988">
        <f t="shared" si="10"/>
        <v>13789.368562779204</v>
      </c>
      <c r="I92" s="988">
        <f t="shared" si="10"/>
        <v>8188.613898284147</v>
      </c>
      <c r="J92" s="988">
        <f t="shared" si="10"/>
        <v>5378.624460729101</v>
      </c>
      <c r="K92" s="988">
        <f t="shared" si="10"/>
        <v>14644.309413671515</v>
      </c>
      <c r="L92" s="988">
        <f t="shared" si="10"/>
        <v>8688.11934607948</v>
      </c>
      <c r="M92" s="988">
        <f t="shared" si="10"/>
        <v>5712.099177294305</v>
      </c>
      <c r="N92" s="988">
        <f>N99</f>
        <v>15552.25659731915</v>
      </c>
      <c r="O92" s="988">
        <f t="shared" si="10"/>
        <v>9226.782745536408</v>
      </c>
      <c r="P92" s="988">
        <f t="shared" si="10"/>
        <v>6066.249326286552</v>
      </c>
      <c r="Q92" s="527"/>
    </row>
    <row r="93" spans="1:16" ht="15">
      <c r="A93" s="79" t="s">
        <v>302</v>
      </c>
      <c r="B93" s="122" t="s">
        <v>1519</v>
      </c>
      <c r="C93" s="34" t="s">
        <v>638</v>
      </c>
      <c r="D93" s="123">
        <v>0</v>
      </c>
      <c r="E93" s="123">
        <v>0</v>
      </c>
      <c r="F93" s="123"/>
      <c r="G93" s="977"/>
      <c r="H93" s="989"/>
      <c r="I93" s="989"/>
      <c r="J93" s="989"/>
      <c r="K93" s="989"/>
      <c r="L93" s="989"/>
      <c r="M93" s="989"/>
      <c r="N93" s="989"/>
      <c r="O93" s="989"/>
      <c r="P93" s="989"/>
    </row>
    <row r="94" spans="1:16" ht="15">
      <c r="A94" s="79" t="s">
        <v>303</v>
      </c>
      <c r="B94" s="122" t="s">
        <v>655</v>
      </c>
      <c r="C94" s="34" t="s">
        <v>638</v>
      </c>
      <c r="D94" s="123">
        <v>0</v>
      </c>
      <c r="E94" s="123">
        <v>0</v>
      </c>
      <c r="F94" s="123"/>
      <c r="G94" s="977"/>
      <c r="H94" s="989"/>
      <c r="I94" s="989"/>
      <c r="J94" s="989"/>
      <c r="K94" s="989"/>
      <c r="L94" s="989"/>
      <c r="M94" s="989"/>
      <c r="N94" s="989"/>
      <c r="O94" s="989"/>
      <c r="P94" s="989"/>
    </row>
    <row r="95" spans="1:16" ht="14.25">
      <c r="A95" s="79" t="s">
        <v>304</v>
      </c>
      <c r="B95" s="122" t="s">
        <v>1530</v>
      </c>
      <c r="C95" s="34" t="s">
        <v>638</v>
      </c>
      <c r="D95" s="123">
        <v>0</v>
      </c>
      <c r="E95" s="123">
        <v>0</v>
      </c>
      <c r="F95" s="123"/>
      <c r="G95" s="977"/>
      <c r="H95" s="989"/>
      <c r="I95" s="989"/>
      <c r="J95" s="989"/>
      <c r="K95" s="989"/>
      <c r="L95" s="989"/>
      <c r="M95" s="989"/>
      <c r="N95" s="989"/>
      <c r="O95" s="989"/>
      <c r="P95" s="989"/>
    </row>
    <row r="96" spans="1:16" ht="14.25" hidden="1" outlineLevel="1">
      <c r="A96" s="79" t="s">
        <v>305</v>
      </c>
      <c r="B96" s="80" t="s">
        <v>1531</v>
      </c>
      <c r="C96" s="34" t="s">
        <v>638</v>
      </c>
      <c r="D96" s="453">
        <v>0</v>
      </c>
      <c r="E96" s="453">
        <v>0</v>
      </c>
      <c r="F96" s="453">
        <v>0</v>
      </c>
      <c r="G96" s="978">
        <v>0</v>
      </c>
      <c r="H96" s="987">
        <v>0</v>
      </c>
      <c r="I96" s="987">
        <v>0</v>
      </c>
      <c r="J96" s="987">
        <v>0</v>
      </c>
      <c r="K96" s="987">
        <v>0</v>
      </c>
      <c r="L96" s="987">
        <v>0</v>
      </c>
      <c r="M96" s="987">
        <v>0</v>
      </c>
      <c r="N96" s="987">
        <v>0</v>
      </c>
      <c r="O96" s="987">
        <v>0</v>
      </c>
      <c r="P96" s="987">
        <v>0</v>
      </c>
    </row>
    <row r="97" spans="1:16" ht="14.25" hidden="1" outlineLevel="1">
      <c r="A97" s="79" t="s">
        <v>306</v>
      </c>
      <c r="B97" s="80" t="s">
        <v>1533</v>
      </c>
      <c r="C97" s="34" t="s">
        <v>638</v>
      </c>
      <c r="D97" s="453">
        <v>0</v>
      </c>
      <c r="E97" s="453">
        <v>0</v>
      </c>
      <c r="F97" s="453">
        <v>0</v>
      </c>
      <c r="G97" s="978">
        <v>0</v>
      </c>
      <c r="H97" s="987">
        <v>0</v>
      </c>
      <c r="I97" s="987">
        <v>0</v>
      </c>
      <c r="J97" s="987">
        <v>0</v>
      </c>
      <c r="K97" s="987">
        <v>0</v>
      </c>
      <c r="L97" s="987">
        <v>0</v>
      </c>
      <c r="M97" s="987">
        <v>0</v>
      </c>
      <c r="N97" s="987">
        <v>0</v>
      </c>
      <c r="O97" s="987">
        <v>0</v>
      </c>
      <c r="P97" s="987">
        <v>0</v>
      </c>
    </row>
    <row r="98" spans="1:16" ht="14.25" hidden="1" outlineLevel="1">
      <c r="A98" s="79" t="s">
        <v>307</v>
      </c>
      <c r="B98" s="80" t="s">
        <v>1532</v>
      </c>
      <c r="C98" s="34" t="s">
        <v>638</v>
      </c>
      <c r="D98" s="453">
        <v>0</v>
      </c>
      <c r="E98" s="453">
        <v>0</v>
      </c>
      <c r="F98" s="453">
        <v>0</v>
      </c>
      <c r="G98" s="978">
        <v>0</v>
      </c>
      <c r="H98" s="987">
        <v>0</v>
      </c>
      <c r="I98" s="987">
        <v>0</v>
      </c>
      <c r="J98" s="987">
        <v>0</v>
      </c>
      <c r="K98" s="987">
        <v>0</v>
      </c>
      <c r="L98" s="987">
        <v>0</v>
      </c>
      <c r="M98" s="987">
        <v>0</v>
      </c>
      <c r="N98" s="987">
        <v>0</v>
      </c>
      <c r="O98" s="987">
        <v>0</v>
      </c>
      <c r="P98" s="987">
        <v>0</v>
      </c>
    </row>
    <row r="99" spans="1:16" ht="27" collapsed="1">
      <c r="A99" s="79" t="s">
        <v>1745</v>
      </c>
      <c r="B99" s="122" t="s">
        <v>1643</v>
      </c>
      <c r="C99" s="34" t="s">
        <v>638</v>
      </c>
      <c r="D99" s="123">
        <v>9875</v>
      </c>
      <c r="E99" s="123">
        <f aca="true" t="shared" si="11" ref="E99:P99">E82*E66</f>
        <v>8226.7748496</v>
      </c>
      <c r="F99" s="123">
        <f t="shared" si="11"/>
        <v>12996.577344749485</v>
      </c>
      <c r="G99" s="977">
        <f t="shared" si="11"/>
        <v>12996.577344749485</v>
      </c>
      <c r="H99" s="989">
        <f>H82*H66</f>
        <v>13789.368562779204</v>
      </c>
      <c r="I99" s="989">
        <f t="shared" si="11"/>
        <v>8188.613898284147</v>
      </c>
      <c r="J99" s="989">
        <f t="shared" si="11"/>
        <v>5378.624460729101</v>
      </c>
      <c r="K99" s="989">
        <f t="shared" si="11"/>
        <v>14644.309413671515</v>
      </c>
      <c r="L99" s="989">
        <f t="shared" si="11"/>
        <v>8688.11934607948</v>
      </c>
      <c r="M99" s="989">
        <f t="shared" si="11"/>
        <v>5712.099177294305</v>
      </c>
      <c r="N99" s="989">
        <f>N82*N66</f>
        <v>15552.25659731915</v>
      </c>
      <c r="O99" s="989">
        <f t="shared" si="11"/>
        <v>9226.782745536408</v>
      </c>
      <c r="P99" s="989">
        <f t="shared" si="11"/>
        <v>6066.249326286552</v>
      </c>
    </row>
    <row r="100" spans="1:16" ht="39.75">
      <c r="A100" s="81" t="s">
        <v>308</v>
      </c>
      <c r="B100" s="78" t="s">
        <v>263</v>
      </c>
      <c r="C100" s="34"/>
      <c r="D100" s="452">
        <f>D107</f>
        <v>1.047</v>
      </c>
      <c r="E100" s="452">
        <f aca="true" t="shared" si="12" ref="E100:P100">E107</f>
        <v>0</v>
      </c>
      <c r="F100" s="452">
        <f t="shared" si="12"/>
        <v>1</v>
      </c>
      <c r="G100" s="972">
        <f t="shared" si="12"/>
        <v>1.062</v>
      </c>
      <c r="H100" s="980">
        <f t="shared" si="12"/>
        <v>1.063</v>
      </c>
      <c r="I100" s="980">
        <f t="shared" si="12"/>
        <v>1.063</v>
      </c>
      <c r="J100" s="980">
        <f t="shared" si="12"/>
        <v>1.063</v>
      </c>
      <c r="K100" s="980">
        <f t="shared" si="12"/>
        <v>1.059</v>
      </c>
      <c r="L100" s="980">
        <f t="shared" si="12"/>
        <v>1.059</v>
      </c>
      <c r="M100" s="980">
        <f t="shared" si="12"/>
        <v>1.059</v>
      </c>
      <c r="N100" s="980">
        <f t="shared" si="12"/>
        <v>1.059</v>
      </c>
      <c r="O100" s="980">
        <f t="shared" si="12"/>
        <v>1.059</v>
      </c>
      <c r="P100" s="980">
        <f t="shared" si="12"/>
        <v>1.059</v>
      </c>
    </row>
    <row r="101" spans="1:16" ht="14.25">
      <c r="A101" s="79" t="s">
        <v>309</v>
      </c>
      <c r="B101" s="122" t="s">
        <v>1529</v>
      </c>
      <c r="C101" s="34" t="s">
        <v>1307</v>
      </c>
      <c r="D101" s="128">
        <v>0</v>
      </c>
      <c r="E101" s="128">
        <v>0</v>
      </c>
      <c r="F101" s="128"/>
      <c r="G101" s="128"/>
      <c r="H101" s="981"/>
      <c r="I101" s="981"/>
      <c r="J101" s="981"/>
      <c r="K101" s="981"/>
      <c r="L101" s="981"/>
      <c r="M101" s="981"/>
      <c r="N101" s="981"/>
      <c r="O101" s="981"/>
      <c r="P101" s="981"/>
    </row>
    <row r="102" spans="1:16" ht="14.25">
      <c r="A102" s="79" t="s">
        <v>310</v>
      </c>
      <c r="B102" s="122" t="s">
        <v>655</v>
      </c>
      <c r="C102" s="34" t="s">
        <v>1307</v>
      </c>
      <c r="D102" s="128">
        <v>0</v>
      </c>
      <c r="E102" s="128">
        <v>0</v>
      </c>
      <c r="F102" s="128"/>
      <c r="G102" s="128"/>
      <c r="H102" s="981"/>
      <c r="I102" s="981"/>
      <c r="J102" s="981"/>
      <c r="K102" s="981"/>
      <c r="L102" s="981"/>
      <c r="M102" s="981"/>
      <c r="N102" s="981"/>
      <c r="O102" s="981"/>
      <c r="P102" s="981"/>
    </row>
    <row r="103" spans="1:16" ht="14.25">
      <c r="A103" s="79" t="s">
        <v>311</v>
      </c>
      <c r="B103" s="122" t="s">
        <v>1530</v>
      </c>
      <c r="C103" s="34" t="s">
        <v>1307</v>
      </c>
      <c r="D103" s="128">
        <v>0</v>
      </c>
      <c r="E103" s="128">
        <v>0</v>
      </c>
      <c r="F103" s="128"/>
      <c r="G103" s="128"/>
      <c r="H103" s="981"/>
      <c r="I103" s="981"/>
      <c r="J103" s="981"/>
      <c r="K103" s="981"/>
      <c r="L103" s="981"/>
      <c r="M103" s="981"/>
      <c r="N103" s="981"/>
      <c r="O103" s="981"/>
      <c r="P103" s="981"/>
    </row>
    <row r="104" spans="1:16" ht="14.25" hidden="1" outlineLevel="1">
      <c r="A104" s="79" t="s">
        <v>312</v>
      </c>
      <c r="B104" s="80" t="s">
        <v>1531</v>
      </c>
      <c r="C104" s="34" t="s">
        <v>1307</v>
      </c>
      <c r="D104" s="128">
        <v>0</v>
      </c>
      <c r="E104" s="128">
        <v>0</v>
      </c>
      <c r="F104" s="128">
        <v>0</v>
      </c>
      <c r="G104" s="128">
        <v>0</v>
      </c>
      <c r="H104" s="981">
        <v>0</v>
      </c>
      <c r="I104" s="981">
        <v>0</v>
      </c>
      <c r="J104" s="981">
        <v>0</v>
      </c>
      <c r="K104" s="981">
        <v>0</v>
      </c>
      <c r="L104" s="981">
        <v>0</v>
      </c>
      <c r="M104" s="981">
        <v>0</v>
      </c>
      <c r="N104" s="981">
        <v>0</v>
      </c>
      <c r="O104" s="981">
        <v>0</v>
      </c>
      <c r="P104" s="981">
        <v>0</v>
      </c>
    </row>
    <row r="105" spans="1:16" ht="14.25" hidden="1" outlineLevel="1">
      <c r="A105" s="79" t="s">
        <v>313</v>
      </c>
      <c r="B105" s="80" t="s">
        <v>1533</v>
      </c>
      <c r="C105" s="34" t="s">
        <v>1307</v>
      </c>
      <c r="D105" s="128">
        <v>0</v>
      </c>
      <c r="E105" s="128">
        <v>0</v>
      </c>
      <c r="F105" s="128">
        <v>0</v>
      </c>
      <c r="G105" s="128">
        <v>0</v>
      </c>
      <c r="H105" s="981">
        <v>0</v>
      </c>
      <c r="I105" s="981">
        <v>0</v>
      </c>
      <c r="J105" s="981">
        <v>0</v>
      </c>
      <c r="K105" s="981">
        <v>0</v>
      </c>
      <c r="L105" s="981">
        <v>0</v>
      </c>
      <c r="M105" s="981">
        <v>0</v>
      </c>
      <c r="N105" s="981">
        <v>0</v>
      </c>
      <c r="O105" s="981">
        <v>0</v>
      </c>
      <c r="P105" s="981">
        <v>0</v>
      </c>
    </row>
    <row r="106" spans="1:16" ht="14.25" hidden="1" outlineLevel="1">
      <c r="A106" s="79" t="s">
        <v>314</v>
      </c>
      <c r="B106" s="80" t="s">
        <v>1532</v>
      </c>
      <c r="C106" s="34" t="s">
        <v>1307</v>
      </c>
      <c r="D106" s="128">
        <v>0</v>
      </c>
      <c r="E106" s="128">
        <v>0</v>
      </c>
      <c r="F106" s="128">
        <v>0</v>
      </c>
      <c r="G106" s="128">
        <v>0</v>
      </c>
      <c r="H106" s="981">
        <v>0</v>
      </c>
      <c r="I106" s="981">
        <v>0</v>
      </c>
      <c r="J106" s="981">
        <v>0</v>
      </c>
      <c r="K106" s="981">
        <v>0</v>
      </c>
      <c r="L106" s="981">
        <v>0</v>
      </c>
      <c r="M106" s="981">
        <v>0</v>
      </c>
      <c r="N106" s="981">
        <v>0</v>
      </c>
      <c r="O106" s="981">
        <v>0</v>
      </c>
      <c r="P106" s="981">
        <v>0</v>
      </c>
    </row>
    <row r="107" spans="1:16" ht="27" collapsed="1">
      <c r="A107" s="79" t="s">
        <v>315</v>
      </c>
      <c r="B107" s="122" t="s">
        <v>1643</v>
      </c>
      <c r="C107" s="34" t="s">
        <v>1307</v>
      </c>
      <c r="D107" s="128">
        <v>1.047</v>
      </c>
      <c r="E107" s="128">
        <v>0</v>
      </c>
      <c r="F107" s="128">
        <v>1</v>
      </c>
      <c r="G107" s="128">
        <v>1.062</v>
      </c>
      <c r="H107" s="981">
        <v>1.063</v>
      </c>
      <c r="I107" s="981">
        <v>1.063</v>
      </c>
      <c r="J107" s="981">
        <v>1.063</v>
      </c>
      <c r="K107" s="981">
        <v>1.059</v>
      </c>
      <c r="L107" s="981">
        <v>1.059</v>
      </c>
      <c r="M107" s="981">
        <v>1.059</v>
      </c>
      <c r="N107" s="981">
        <v>1.059</v>
      </c>
      <c r="O107" s="981">
        <v>1.059</v>
      </c>
      <c r="P107" s="981">
        <v>1.059</v>
      </c>
    </row>
    <row r="108" spans="1:16" ht="27">
      <c r="A108" s="81" t="s">
        <v>316</v>
      </c>
      <c r="B108" s="78" t="s">
        <v>264</v>
      </c>
      <c r="C108" s="34"/>
      <c r="D108" s="456">
        <f>D115</f>
        <v>0.5235</v>
      </c>
      <c r="E108" s="456">
        <f aca="true" t="shared" si="13" ref="E108:P108">E115</f>
        <v>0</v>
      </c>
      <c r="F108" s="454">
        <f t="shared" si="13"/>
        <v>3685.34</v>
      </c>
      <c r="G108" s="454">
        <f t="shared" si="13"/>
        <v>3685.34</v>
      </c>
      <c r="H108" s="988">
        <f t="shared" si="13"/>
        <v>3917.51642</v>
      </c>
      <c r="I108" s="988">
        <f>I115</f>
        <v>3823.2</v>
      </c>
      <c r="J108" s="988">
        <f t="shared" si="13"/>
        <v>4064.0615999999995</v>
      </c>
      <c r="K108" s="988">
        <f t="shared" si="13"/>
        <v>4148.64988878</v>
      </c>
      <c r="L108" s="988">
        <f t="shared" si="13"/>
        <v>4064.0615999999995</v>
      </c>
      <c r="M108" s="988">
        <f t="shared" si="13"/>
        <v>4303.841234399999</v>
      </c>
      <c r="N108" s="988">
        <f t="shared" si="13"/>
        <v>4393.42023221802</v>
      </c>
      <c r="O108" s="988">
        <f t="shared" si="13"/>
        <v>4303.841234399999</v>
      </c>
      <c r="P108" s="988">
        <f t="shared" si="13"/>
        <v>4557.767867229599</v>
      </c>
    </row>
    <row r="109" spans="1:16" ht="14.25">
      <c r="A109" s="79" t="s">
        <v>317</v>
      </c>
      <c r="B109" s="122" t="s">
        <v>1519</v>
      </c>
      <c r="C109" s="34" t="s">
        <v>1752</v>
      </c>
      <c r="D109" s="127">
        <v>0</v>
      </c>
      <c r="E109" s="127">
        <v>0</v>
      </c>
      <c r="F109" s="123"/>
      <c r="G109" s="977"/>
      <c r="H109" s="987"/>
      <c r="I109" s="987"/>
      <c r="J109" s="987"/>
      <c r="K109" s="987"/>
      <c r="L109" s="987"/>
      <c r="M109" s="987"/>
      <c r="N109" s="987"/>
      <c r="O109" s="987"/>
      <c r="P109" s="987"/>
    </row>
    <row r="110" spans="1:16" ht="14.25">
      <c r="A110" s="79" t="s">
        <v>318</v>
      </c>
      <c r="B110" s="122" t="s">
        <v>655</v>
      </c>
      <c r="C110" s="34" t="s">
        <v>1752</v>
      </c>
      <c r="D110" s="127">
        <v>0</v>
      </c>
      <c r="E110" s="127">
        <v>0</v>
      </c>
      <c r="F110" s="123"/>
      <c r="G110" s="977"/>
      <c r="H110" s="987"/>
      <c r="I110" s="987"/>
      <c r="J110" s="987"/>
      <c r="K110" s="987"/>
      <c r="L110" s="987"/>
      <c r="M110" s="987"/>
      <c r="N110" s="987"/>
      <c r="O110" s="987"/>
      <c r="P110" s="987"/>
    </row>
    <row r="111" spans="1:16" ht="14.25">
      <c r="A111" s="79" t="s">
        <v>319</v>
      </c>
      <c r="B111" s="122" t="s">
        <v>1530</v>
      </c>
      <c r="C111" s="34" t="s">
        <v>1753</v>
      </c>
      <c r="D111" s="127">
        <v>0</v>
      </c>
      <c r="E111" s="127">
        <v>0</v>
      </c>
      <c r="F111" s="123"/>
      <c r="G111" s="977"/>
      <c r="H111" s="987"/>
      <c r="I111" s="987"/>
      <c r="J111" s="987"/>
      <c r="K111" s="987"/>
      <c r="L111" s="987"/>
      <c r="M111" s="987"/>
      <c r="N111" s="987"/>
      <c r="O111" s="987"/>
      <c r="P111" s="987"/>
    </row>
    <row r="112" spans="1:16" ht="15.75" customHeight="1" hidden="1" outlineLevel="1">
      <c r="A112" s="79" t="s">
        <v>320</v>
      </c>
      <c r="B112" s="80" t="s">
        <v>1531</v>
      </c>
      <c r="C112" s="34" t="s">
        <v>1753</v>
      </c>
      <c r="D112" s="127">
        <v>0</v>
      </c>
      <c r="E112" s="127">
        <v>0</v>
      </c>
      <c r="F112" s="123">
        <v>0</v>
      </c>
      <c r="G112" s="977">
        <v>0</v>
      </c>
      <c r="H112" s="987">
        <v>0</v>
      </c>
      <c r="I112" s="987">
        <v>0</v>
      </c>
      <c r="J112" s="987">
        <v>0</v>
      </c>
      <c r="K112" s="987">
        <v>0</v>
      </c>
      <c r="L112" s="987">
        <v>0</v>
      </c>
      <c r="M112" s="987">
        <v>0</v>
      </c>
      <c r="N112" s="987">
        <v>0</v>
      </c>
      <c r="O112" s="987">
        <v>0</v>
      </c>
      <c r="P112" s="987">
        <v>0</v>
      </c>
    </row>
    <row r="113" spans="1:16" ht="14.25" hidden="1" outlineLevel="1">
      <c r="A113" s="79" t="s">
        <v>321</v>
      </c>
      <c r="B113" s="80" t="s">
        <v>1533</v>
      </c>
      <c r="C113" s="34" t="s">
        <v>1753</v>
      </c>
      <c r="D113" s="127">
        <v>0</v>
      </c>
      <c r="E113" s="127">
        <v>0</v>
      </c>
      <c r="F113" s="123">
        <v>0</v>
      </c>
      <c r="G113" s="977">
        <v>0</v>
      </c>
      <c r="H113" s="987">
        <v>0</v>
      </c>
      <c r="I113" s="987">
        <v>0</v>
      </c>
      <c r="J113" s="987">
        <v>0</v>
      </c>
      <c r="K113" s="987">
        <v>0</v>
      </c>
      <c r="L113" s="987">
        <v>0</v>
      </c>
      <c r="M113" s="987">
        <v>0</v>
      </c>
      <c r="N113" s="987">
        <v>0</v>
      </c>
      <c r="O113" s="987">
        <v>0</v>
      </c>
      <c r="P113" s="987">
        <v>0</v>
      </c>
    </row>
    <row r="114" spans="1:16" ht="14.25" hidden="1" outlineLevel="1">
      <c r="A114" s="79" t="s">
        <v>322</v>
      </c>
      <c r="B114" s="80" t="s">
        <v>1532</v>
      </c>
      <c r="C114" s="34" t="s">
        <v>1753</v>
      </c>
      <c r="D114" s="127">
        <v>0</v>
      </c>
      <c r="E114" s="127">
        <v>0</v>
      </c>
      <c r="F114" s="123">
        <v>0</v>
      </c>
      <c r="G114" s="977">
        <v>0</v>
      </c>
      <c r="H114" s="987">
        <v>0</v>
      </c>
      <c r="I114" s="987">
        <v>0</v>
      </c>
      <c r="J114" s="987">
        <v>0</v>
      </c>
      <c r="K114" s="987">
        <v>0</v>
      </c>
      <c r="L114" s="987">
        <v>0</v>
      </c>
      <c r="M114" s="987">
        <v>0</v>
      </c>
      <c r="N114" s="987">
        <v>0</v>
      </c>
      <c r="O114" s="987">
        <v>0</v>
      </c>
      <c r="P114" s="987">
        <v>0</v>
      </c>
    </row>
    <row r="115" spans="1:16" ht="27" collapsed="1">
      <c r="A115" s="79" t="s">
        <v>323</v>
      </c>
      <c r="B115" s="122" t="s">
        <v>1643</v>
      </c>
      <c r="C115" s="34" t="s">
        <v>1752</v>
      </c>
      <c r="D115" s="455">
        <v>0.5235</v>
      </c>
      <c r="E115" s="127">
        <v>0</v>
      </c>
      <c r="F115" s="123">
        <v>3685.34</v>
      </c>
      <c r="G115" s="123">
        <v>3685.34</v>
      </c>
      <c r="H115" s="989">
        <f>F115*H107</f>
        <v>3917.51642</v>
      </c>
      <c r="I115" s="989">
        <v>3823.2</v>
      </c>
      <c r="J115" s="989">
        <f>I115*J107</f>
        <v>4064.0615999999995</v>
      </c>
      <c r="K115" s="989">
        <f>H115*K107</f>
        <v>4148.64988878</v>
      </c>
      <c r="L115" s="989">
        <f>J115</f>
        <v>4064.0615999999995</v>
      </c>
      <c r="M115" s="989">
        <f>L115*M107</f>
        <v>4303.841234399999</v>
      </c>
      <c r="N115" s="989">
        <f>K115*N107</f>
        <v>4393.42023221802</v>
      </c>
      <c r="O115" s="989">
        <f>M115</f>
        <v>4303.841234399999</v>
      </c>
      <c r="P115" s="989">
        <f>O115*P107</f>
        <v>4557.767867229599</v>
      </c>
    </row>
    <row r="116" spans="1:16" ht="14.25" hidden="1" outlineLevel="1">
      <c r="A116" s="81" t="s">
        <v>324</v>
      </c>
      <c r="B116" s="78" t="s">
        <v>265</v>
      </c>
      <c r="C116" s="34" t="s">
        <v>638</v>
      </c>
      <c r="D116" s="127">
        <v>0</v>
      </c>
      <c r="E116" s="127">
        <v>0</v>
      </c>
      <c r="F116" s="127">
        <v>0</v>
      </c>
      <c r="G116" s="970">
        <v>0</v>
      </c>
      <c r="H116" s="918">
        <v>0</v>
      </c>
      <c r="I116" s="918">
        <v>0</v>
      </c>
      <c r="J116" s="918">
        <v>0</v>
      </c>
      <c r="K116" s="918">
        <v>0</v>
      </c>
      <c r="L116" s="918">
        <v>0</v>
      </c>
      <c r="M116" s="918">
        <v>0</v>
      </c>
      <c r="N116" s="918">
        <v>0</v>
      </c>
      <c r="O116" s="918">
        <v>0</v>
      </c>
      <c r="P116" s="918">
        <v>0</v>
      </c>
    </row>
    <row r="117" spans="1:16" ht="14.25" hidden="1" outlineLevel="1">
      <c r="A117" s="79" t="s">
        <v>325</v>
      </c>
      <c r="B117" s="122" t="s">
        <v>1529</v>
      </c>
      <c r="C117" s="34" t="s">
        <v>638</v>
      </c>
      <c r="D117" s="127">
        <v>0</v>
      </c>
      <c r="E117" s="127">
        <v>0</v>
      </c>
      <c r="F117" s="127">
        <v>0</v>
      </c>
      <c r="G117" s="970">
        <v>0</v>
      </c>
      <c r="H117" s="918">
        <v>0</v>
      </c>
      <c r="I117" s="918">
        <v>0</v>
      </c>
      <c r="J117" s="918">
        <v>0</v>
      </c>
      <c r="K117" s="918">
        <v>0</v>
      </c>
      <c r="L117" s="918">
        <v>0</v>
      </c>
      <c r="M117" s="918">
        <v>0</v>
      </c>
      <c r="N117" s="918">
        <v>0</v>
      </c>
      <c r="O117" s="918">
        <v>0</v>
      </c>
      <c r="P117" s="918">
        <v>0</v>
      </c>
    </row>
    <row r="118" spans="1:16" ht="14.25" hidden="1" outlineLevel="1">
      <c r="A118" s="79" t="s">
        <v>326</v>
      </c>
      <c r="B118" s="122" t="s">
        <v>655</v>
      </c>
      <c r="C118" s="34" t="s">
        <v>638</v>
      </c>
      <c r="D118" s="127">
        <v>0</v>
      </c>
      <c r="E118" s="127">
        <v>0</v>
      </c>
      <c r="F118" s="127">
        <v>0</v>
      </c>
      <c r="G118" s="970">
        <v>0</v>
      </c>
      <c r="H118" s="918">
        <v>0</v>
      </c>
      <c r="I118" s="918">
        <v>0</v>
      </c>
      <c r="J118" s="918">
        <v>0</v>
      </c>
      <c r="K118" s="918">
        <v>0</v>
      </c>
      <c r="L118" s="918">
        <v>0</v>
      </c>
      <c r="M118" s="918">
        <v>0</v>
      </c>
      <c r="N118" s="918">
        <v>0</v>
      </c>
      <c r="O118" s="918">
        <v>0</v>
      </c>
      <c r="P118" s="918">
        <v>0</v>
      </c>
    </row>
    <row r="119" spans="1:16" ht="14.25" hidden="1" outlineLevel="1">
      <c r="A119" s="79" t="s">
        <v>327</v>
      </c>
      <c r="B119" s="122" t="s">
        <v>1530</v>
      </c>
      <c r="C119" s="34" t="s">
        <v>638</v>
      </c>
      <c r="D119" s="127">
        <v>0</v>
      </c>
      <c r="E119" s="127">
        <v>0</v>
      </c>
      <c r="F119" s="127">
        <v>0</v>
      </c>
      <c r="G119" s="970">
        <v>0</v>
      </c>
      <c r="H119" s="918">
        <v>0</v>
      </c>
      <c r="I119" s="918">
        <v>0</v>
      </c>
      <c r="J119" s="918">
        <v>0</v>
      </c>
      <c r="K119" s="918">
        <v>0</v>
      </c>
      <c r="L119" s="918">
        <v>0</v>
      </c>
      <c r="M119" s="918">
        <v>0</v>
      </c>
      <c r="N119" s="918">
        <v>0</v>
      </c>
      <c r="O119" s="918">
        <v>0</v>
      </c>
      <c r="P119" s="918">
        <v>0</v>
      </c>
    </row>
    <row r="120" spans="1:16" ht="14.25" hidden="1" outlineLevel="1">
      <c r="A120" s="79" t="s">
        <v>328</v>
      </c>
      <c r="B120" s="80" t="s">
        <v>1531</v>
      </c>
      <c r="C120" s="34" t="s">
        <v>638</v>
      </c>
      <c r="D120" s="127">
        <v>0</v>
      </c>
      <c r="E120" s="127">
        <v>0</v>
      </c>
      <c r="F120" s="127">
        <v>0</v>
      </c>
      <c r="G120" s="970">
        <v>0</v>
      </c>
      <c r="H120" s="918">
        <v>0</v>
      </c>
      <c r="I120" s="918">
        <v>0</v>
      </c>
      <c r="J120" s="918">
        <v>0</v>
      </c>
      <c r="K120" s="918">
        <v>0</v>
      </c>
      <c r="L120" s="918">
        <v>0</v>
      </c>
      <c r="M120" s="918">
        <v>0</v>
      </c>
      <c r="N120" s="918">
        <v>0</v>
      </c>
      <c r="O120" s="918">
        <v>0</v>
      </c>
      <c r="P120" s="918">
        <v>0</v>
      </c>
    </row>
    <row r="121" spans="1:16" ht="14.25" hidden="1" outlineLevel="1">
      <c r="A121" s="79" t="s">
        <v>329</v>
      </c>
      <c r="B121" s="80" t="s">
        <v>1533</v>
      </c>
      <c r="C121" s="34" t="s">
        <v>638</v>
      </c>
      <c r="D121" s="127">
        <v>0</v>
      </c>
      <c r="E121" s="127">
        <v>0</v>
      </c>
      <c r="F121" s="127">
        <v>0</v>
      </c>
      <c r="G121" s="970">
        <v>0</v>
      </c>
      <c r="H121" s="918">
        <v>0</v>
      </c>
      <c r="I121" s="918">
        <v>0</v>
      </c>
      <c r="J121" s="918">
        <v>0</v>
      </c>
      <c r="K121" s="918">
        <v>0</v>
      </c>
      <c r="L121" s="918">
        <v>0</v>
      </c>
      <c r="M121" s="918">
        <v>0</v>
      </c>
      <c r="N121" s="918">
        <v>0</v>
      </c>
      <c r="O121" s="918">
        <v>0</v>
      </c>
      <c r="P121" s="918">
        <v>0</v>
      </c>
    </row>
    <row r="122" spans="1:16" ht="14.25" hidden="1" outlineLevel="1">
      <c r="A122" s="79" t="s">
        <v>330</v>
      </c>
      <c r="B122" s="80" t="s">
        <v>1532</v>
      </c>
      <c r="C122" s="34" t="s">
        <v>638</v>
      </c>
      <c r="D122" s="127">
        <v>0</v>
      </c>
      <c r="E122" s="127">
        <v>0</v>
      </c>
      <c r="F122" s="127">
        <v>0</v>
      </c>
      <c r="G122" s="970">
        <v>0</v>
      </c>
      <c r="H122" s="918">
        <v>0</v>
      </c>
      <c r="I122" s="918">
        <v>0</v>
      </c>
      <c r="J122" s="918">
        <v>0</v>
      </c>
      <c r="K122" s="918">
        <v>0</v>
      </c>
      <c r="L122" s="918">
        <v>0</v>
      </c>
      <c r="M122" s="918">
        <v>0</v>
      </c>
      <c r="N122" s="918">
        <v>0</v>
      </c>
      <c r="O122" s="918">
        <v>0</v>
      </c>
      <c r="P122" s="918">
        <v>0</v>
      </c>
    </row>
    <row r="123" spans="1:16" ht="14.25" hidden="1" outlineLevel="1">
      <c r="A123" s="79" t="s">
        <v>331</v>
      </c>
      <c r="B123" s="122" t="s">
        <v>1534</v>
      </c>
      <c r="C123" s="34" t="s">
        <v>638</v>
      </c>
      <c r="D123" s="127">
        <v>0</v>
      </c>
      <c r="E123" s="127">
        <v>0</v>
      </c>
      <c r="F123" s="127">
        <v>0</v>
      </c>
      <c r="G123" s="970">
        <v>0</v>
      </c>
      <c r="H123" s="918">
        <v>0</v>
      </c>
      <c r="I123" s="918">
        <v>0</v>
      </c>
      <c r="J123" s="918">
        <v>0</v>
      </c>
      <c r="K123" s="918">
        <v>0</v>
      </c>
      <c r="L123" s="918">
        <v>0</v>
      </c>
      <c r="M123" s="918">
        <v>0</v>
      </c>
      <c r="N123" s="918">
        <v>0</v>
      </c>
      <c r="O123" s="918">
        <v>0</v>
      </c>
      <c r="P123" s="918">
        <v>0</v>
      </c>
    </row>
    <row r="124" spans="1:16" ht="27" hidden="1" outlineLevel="1">
      <c r="A124" s="79" t="s">
        <v>332</v>
      </c>
      <c r="B124" s="122" t="s">
        <v>143</v>
      </c>
      <c r="C124" s="34" t="s">
        <v>638</v>
      </c>
      <c r="D124" s="127">
        <v>0</v>
      </c>
      <c r="E124" s="127">
        <v>0</v>
      </c>
      <c r="F124" s="127">
        <v>0</v>
      </c>
      <c r="G124" s="970">
        <v>0</v>
      </c>
      <c r="H124" s="918">
        <v>0</v>
      </c>
      <c r="I124" s="918">
        <v>0</v>
      </c>
      <c r="J124" s="918">
        <v>0</v>
      </c>
      <c r="K124" s="918">
        <v>0</v>
      </c>
      <c r="L124" s="918">
        <v>0</v>
      </c>
      <c r="M124" s="918">
        <v>0</v>
      </c>
      <c r="N124" s="918">
        <v>0</v>
      </c>
      <c r="O124" s="918">
        <v>0</v>
      </c>
      <c r="P124" s="918">
        <v>0</v>
      </c>
    </row>
    <row r="125" spans="1:16" ht="39.75" collapsed="1">
      <c r="A125" s="81" t="s">
        <v>333</v>
      </c>
      <c r="B125" s="78" t="s">
        <v>266</v>
      </c>
      <c r="C125" s="34" t="s">
        <v>638</v>
      </c>
      <c r="D125" s="454">
        <f>D132</f>
        <v>149</v>
      </c>
      <c r="E125" s="454">
        <f aca="true" t="shared" si="14" ref="E125:P125">E132</f>
        <v>0</v>
      </c>
      <c r="F125" s="454">
        <f t="shared" si="14"/>
        <v>1163.5888140247084</v>
      </c>
      <c r="G125" s="979">
        <f t="shared" si="14"/>
        <v>1163.5888140247084</v>
      </c>
      <c r="H125" s="988">
        <f t="shared" si="14"/>
        <v>1236.894909308265</v>
      </c>
      <c r="I125" s="988">
        <f t="shared" si="14"/>
        <v>745.5575874811257</v>
      </c>
      <c r="J125" s="988">
        <f t="shared" si="14"/>
        <v>490.6365562619629</v>
      </c>
      <c r="K125" s="988">
        <f t="shared" si="14"/>
        <v>1309.8717089574525</v>
      </c>
      <c r="L125" s="988">
        <f t="shared" si="14"/>
        <v>792.5277154924365</v>
      </c>
      <c r="M125" s="988">
        <f t="shared" si="14"/>
        <v>519.5841130814186</v>
      </c>
      <c r="N125" s="988">
        <f t="shared" si="14"/>
        <v>1387.154139785942</v>
      </c>
      <c r="O125" s="988">
        <f t="shared" si="14"/>
        <v>839.2868507064902</v>
      </c>
      <c r="P125" s="988">
        <f t="shared" si="14"/>
        <v>550.2395757532223</v>
      </c>
    </row>
    <row r="126" spans="1:16" ht="14.25">
      <c r="A126" s="79" t="s">
        <v>334</v>
      </c>
      <c r="B126" s="122" t="s">
        <v>1529</v>
      </c>
      <c r="C126" s="34" t="s">
        <v>638</v>
      </c>
      <c r="D126" s="123">
        <v>0</v>
      </c>
      <c r="E126" s="123">
        <v>0</v>
      </c>
      <c r="F126" s="123"/>
      <c r="G126" s="123"/>
      <c r="H126" s="989"/>
      <c r="I126" s="989"/>
      <c r="J126" s="989"/>
      <c r="K126" s="989"/>
      <c r="L126" s="989"/>
      <c r="M126" s="989"/>
      <c r="N126" s="989"/>
      <c r="O126" s="989"/>
      <c r="P126" s="989"/>
    </row>
    <row r="127" spans="1:16" ht="14.25">
      <c r="A127" s="79" t="s">
        <v>687</v>
      </c>
      <c r="B127" s="122" t="s">
        <v>655</v>
      </c>
      <c r="C127" s="34" t="s">
        <v>638</v>
      </c>
      <c r="D127" s="123">
        <v>0</v>
      </c>
      <c r="E127" s="123">
        <v>0</v>
      </c>
      <c r="F127" s="123"/>
      <c r="G127" s="123"/>
      <c r="H127" s="989"/>
      <c r="I127" s="989"/>
      <c r="J127" s="989"/>
      <c r="K127" s="989"/>
      <c r="L127" s="989"/>
      <c r="M127" s="989"/>
      <c r="N127" s="989"/>
      <c r="O127" s="989"/>
      <c r="P127" s="989"/>
    </row>
    <row r="128" spans="1:16" ht="14.25">
      <c r="A128" s="79" t="s">
        <v>688</v>
      </c>
      <c r="B128" s="122" t="s">
        <v>1530</v>
      </c>
      <c r="C128" s="34" t="s">
        <v>638</v>
      </c>
      <c r="D128" s="123">
        <v>0</v>
      </c>
      <c r="E128" s="123">
        <v>0</v>
      </c>
      <c r="F128" s="123"/>
      <c r="G128" s="123"/>
      <c r="H128" s="989"/>
      <c r="I128" s="989"/>
      <c r="J128" s="989"/>
      <c r="K128" s="989"/>
      <c r="L128" s="989"/>
      <c r="M128" s="989"/>
      <c r="N128" s="989"/>
      <c r="O128" s="989"/>
      <c r="P128" s="989"/>
    </row>
    <row r="129" spans="1:16" ht="14.25" hidden="1" outlineLevel="1">
      <c r="A129" s="79" t="s">
        <v>401</v>
      </c>
      <c r="B129" s="80" t="s">
        <v>1531</v>
      </c>
      <c r="C129" s="34" t="s">
        <v>638</v>
      </c>
      <c r="D129" s="123">
        <v>0</v>
      </c>
      <c r="E129" s="123">
        <v>0</v>
      </c>
      <c r="F129" s="123">
        <v>0</v>
      </c>
      <c r="G129" s="123">
        <v>0</v>
      </c>
      <c r="H129" s="989">
        <v>0</v>
      </c>
      <c r="I129" s="989">
        <v>0</v>
      </c>
      <c r="J129" s="989">
        <v>0</v>
      </c>
      <c r="K129" s="989">
        <v>0</v>
      </c>
      <c r="L129" s="989">
        <v>0</v>
      </c>
      <c r="M129" s="989">
        <v>0</v>
      </c>
      <c r="N129" s="989">
        <v>0</v>
      </c>
      <c r="O129" s="989">
        <v>0</v>
      </c>
      <c r="P129" s="989">
        <v>0</v>
      </c>
    </row>
    <row r="130" spans="1:16" ht="14.25" hidden="1" outlineLevel="1">
      <c r="A130" s="79" t="s">
        <v>402</v>
      </c>
      <c r="B130" s="80" t="s">
        <v>1533</v>
      </c>
      <c r="C130" s="34" t="s">
        <v>638</v>
      </c>
      <c r="D130" s="123">
        <v>0</v>
      </c>
      <c r="E130" s="123">
        <v>0</v>
      </c>
      <c r="F130" s="123">
        <v>0</v>
      </c>
      <c r="G130" s="123">
        <v>0</v>
      </c>
      <c r="H130" s="989">
        <v>0</v>
      </c>
      <c r="I130" s="989">
        <v>0</v>
      </c>
      <c r="J130" s="989">
        <v>0</v>
      </c>
      <c r="K130" s="989">
        <v>0</v>
      </c>
      <c r="L130" s="989">
        <v>0</v>
      </c>
      <c r="M130" s="989">
        <v>0</v>
      </c>
      <c r="N130" s="989">
        <v>0</v>
      </c>
      <c r="O130" s="989">
        <v>0</v>
      </c>
      <c r="P130" s="989">
        <v>0</v>
      </c>
    </row>
    <row r="131" spans="1:16" ht="14.25" hidden="1" outlineLevel="1">
      <c r="A131" s="79" t="s">
        <v>403</v>
      </c>
      <c r="B131" s="80" t="s">
        <v>1532</v>
      </c>
      <c r="C131" s="34" t="s">
        <v>638</v>
      </c>
      <c r="D131" s="123">
        <v>0</v>
      </c>
      <c r="E131" s="123">
        <v>0</v>
      </c>
      <c r="F131" s="123">
        <v>0</v>
      </c>
      <c r="G131" s="123">
        <v>0</v>
      </c>
      <c r="H131" s="989">
        <v>0</v>
      </c>
      <c r="I131" s="989">
        <v>0</v>
      </c>
      <c r="J131" s="989">
        <v>0</v>
      </c>
      <c r="K131" s="989">
        <v>0</v>
      </c>
      <c r="L131" s="989">
        <v>0</v>
      </c>
      <c r="M131" s="989">
        <v>0</v>
      </c>
      <c r="N131" s="989">
        <v>0</v>
      </c>
      <c r="O131" s="989">
        <v>0</v>
      </c>
      <c r="P131" s="989">
        <v>0</v>
      </c>
    </row>
    <row r="132" spans="1:16" ht="27" collapsed="1">
      <c r="A132" s="79" t="s">
        <v>404</v>
      </c>
      <c r="B132" s="122" t="s">
        <v>1643</v>
      </c>
      <c r="C132" s="34" t="s">
        <v>638</v>
      </c>
      <c r="D132" s="123">
        <v>149</v>
      </c>
      <c r="E132" s="123">
        <v>0</v>
      </c>
      <c r="F132" s="123">
        <f>F115*F66</f>
        <v>1163.5888140247084</v>
      </c>
      <c r="G132" s="123">
        <f>G115*G66</f>
        <v>1163.5888140247084</v>
      </c>
      <c r="H132" s="989">
        <f>H66*H115</f>
        <v>1236.894909308265</v>
      </c>
      <c r="I132" s="989">
        <f aca="true" t="shared" si="15" ref="I132:P132">I66*I115</f>
        <v>745.5575874811257</v>
      </c>
      <c r="J132" s="989">
        <f t="shared" si="15"/>
        <v>490.6365562619629</v>
      </c>
      <c r="K132" s="989">
        <f t="shared" si="15"/>
        <v>1309.8717089574525</v>
      </c>
      <c r="L132" s="989">
        <f t="shared" si="15"/>
        <v>792.5277154924365</v>
      </c>
      <c r="M132" s="989">
        <f t="shared" si="15"/>
        <v>519.5841130814186</v>
      </c>
      <c r="N132" s="989">
        <f t="shared" si="15"/>
        <v>1387.154139785942</v>
      </c>
      <c r="O132" s="989">
        <f t="shared" si="15"/>
        <v>839.2868507064902</v>
      </c>
      <c r="P132" s="989">
        <f t="shared" si="15"/>
        <v>550.2395757532223</v>
      </c>
    </row>
    <row r="133" spans="1:16" ht="27">
      <c r="A133" s="81" t="s">
        <v>405</v>
      </c>
      <c r="B133" s="78" t="s">
        <v>134</v>
      </c>
      <c r="C133" s="34" t="s">
        <v>638</v>
      </c>
      <c r="D133" s="454">
        <f>D140</f>
        <v>10024</v>
      </c>
      <c r="E133" s="454">
        <f>E140</f>
        <v>8227</v>
      </c>
      <c r="F133" s="454">
        <f>F140</f>
        <v>14160.166158774193</v>
      </c>
      <c r="G133" s="454">
        <f aca="true" t="shared" si="16" ref="G133:P133">G140</f>
        <v>14160.166158774193</v>
      </c>
      <c r="H133" s="988">
        <f t="shared" si="16"/>
        <v>15026.263472087468</v>
      </c>
      <c r="I133" s="988">
        <f t="shared" si="16"/>
        <v>8934.171485765273</v>
      </c>
      <c r="J133" s="988">
        <f t="shared" si="16"/>
        <v>5869.261016991064</v>
      </c>
      <c r="K133" s="988">
        <f t="shared" si="16"/>
        <v>15954.181122628968</v>
      </c>
      <c r="L133" s="988">
        <f t="shared" si="16"/>
        <v>9480.647061571917</v>
      </c>
      <c r="M133" s="988">
        <f t="shared" si="16"/>
        <v>6231.683290375724</v>
      </c>
      <c r="N133" s="988">
        <f t="shared" si="16"/>
        <v>16939.410737105092</v>
      </c>
      <c r="O133" s="988">
        <f t="shared" si="16"/>
        <v>10066.069596242898</v>
      </c>
      <c r="P133" s="988">
        <f t="shared" si="16"/>
        <v>6616.488902039774</v>
      </c>
    </row>
    <row r="134" spans="1:16" ht="14.25">
      <c r="A134" s="79" t="s">
        <v>406</v>
      </c>
      <c r="B134" s="122" t="s">
        <v>1519</v>
      </c>
      <c r="C134" s="34" t="s">
        <v>638</v>
      </c>
      <c r="D134" s="123">
        <v>0</v>
      </c>
      <c r="E134" s="123">
        <v>0</v>
      </c>
      <c r="F134" s="123"/>
      <c r="G134" s="977"/>
      <c r="H134" s="989"/>
      <c r="I134" s="989"/>
      <c r="J134" s="989"/>
      <c r="K134" s="989"/>
      <c r="L134" s="989"/>
      <c r="M134" s="989"/>
      <c r="N134" s="989"/>
      <c r="O134" s="989"/>
      <c r="P134" s="989"/>
    </row>
    <row r="135" spans="1:16" ht="14.25">
      <c r="A135" s="79" t="s">
        <v>407</v>
      </c>
      <c r="B135" s="122" t="s">
        <v>655</v>
      </c>
      <c r="C135" s="34" t="s">
        <v>638</v>
      </c>
      <c r="D135" s="123">
        <v>0</v>
      </c>
      <c r="E135" s="123">
        <v>0</v>
      </c>
      <c r="F135" s="123"/>
      <c r="G135" s="977"/>
      <c r="H135" s="989"/>
      <c r="I135" s="989"/>
      <c r="J135" s="989"/>
      <c r="K135" s="989"/>
      <c r="L135" s="989"/>
      <c r="M135" s="989"/>
      <c r="N135" s="989"/>
      <c r="O135" s="989"/>
      <c r="P135" s="989"/>
    </row>
    <row r="136" spans="1:16" ht="14.25">
      <c r="A136" s="79" t="s">
        <v>408</v>
      </c>
      <c r="B136" s="122" t="s">
        <v>1530</v>
      </c>
      <c r="C136" s="34" t="s">
        <v>638</v>
      </c>
      <c r="D136" s="123">
        <v>0</v>
      </c>
      <c r="E136" s="123">
        <v>0</v>
      </c>
      <c r="F136" s="123"/>
      <c r="G136" s="977"/>
      <c r="H136" s="989"/>
      <c r="I136" s="989"/>
      <c r="J136" s="989"/>
      <c r="K136" s="989"/>
      <c r="L136" s="989"/>
      <c r="M136" s="989"/>
      <c r="N136" s="989"/>
      <c r="O136" s="989"/>
      <c r="P136" s="989"/>
    </row>
    <row r="137" spans="1:16" ht="14.25" hidden="1" outlineLevel="1">
      <c r="A137" s="79" t="s">
        <v>409</v>
      </c>
      <c r="B137" s="80" t="s">
        <v>1531</v>
      </c>
      <c r="C137" s="34" t="s">
        <v>638</v>
      </c>
      <c r="D137" s="123">
        <v>0</v>
      </c>
      <c r="E137" s="123">
        <v>0</v>
      </c>
      <c r="F137" s="123">
        <v>0</v>
      </c>
      <c r="G137" s="977">
        <v>0</v>
      </c>
      <c r="H137" s="989">
        <v>0</v>
      </c>
      <c r="I137" s="989">
        <v>0</v>
      </c>
      <c r="J137" s="989">
        <v>0</v>
      </c>
      <c r="K137" s="989">
        <v>0</v>
      </c>
      <c r="L137" s="989">
        <v>0</v>
      </c>
      <c r="M137" s="989">
        <v>0</v>
      </c>
      <c r="N137" s="989">
        <v>0</v>
      </c>
      <c r="O137" s="989">
        <v>0</v>
      </c>
      <c r="P137" s="989">
        <v>0</v>
      </c>
    </row>
    <row r="138" spans="1:16" ht="14.25" hidden="1" outlineLevel="1">
      <c r="A138" s="79" t="s">
        <v>410</v>
      </c>
      <c r="B138" s="80" t="s">
        <v>1533</v>
      </c>
      <c r="C138" s="34" t="s">
        <v>638</v>
      </c>
      <c r="D138" s="123">
        <v>0</v>
      </c>
      <c r="E138" s="123">
        <v>0</v>
      </c>
      <c r="F138" s="123">
        <v>0</v>
      </c>
      <c r="G138" s="977">
        <v>0</v>
      </c>
      <c r="H138" s="989">
        <v>0</v>
      </c>
      <c r="I138" s="989">
        <v>0</v>
      </c>
      <c r="J138" s="989">
        <v>0</v>
      </c>
      <c r="K138" s="989">
        <v>0</v>
      </c>
      <c r="L138" s="989">
        <v>0</v>
      </c>
      <c r="M138" s="989">
        <v>0</v>
      </c>
      <c r="N138" s="989">
        <v>0</v>
      </c>
      <c r="O138" s="989">
        <v>0</v>
      </c>
      <c r="P138" s="989">
        <v>0</v>
      </c>
    </row>
    <row r="139" spans="1:16" ht="14.25" hidden="1" outlineLevel="1">
      <c r="A139" s="79" t="s">
        <v>411</v>
      </c>
      <c r="B139" s="80" t="s">
        <v>1532</v>
      </c>
      <c r="C139" s="34" t="s">
        <v>638</v>
      </c>
      <c r="D139" s="123">
        <v>0</v>
      </c>
      <c r="E139" s="123">
        <v>0</v>
      </c>
      <c r="F139" s="123">
        <v>0</v>
      </c>
      <c r="G139" s="977">
        <v>0</v>
      </c>
      <c r="H139" s="989">
        <v>0</v>
      </c>
      <c r="I139" s="989">
        <v>0</v>
      </c>
      <c r="J139" s="989">
        <v>0</v>
      </c>
      <c r="K139" s="989">
        <v>0</v>
      </c>
      <c r="L139" s="989">
        <v>0</v>
      </c>
      <c r="M139" s="989">
        <v>0</v>
      </c>
      <c r="N139" s="989">
        <v>0</v>
      </c>
      <c r="O139" s="989">
        <v>0</v>
      </c>
      <c r="P139" s="989">
        <v>0</v>
      </c>
    </row>
    <row r="140" spans="1:16" ht="27" collapsed="1">
      <c r="A140" s="79" t="s">
        <v>412</v>
      </c>
      <c r="B140" s="122" t="s">
        <v>1643</v>
      </c>
      <c r="C140" s="34" t="s">
        <v>638</v>
      </c>
      <c r="D140" s="123">
        <f>D132+D99</f>
        <v>10024</v>
      </c>
      <c r="E140" s="123">
        <v>8227</v>
      </c>
      <c r="F140" s="123">
        <f>F132+F99</f>
        <v>14160.166158774193</v>
      </c>
      <c r="G140" s="977">
        <f>G132+G99</f>
        <v>14160.166158774193</v>
      </c>
      <c r="H140" s="989">
        <f aca="true" t="shared" si="17" ref="H140:P140">H132+H99</f>
        <v>15026.263472087468</v>
      </c>
      <c r="I140" s="989">
        <f t="shared" si="17"/>
        <v>8934.171485765273</v>
      </c>
      <c r="J140" s="989">
        <f t="shared" si="17"/>
        <v>5869.261016991064</v>
      </c>
      <c r="K140" s="989">
        <f t="shared" si="17"/>
        <v>15954.181122628968</v>
      </c>
      <c r="L140" s="989">
        <f t="shared" si="17"/>
        <v>9480.647061571917</v>
      </c>
      <c r="M140" s="989">
        <f t="shared" si="17"/>
        <v>6231.683290375724</v>
      </c>
      <c r="N140" s="989">
        <f t="shared" si="17"/>
        <v>16939.410737105092</v>
      </c>
      <c r="O140" s="989">
        <f t="shared" si="17"/>
        <v>10066.069596242898</v>
      </c>
      <c r="P140" s="989">
        <f t="shared" si="17"/>
        <v>6616.488902039774</v>
      </c>
    </row>
    <row r="141" spans="1:16" ht="27">
      <c r="A141" s="79" t="s">
        <v>413</v>
      </c>
      <c r="B141" s="122" t="s">
        <v>143</v>
      </c>
      <c r="C141" s="34" t="s">
        <v>638</v>
      </c>
      <c r="D141" s="123">
        <f aca="true" t="shared" si="18" ref="D141:P141">D140</f>
        <v>10024</v>
      </c>
      <c r="E141" s="123">
        <v>8227</v>
      </c>
      <c r="F141" s="123">
        <f t="shared" si="18"/>
        <v>14160.166158774193</v>
      </c>
      <c r="G141" s="977">
        <f t="shared" si="18"/>
        <v>14160.166158774193</v>
      </c>
      <c r="H141" s="989">
        <f t="shared" si="18"/>
        <v>15026.263472087468</v>
      </c>
      <c r="I141" s="989">
        <f t="shared" si="18"/>
        <v>8934.171485765273</v>
      </c>
      <c r="J141" s="989">
        <f t="shared" si="18"/>
        <v>5869.261016991064</v>
      </c>
      <c r="K141" s="989">
        <f t="shared" si="18"/>
        <v>15954.181122628968</v>
      </c>
      <c r="L141" s="989">
        <f t="shared" si="18"/>
        <v>9480.647061571917</v>
      </c>
      <c r="M141" s="989">
        <f t="shared" si="18"/>
        <v>6231.683290375724</v>
      </c>
      <c r="N141" s="989">
        <f t="shared" si="18"/>
        <v>16939.410737105092</v>
      </c>
      <c r="O141" s="989">
        <f t="shared" si="18"/>
        <v>10066.069596242898</v>
      </c>
      <c r="P141" s="989">
        <f t="shared" si="18"/>
        <v>6616.488902039774</v>
      </c>
    </row>
    <row r="142" spans="1:16" ht="27">
      <c r="A142" s="81" t="s">
        <v>414</v>
      </c>
      <c r="B142" s="78" t="s">
        <v>1742</v>
      </c>
      <c r="C142" s="34" t="s">
        <v>1754</v>
      </c>
      <c r="D142" s="454">
        <f>D149</f>
        <v>27844</v>
      </c>
      <c r="E142" s="454">
        <f>E133/E42</f>
        <v>27191.30089899524</v>
      </c>
      <c r="F142" s="454">
        <f>F133/F42</f>
        <v>30781.290322580644</v>
      </c>
      <c r="G142" s="979">
        <f>G133/G42</f>
        <v>30781.290322580644</v>
      </c>
      <c r="H142" s="988">
        <f aca="true" t="shared" si="19" ref="H142:P142">H133/H42</f>
        <v>32664.007838023335</v>
      </c>
      <c r="I142" s="988">
        <f t="shared" si="19"/>
        <v>31444.200411805083</v>
      </c>
      <c r="J142" s="988">
        <f t="shared" si="19"/>
        <v>33367.54468085106</v>
      </c>
      <c r="K142" s="988">
        <f t="shared" si="19"/>
        <v>34681.11005818806</v>
      </c>
      <c r="L142" s="988">
        <f t="shared" si="19"/>
        <v>33367.54468085107</v>
      </c>
      <c r="M142" s="988">
        <f t="shared" si="19"/>
        <v>35427.96444502402</v>
      </c>
      <c r="N142" s="988">
        <f t="shared" si="19"/>
        <v>36822.79670632123</v>
      </c>
      <c r="O142" s="988">
        <f t="shared" si="19"/>
        <v>35427.96444502402</v>
      </c>
      <c r="P142" s="988">
        <f t="shared" si="19"/>
        <v>37615.63652221935</v>
      </c>
    </row>
    <row r="143" spans="1:16" ht="14.25">
      <c r="A143" s="79" t="s">
        <v>415</v>
      </c>
      <c r="B143" s="122" t="s">
        <v>1519</v>
      </c>
      <c r="C143" s="34" t="s">
        <v>1754</v>
      </c>
      <c r="D143" s="123">
        <v>0</v>
      </c>
      <c r="E143" s="123">
        <v>0</v>
      </c>
      <c r="F143" s="123"/>
      <c r="G143" s="123"/>
      <c r="H143" s="989"/>
      <c r="I143" s="989"/>
      <c r="J143" s="989"/>
      <c r="K143" s="989"/>
      <c r="L143" s="989"/>
      <c r="M143" s="989"/>
      <c r="N143" s="989"/>
      <c r="O143" s="989"/>
      <c r="P143" s="989"/>
    </row>
    <row r="144" spans="1:16" ht="14.25">
      <c r="A144" s="79" t="s">
        <v>416</v>
      </c>
      <c r="B144" s="122" t="s">
        <v>655</v>
      </c>
      <c r="C144" s="34" t="s">
        <v>1754</v>
      </c>
      <c r="D144" s="123">
        <v>0</v>
      </c>
      <c r="E144" s="123">
        <v>0</v>
      </c>
      <c r="F144" s="123"/>
      <c r="G144" s="123"/>
      <c r="H144" s="989"/>
      <c r="I144" s="989"/>
      <c r="J144" s="989"/>
      <c r="K144" s="989"/>
      <c r="L144" s="989"/>
      <c r="M144" s="989"/>
      <c r="N144" s="989"/>
      <c r="O144" s="989"/>
      <c r="P144" s="989"/>
    </row>
    <row r="145" spans="1:16" ht="14.25">
      <c r="A145" s="79" t="s">
        <v>417</v>
      </c>
      <c r="B145" s="122" t="s">
        <v>1530</v>
      </c>
      <c r="C145" s="34" t="s">
        <v>1754</v>
      </c>
      <c r="D145" s="123">
        <v>0</v>
      </c>
      <c r="E145" s="123">
        <v>0</v>
      </c>
      <c r="F145" s="123"/>
      <c r="G145" s="123"/>
      <c r="H145" s="989"/>
      <c r="I145" s="989"/>
      <c r="J145" s="989"/>
      <c r="K145" s="989"/>
      <c r="L145" s="989"/>
      <c r="M145" s="989"/>
      <c r="N145" s="989"/>
      <c r="O145" s="989"/>
      <c r="P145" s="989"/>
    </row>
    <row r="146" spans="1:16" ht="14.25" hidden="1" outlineLevel="1">
      <c r="A146" s="79" t="s">
        <v>418</v>
      </c>
      <c r="B146" s="80" t="s">
        <v>1531</v>
      </c>
      <c r="C146" s="34" t="s">
        <v>1754</v>
      </c>
      <c r="D146" s="123">
        <v>0</v>
      </c>
      <c r="E146" s="123">
        <v>0</v>
      </c>
      <c r="F146" s="123">
        <v>0</v>
      </c>
      <c r="G146" s="123">
        <v>0</v>
      </c>
      <c r="H146" s="989">
        <v>0</v>
      </c>
      <c r="I146" s="989">
        <v>0</v>
      </c>
      <c r="J146" s="989">
        <v>0</v>
      </c>
      <c r="K146" s="989">
        <v>0</v>
      </c>
      <c r="L146" s="989">
        <v>0</v>
      </c>
      <c r="M146" s="989">
        <v>0</v>
      </c>
      <c r="N146" s="989">
        <v>0</v>
      </c>
      <c r="O146" s="989">
        <v>0</v>
      </c>
      <c r="P146" s="989">
        <v>0</v>
      </c>
    </row>
    <row r="147" spans="1:16" ht="14.25" hidden="1" outlineLevel="1">
      <c r="A147" s="79" t="s">
        <v>419</v>
      </c>
      <c r="B147" s="80" t="s">
        <v>1533</v>
      </c>
      <c r="C147" s="34" t="s">
        <v>1754</v>
      </c>
      <c r="D147" s="123">
        <v>0</v>
      </c>
      <c r="E147" s="123">
        <v>0</v>
      </c>
      <c r="F147" s="123">
        <v>0</v>
      </c>
      <c r="G147" s="123">
        <v>0</v>
      </c>
      <c r="H147" s="989">
        <v>0</v>
      </c>
      <c r="I147" s="989">
        <v>0</v>
      </c>
      <c r="J147" s="989">
        <v>0</v>
      </c>
      <c r="K147" s="989">
        <v>0</v>
      </c>
      <c r="L147" s="989">
        <v>0</v>
      </c>
      <c r="M147" s="989">
        <v>0</v>
      </c>
      <c r="N147" s="989">
        <v>0</v>
      </c>
      <c r="O147" s="989">
        <v>0</v>
      </c>
      <c r="P147" s="989">
        <v>0</v>
      </c>
    </row>
    <row r="148" spans="1:16" ht="14.25" hidden="1" outlineLevel="1">
      <c r="A148" s="79" t="s">
        <v>420</v>
      </c>
      <c r="B148" s="80" t="s">
        <v>1532</v>
      </c>
      <c r="C148" s="34" t="s">
        <v>1754</v>
      </c>
      <c r="D148" s="123">
        <v>0</v>
      </c>
      <c r="E148" s="123">
        <v>0</v>
      </c>
      <c r="F148" s="123">
        <v>0</v>
      </c>
      <c r="G148" s="123">
        <v>0</v>
      </c>
      <c r="H148" s="989">
        <v>0</v>
      </c>
      <c r="I148" s="989">
        <v>0</v>
      </c>
      <c r="J148" s="989">
        <v>0</v>
      </c>
      <c r="K148" s="989">
        <v>0</v>
      </c>
      <c r="L148" s="989">
        <v>0</v>
      </c>
      <c r="M148" s="989">
        <v>0</v>
      </c>
      <c r="N148" s="989">
        <v>0</v>
      </c>
      <c r="O148" s="989">
        <v>0</v>
      </c>
      <c r="P148" s="989">
        <v>0</v>
      </c>
    </row>
    <row r="149" spans="1:16" ht="27" collapsed="1">
      <c r="A149" s="79" t="s">
        <v>421</v>
      </c>
      <c r="B149" s="122" t="s">
        <v>1643</v>
      </c>
      <c r="C149" s="34" t="s">
        <v>1754</v>
      </c>
      <c r="D149" s="123">
        <v>27844</v>
      </c>
      <c r="E149" s="123">
        <f>E142</f>
        <v>27191.30089899524</v>
      </c>
      <c r="F149" s="123">
        <f>F142</f>
        <v>30781.290322580644</v>
      </c>
      <c r="G149" s="123">
        <f>G142</f>
        <v>30781.290322580644</v>
      </c>
      <c r="H149" s="989">
        <f aca="true" t="shared" si="20" ref="H149:P149">H142</f>
        <v>32664.007838023335</v>
      </c>
      <c r="I149" s="989">
        <f t="shared" si="20"/>
        <v>31444.200411805083</v>
      </c>
      <c r="J149" s="989">
        <f t="shared" si="20"/>
        <v>33367.54468085106</v>
      </c>
      <c r="K149" s="989">
        <f t="shared" si="20"/>
        <v>34681.11005818806</v>
      </c>
      <c r="L149" s="989">
        <f t="shared" si="20"/>
        <v>33367.54468085107</v>
      </c>
      <c r="M149" s="989">
        <f t="shared" si="20"/>
        <v>35427.96444502402</v>
      </c>
      <c r="N149" s="989">
        <f t="shared" si="20"/>
        <v>36822.79670632123</v>
      </c>
      <c r="O149" s="989">
        <f t="shared" si="20"/>
        <v>35427.96444502402</v>
      </c>
      <c r="P149" s="989">
        <f t="shared" si="20"/>
        <v>37615.63652221935</v>
      </c>
    </row>
    <row r="150" spans="1:16" ht="27">
      <c r="A150" s="79" t="s">
        <v>422</v>
      </c>
      <c r="B150" s="122" t="s">
        <v>143</v>
      </c>
      <c r="C150" s="34" t="s">
        <v>1754</v>
      </c>
      <c r="D150" s="123">
        <f aca="true" t="shared" si="21" ref="D150:P150">D149</f>
        <v>27844</v>
      </c>
      <c r="E150" s="123">
        <f t="shared" si="21"/>
        <v>27191.30089899524</v>
      </c>
      <c r="F150" s="123">
        <f t="shared" si="21"/>
        <v>30781.290322580644</v>
      </c>
      <c r="G150" s="123">
        <f t="shared" si="21"/>
        <v>30781.290322580644</v>
      </c>
      <c r="H150" s="989">
        <f t="shared" si="21"/>
        <v>32664.007838023335</v>
      </c>
      <c r="I150" s="989">
        <f t="shared" si="21"/>
        <v>31444.200411805083</v>
      </c>
      <c r="J150" s="989">
        <f t="shared" si="21"/>
        <v>33367.54468085106</v>
      </c>
      <c r="K150" s="989">
        <f t="shared" si="21"/>
        <v>34681.11005818806</v>
      </c>
      <c r="L150" s="989">
        <f t="shared" si="21"/>
        <v>33367.54468085107</v>
      </c>
      <c r="M150" s="989">
        <f t="shared" si="21"/>
        <v>35427.96444502402</v>
      </c>
      <c r="N150" s="989">
        <f t="shared" si="21"/>
        <v>36822.79670632123</v>
      </c>
      <c r="O150" s="989">
        <f t="shared" si="21"/>
        <v>35427.96444502402</v>
      </c>
      <c r="P150" s="989">
        <f t="shared" si="21"/>
        <v>37615.63652221935</v>
      </c>
    </row>
    <row r="151" spans="1:16" ht="27">
      <c r="A151" s="81" t="s">
        <v>423</v>
      </c>
      <c r="B151" s="78" t="s">
        <v>1743</v>
      </c>
      <c r="C151" s="34"/>
      <c r="D151" s="454">
        <f>D158</f>
        <v>40569</v>
      </c>
      <c r="E151" s="454">
        <f>E158</f>
        <v>39616.56</v>
      </c>
      <c r="F151" s="454">
        <f aca="true" t="shared" si="22" ref="F151:P151">F158</f>
        <v>44848.34</v>
      </c>
      <c r="G151" s="454">
        <f t="shared" si="22"/>
        <v>44848.34</v>
      </c>
      <c r="H151" s="988">
        <f t="shared" si="22"/>
        <v>47591.45942</v>
      </c>
      <c r="I151" s="988">
        <f t="shared" si="22"/>
        <v>45814.200000000004</v>
      </c>
      <c r="J151" s="988">
        <f t="shared" si="22"/>
        <v>48616.5126</v>
      </c>
      <c r="K151" s="988">
        <f t="shared" si="22"/>
        <v>50530.37735478001</v>
      </c>
      <c r="L151" s="988">
        <f t="shared" si="22"/>
        <v>48616.5126</v>
      </c>
      <c r="M151" s="988">
        <f t="shared" si="22"/>
        <v>51618.544196400006</v>
      </c>
      <c r="N151" s="988">
        <f t="shared" si="22"/>
        <v>53650.81480111003</v>
      </c>
      <c r="O151" s="988">
        <f t="shared" si="22"/>
        <v>51618.544196400006</v>
      </c>
      <c r="P151" s="988">
        <f t="shared" si="22"/>
        <v>54805.9824128736</v>
      </c>
    </row>
    <row r="152" spans="1:16" ht="14.25">
      <c r="A152" s="79" t="s">
        <v>424</v>
      </c>
      <c r="B152" s="122" t="s">
        <v>1519</v>
      </c>
      <c r="C152" s="34" t="s">
        <v>1752</v>
      </c>
      <c r="D152" s="123">
        <v>0</v>
      </c>
      <c r="E152" s="123">
        <v>0</v>
      </c>
      <c r="F152" s="123"/>
      <c r="G152" s="977"/>
      <c r="H152" s="989"/>
      <c r="I152" s="989"/>
      <c r="J152" s="989"/>
      <c r="K152" s="989"/>
      <c r="L152" s="989"/>
      <c r="M152" s="989"/>
      <c r="N152" s="989"/>
      <c r="O152" s="989"/>
      <c r="P152" s="989"/>
    </row>
    <row r="153" spans="1:16" ht="14.25">
      <c r="A153" s="79" t="s">
        <v>425</v>
      </c>
      <c r="B153" s="122" t="s">
        <v>655</v>
      </c>
      <c r="C153" s="34" t="s">
        <v>1752</v>
      </c>
      <c r="D153" s="123">
        <v>0</v>
      </c>
      <c r="E153" s="123">
        <v>0</v>
      </c>
      <c r="F153" s="123"/>
      <c r="G153" s="977"/>
      <c r="H153" s="989"/>
      <c r="I153" s="989"/>
      <c r="J153" s="989"/>
      <c r="K153" s="989"/>
      <c r="L153" s="989"/>
      <c r="M153" s="989"/>
      <c r="N153" s="989"/>
      <c r="O153" s="989"/>
      <c r="P153" s="989"/>
    </row>
    <row r="154" spans="1:16" ht="14.25">
      <c r="A154" s="79" t="s">
        <v>426</v>
      </c>
      <c r="B154" s="122" t="s">
        <v>1530</v>
      </c>
      <c r="C154" s="34" t="s">
        <v>1753</v>
      </c>
      <c r="D154" s="123">
        <v>0</v>
      </c>
      <c r="E154" s="123">
        <v>0</v>
      </c>
      <c r="F154" s="123"/>
      <c r="G154" s="977"/>
      <c r="H154" s="989"/>
      <c r="I154" s="989"/>
      <c r="J154" s="989"/>
      <c r="K154" s="989"/>
      <c r="L154" s="989"/>
      <c r="M154" s="989"/>
      <c r="N154" s="989"/>
      <c r="O154" s="989"/>
      <c r="P154" s="989"/>
    </row>
    <row r="155" spans="1:16" ht="14.25" hidden="1" outlineLevel="1">
      <c r="A155" s="79" t="s">
        <v>427</v>
      </c>
      <c r="B155" s="80" t="s">
        <v>1531</v>
      </c>
      <c r="C155" s="34" t="s">
        <v>1753</v>
      </c>
      <c r="D155" s="123">
        <v>0</v>
      </c>
      <c r="E155" s="123">
        <v>0</v>
      </c>
      <c r="F155" s="123">
        <v>0</v>
      </c>
      <c r="G155" s="977">
        <v>0</v>
      </c>
      <c r="H155" s="989">
        <v>0</v>
      </c>
      <c r="I155" s="989">
        <v>0</v>
      </c>
      <c r="J155" s="989">
        <v>0</v>
      </c>
      <c r="K155" s="989">
        <v>0</v>
      </c>
      <c r="L155" s="989">
        <v>0</v>
      </c>
      <c r="M155" s="989">
        <v>0</v>
      </c>
      <c r="N155" s="989">
        <v>0</v>
      </c>
      <c r="O155" s="989">
        <v>0</v>
      </c>
      <c r="P155" s="989">
        <v>0</v>
      </c>
    </row>
    <row r="156" spans="1:16" ht="14.25" hidden="1" outlineLevel="1">
      <c r="A156" s="79" t="s">
        <v>428</v>
      </c>
      <c r="B156" s="80" t="s">
        <v>1533</v>
      </c>
      <c r="C156" s="34" t="s">
        <v>1753</v>
      </c>
      <c r="D156" s="123">
        <v>0</v>
      </c>
      <c r="E156" s="123">
        <v>0</v>
      </c>
      <c r="F156" s="123">
        <v>0</v>
      </c>
      <c r="G156" s="977">
        <v>0</v>
      </c>
      <c r="H156" s="989">
        <v>0</v>
      </c>
      <c r="I156" s="989">
        <v>0</v>
      </c>
      <c r="J156" s="989">
        <v>0</v>
      </c>
      <c r="K156" s="989">
        <v>0</v>
      </c>
      <c r="L156" s="989">
        <v>0</v>
      </c>
      <c r="M156" s="989">
        <v>0</v>
      </c>
      <c r="N156" s="989">
        <v>0</v>
      </c>
      <c r="O156" s="989">
        <v>0</v>
      </c>
      <c r="P156" s="989">
        <v>0</v>
      </c>
    </row>
    <row r="157" spans="1:16" ht="14.25" hidden="1" outlineLevel="1">
      <c r="A157" s="79" t="s">
        <v>429</v>
      </c>
      <c r="B157" s="80" t="s">
        <v>1532</v>
      </c>
      <c r="C157" s="34" t="s">
        <v>1753</v>
      </c>
      <c r="D157" s="123">
        <v>0</v>
      </c>
      <c r="E157" s="123">
        <v>0</v>
      </c>
      <c r="F157" s="123">
        <v>0</v>
      </c>
      <c r="G157" s="977">
        <v>0</v>
      </c>
      <c r="H157" s="989">
        <v>0</v>
      </c>
      <c r="I157" s="989">
        <v>0</v>
      </c>
      <c r="J157" s="989">
        <v>0</v>
      </c>
      <c r="K157" s="989">
        <v>0</v>
      </c>
      <c r="L157" s="989">
        <v>0</v>
      </c>
      <c r="M157" s="989">
        <v>0</v>
      </c>
      <c r="N157" s="989">
        <v>0</v>
      </c>
      <c r="O157" s="989">
        <v>0</v>
      </c>
      <c r="P157" s="989">
        <v>0</v>
      </c>
    </row>
    <row r="158" spans="1:16" ht="27" collapsed="1">
      <c r="A158" s="79" t="s">
        <v>430</v>
      </c>
      <c r="B158" s="122" t="s">
        <v>1643</v>
      </c>
      <c r="C158" s="34" t="s">
        <v>1752</v>
      </c>
      <c r="D158" s="123">
        <v>40569</v>
      </c>
      <c r="E158" s="123">
        <f>E82</f>
        <v>39616.56</v>
      </c>
      <c r="F158" s="123">
        <f>F133/F66</f>
        <v>44848.34</v>
      </c>
      <c r="G158" s="977">
        <f>G133/G66</f>
        <v>44848.34</v>
      </c>
      <c r="H158" s="989">
        <f aca="true" t="shared" si="23" ref="H158:P158">H133/H66</f>
        <v>47591.45942</v>
      </c>
      <c r="I158" s="989">
        <f t="shared" si="23"/>
        <v>45814.200000000004</v>
      </c>
      <c r="J158" s="989">
        <f t="shared" si="23"/>
        <v>48616.5126</v>
      </c>
      <c r="K158" s="989">
        <f t="shared" si="23"/>
        <v>50530.37735478001</v>
      </c>
      <c r="L158" s="989">
        <f t="shared" si="23"/>
        <v>48616.5126</v>
      </c>
      <c r="M158" s="989">
        <f t="shared" si="23"/>
        <v>51618.544196400006</v>
      </c>
      <c r="N158" s="989">
        <f>N133/N66</f>
        <v>53650.81480111003</v>
      </c>
      <c r="O158" s="989">
        <f t="shared" si="23"/>
        <v>51618.544196400006</v>
      </c>
      <c r="P158" s="989">
        <f t="shared" si="23"/>
        <v>54805.9824128736</v>
      </c>
    </row>
    <row r="159" spans="1:16" ht="27">
      <c r="A159" s="81" t="s">
        <v>431</v>
      </c>
      <c r="B159" s="78" t="s">
        <v>1744</v>
      </c>
      <c r="C159" s="34" t="s">
        <v>616</v>
      </c>
      <c r="D159" s="454">
        <v>6213</v>
      </c>
      <c r="E159" s="454">
        <f>E133/'4.1'!L30</f>
        <v>5693.425605536332</v>
      </c>
      <c r="F159" s="454">
        <f>F133/'4.1'!T30</f>
        <v>5982.326218324542</v>
      </c>
      <c r="G159" s="979">
        <f>G133/'4.1'!AB30</f>
        <v>5982.326218324542</v>
      </c>
      <c r="H159" s="988">
        <f>H133/'4.1'!AJ30</f>
        <v>6348.23129365757</v>
      </c>
      <c r="I159" s="988">
        <f>I133/'4.1'!AR30</f>
        <v>6127.689633583864</v>
      </c>
      <c r="J159" s="988">
        <f>J133/'4.1'!AZ30</f>
        <v>6456.832801970368</v>
      </c>
      <c r="K159" s="988">
        <f>K133/'4.1'!BM30</f>
        <v>6740.253959708056</v>
      </c>
      <c r="L159" s="988">
        <f>L133/'4.1'!BU30</f>
        <v>6502.501413972509</v>
      </c>
      <c r="M159" s="988">
        <f>M133/'4.1'!CC30</f>
        <v>6855.53717313061</v>
      </c>
      <c r="N159" s="988">
        <f>N133/'4.1'!CP30</f>
        <v>7156.489538278451</v>
      </c>
      <c r="O159" s="988">
        <f>O133/'4.1'!CX30</f>
        <v>6904.025786174828</v>
      </c>
      <c r="P159" s="988">
        <f>P133/'4.1'!DF30</f>
        <v>7278.865678811633</v>
      </c>
    </row>
    <row r="160" ht="14.25">
      <c r="A160" s="121"/>
    </row>
    <row r="161" ht="14.25">
      <c r="A161" s="121"/>
    </row>
    <row r="162" spans="1:2" ht="14.25">
      <c r="A162" s="1"/>
      <c r="B162" t="s">
        <v>1403</v>
      </c>
    </row>
    <row r="163" spans="1:10" ht="14.25">
      <c r="A163" s="1"/>
      <c r="B163" s="378"/>
      <c r="C163" s="192"/>
      <c r="D163" s="314"/>
      <c r="E163" s="314"/>
      <c r="F163" s="192"/>
      <c r="G163" s="192"/>
      <c r="H163" s="192"/>
      <c r="I163" s="192"/>
      <c r="J163" s="192"/>
    </row>
    <row r="164" ht="14.25">
      <c r="A164" s="121"/>
    </row>
    <row r="165" ht="14.25">
      <c r="A165" s="121"/>
    </row>
    <row r="166" ht="14.25">
      <c r="A166" s="121"/>
    </row>
    <row r="167" ht="14.25">
      <c r="A167" s="121"/>
    </row>
    <row r="168" ht="14.25">
      <c r="A168" s="121"/>
    </row>
    <row r="169" ht="14.25">
      <c r="A169" s="121"/>
    </row>
    <row r="170" ht="14.25">
      <c r="A170" s="121"/>
    </row>
    <row r="171" ht="14.25">
      <c r="A171" s="121"/>
    </row>
    <row r="172" ht="14.25">
      <c r="A172" s="121"/>
    </row>
    <row r="173" ht="14.25">
      <c r="A173" s="121"/>
    </row>
    <row r="174" ht="14.25">
      <c r="A174" s="121"/>
    </row>
    <row r="175" ht="14.25">
      <c r="A175" s="121"/>
    </row>
    <row r="176" ht="14.25">
      <c r="A176" s="121"/>
    </row>
    <row r="177" ht="14.25">
      <c r="A177" s="121"/>
    </row>
    <row r="178" ht="14.25">
      <c r="A178" s="121"/>
    </row>
    <row r="179" ht="14.25">
      <c r="A179" s="121"/>
    </row>
    <row r="180" ht="14.25">
      <c r="A180" s="121"/>
    </row>
    <row r="181" ht="14.25">
      <c r="A181" s="121"/>
    </row>
    <row r="182" ht="14.25">
      <c r="A182" s="121"/>
    </row>
    <row r="183" ht="14.25">
      <c r="A183" s="121"/>
    </row>
    <row r="184" ht="14.25">
      <c r="A184" s="121"/>
    </row>
    <row r="185" ht="14.25">
      <c r="A185" s="121"/>
    </row>
    <row r="186" ht="14.25">
      <c r="A186" s="121"/>
    </row>
    <row r="187" ht="14.25">
      <c r="A187" s="121"/>
    </row>
    <row r="188" ht="14.25">
      <c r="A188" s="121"/>
    </row>
    <row r="189" ht="14.25">
      <c r="A189" s="121"/>
    </row>
    <row r="190" ht="14.25">
      <c r="A190" s="121"/>
    </row>
    <row r="191" ht="14.25">
      <c r="A191" s="121"/>
    </row>
    <row r="192" ht="14.25">
      <c r="A192" s="121"/>
    </row>
    <row r="193" ht="14.25">
      <c r="A193" s="121"/>
    </row>
    <row r="194" ht="14.25">
      <c r="A194" s="121"/>
    </row>
    <row r="195" ht="14.25">
      <c r="A195" s="121"/>
    </row>
    <row r="196" ht="14.25">
      <c r="A196" s="121"/>
    </row>
    <row r="197" ht="14.25">
      <c r="A197" s="121"/>
    </row>
    <row r="198" ht="14.25">
      <c r="A198" s="121"/>
    </row>
    <row r="199" ht="14.25">
      <c r="A199" s="121"/>
    </row>
    <row r="200" ht="14.25">
      <c r="A200" s="121"/>
    </row>
    <row r="201" ht="14.25">
      <c r="A201" s="121"/>
    </row>
    <row r="202" ht="14.25">
      <c r="A202" s="121"/>
    </row>
    <row r="203" ht="14.25">
      <c r="A203" s="121"/>
    </row>
    <row r="204" ht="14.25">
      <c r="A204" s="121"/>
    </row>
    <row r="205" ht="14.25">
      <c r="A205" s="121"/>
    </row>
    <row r="206" ht="14.25">
      <c r="A206" s="121"/>
    </row>
    <row r="207" ht="14.25">
      <c r="A207" s="121"/>
    </row>
    <row r="208" ht="14.25">
      <c r="A208" s="121"/>
    </row>
    <row r="209" ht="14.25">
      <c r="A209" s="121"/>
    </row>
    <row r="210" ht="14.25">
      <c r="A210" s="121"/>
    </row>
    <row r="211" ht="14.25">
      <c r="A211" s="121"/>
    </row>
    <row r="212" ht="14.25">
      <c r="A212" s="121"/>
    </row>
    <row r="213" ht="14.25">
      <c r="A213" s="121"/>
    </row>
    <row r="214" ht="14.25">
      <c r="A214" s="121"/>
    </row>
    <row r="215" ht="14.25">
      <c r="A215" s="121"/>
    </row>
    <row r="216" ht="14.25">
      <c r="A216" s="121"/>
    </row>
    <row r="217" ht="14.25">
      <c r="A217" s="121"/>
    </row>
    <row r="218" ht="14.25">
      <c r="A218" s="121"/>
    </row>
    <row r="219" ht="14.25">
      <c r="A219" s="121"/>
    </row>
    <row r="220" ht="14.25">
      <c r="A220" s="121"/>
    </row>
    <row r="221" ht="14.25">
      <c r="A221" s="121"/>
    </row>
    <row r="222" ht="14.25">
      <c r="A222" s="121"/>
    </row>
    <row r="223" ht="14.25">
      <c r="A223" s="121"/>
    </row>
    <row r="224" ht="14.25">
      <c r="A224" s="121"/>
    </row>
    <row r="225" ht="14.25">
      <c r="A225" s="121"/>
    </row>
    <row r="226" ht="14.25">
      <c r="A226" s="121"/>
    </row>
    <row r="227" ht="14.25">
      <c r="A227" s="121"/>
    </row>
    <row r="228" ht="14.25">
      <c r="A228" s="121"/>
    </row>
    <row r="229" ht="14.25">
      <c r="A229" s="121"/>
    </row>
    <row r="230" ht="14.25">
      <c r="A230" s="121"/>
    </row>
    <row r="231" ht="14.25">
      <c r="A231" s="121"/>
    </row>
    <row r="232" ht="14.25">
      <c r="A232" s="121"/>
    </row>
    <row r="233" ht="14.25">
      <c r="A233" s="121"/>
    </row>
    <row r="234" ht="14.25">
      <c r="A234" s="121"/>
    </row>
    <row r="235" ht="14.25">
      <c r="A235" s="121"/>
    </row>
    <row r="236" ht="14.25">
      <c r="A236" s="121"/>
    </row>
    <row r="237" ht="14.25">
      <c r="A237" s="121"/>
    </row>
    <row r="238" ht="14.25">
      <c r="A238" s="121"/>
    </row>
    <row r="239" ht="14.25">
      <c r="A239" s="121"/>
    </row>
    <row r="240" ht="14.25">
      <c r="A240" s="121"/>
    </row>
    <row r="241" ht="14.25">
      <c r="A241" s="121"/>
    </row>
    <row r="242" ht="14.25">
      <c r="A242" s="121"/>
    </row>
    <row r="243" ht="14.25">
      <c r="A243" s="121"/>
    </row>
    <row r="244" ht="14.25">
      <c r="A244" s="121"/>
    </row>
    <row r="245" ht="14.25">
      <c r="A245" s="121"/>
    </row>
    <row r="246" ht="14.25">
      <c r="A246" s="121"/>
    </row>
    <row r="247" ht="14.25">
      <c r="A247" s="121"/>
    </row>
    <row r="248" ht="14.25">
      <c r="A248" s="121"/>
    </row>
    <row r="249" ht="14.25">
      <c r="A249" s="121"/>
    </row>
    <row r="250" ht="14.25">
      <c r="A250" s="121"/>
    </row>
    <row r="251" ht="14.25">
      <c r="A251" s="121"/>
    </row>
    <row r="252" ht="14.25">
      <c r="A252" s="121"/>
    </row>
    <row r="253" ht="14.25">
      <c r="A253" s="121"/>
    </row>
    <row r="254" ht="14.25">
      <c r="A254" s="121"/>
    </row>
    <row r="255" ht="14.25">
      <c r="A255" s="121"/>
    </row>
    <row r="256" ht="14.25">
      <c r="A256" s="121"/>
    </row>
    <row r="257" ht="14.25">
      <c r="A257" s="121"/>
    </row>
    <row r="258" ht="14.25">
      <c r="A258" s="121"/>
    </row>
    <row r="259" ht="14.25">
      <c r="A259" s="121"/>
    </row>
    <row r="260" ht="14.25">
      <c r="A260" s="121"/>
    </row>
    <row r="261" ht="14.25">
      <c r="A261" s="121"/>
    </row>
    <row r="262" ht="14.25">
      <c r="A262" s="121"/>
    </row>
    <row r="263" ht="14.25">
      <c r="A263" s="121"/>
    </row>
    <row r="264" ht="14.25">
      <c r="A264" s="121"/>
    </row>
    <row r="265" ht="14.25">
      <c r="A265" s="121"/>
    </row>
    <row r="266" ht="14.25">
      <c r="A266" s="121"/>
    </row>
    <row r="267" ht="14.25">
      <c r="A267" s="121"/>
    </row>
    <row r="268" ht="14.25">
      <c r="A268" s="121"/>
    </row>
    <row r="269" ht="14.25">
      <c r="A269" s="121"/>
    </row>
    <row r="270" ht="14.25">
      <c r="A270" s="121"/>
    </row>
    <row r="271" ht="14.25">
      <c r="A271" s="121"/>
    </row>
    <row r="272" ht="14.25">
      <c r="A272" s="121"/>
    </row>
    <row r="273" ht="14.25">
      <c r="A273" s="121"/>
    </row>
    <row r="274" ht="14.25">
      <c r="A274" s="121"/>
    </row>
    <row r="275" ht="14.25">
      <c r="A275" s="121"/>
    </row>
    <row r="276" ht="14.25">
      <c r="A276" s="121"/>
    </row>
    <row r="277" ht="14.25">
      <c r="A277" s="121"/>
    </row>
    <row r="278" ht="14.25">
      <c r="A278" s="121"/>
    </row>
    <row r="279" ht="14.25">
      <c r="A279" s="121"/>
    </row>
    <row r="280" ht="14.25">
      <c r="A280" s="121"/>
    </row>
    <row r="281" ht="14.25">
      <c r="A281" s="121"/>
    </row>
    <row r="282" ht="14.25">
      <c r="A282" s="121"/>
    </row>
    <row r="283" ht="14.25">
      <c r="A283" s="121"/>
    </row>
    <row r="284" ht="14.25">
      <c r="A284" s="121"/>
    </row>
    <row r="285" ht="14.25">
      <c r="A285" s="121"/>
    </row>
    <row r="286" ht="14.25">
      <c r="A286" s="121"/>
    </row>
    <row r="287" ht="14.25">
      <c r="A287" s="121"/>
    </row>
    <row r="288" ht="14.25">
      <c r="A288" s="121"/>
    </row>
    <row r="289" ht="14.25">
      <c r="A289" s="121"/>
    </row>
    <row r="290" ht="14.25">
      <c r="A290" s="121"/>
    </row>
    <row r="291" ht="14.25">
      <c r="A291" s="121"/>
    </row>
    <row r="292" ht="14.25">
      <c r="A292" s="121"/>
    </row>
    <row r="293" ht="14.25">
      <c r="A293" s="121"/>
    </row>
    <row r="294" ht="14.25">
      <c r="A294" s="121"/>
    </row>
    <row r="295" ht="14.25">
      <c r="A295" s="121"/>
    </row>
    <row r="296" ht="14.25">
      <c r="A296" s="121"/>
    </row>
    <row r="297" ht="14.25">
      <c r="A297" s="121"/>
    </row>
    <row r="298" ht="14.25">
      <c r="A298" s="121"/>
    </row>
    <row r="299" ht="14.25">
      <c r="A299" s="121"/>
    </row>
    <row r="300" ht="14.25">
      <c r="A300" s="121"/>
    </row>
    <row r="301" ht="14.25">
      <c r="A301" s="121"/>
    </row>
    <row r="302" ht="14.25">
      <c r="A302" s="121"/>
    </row>
    <row r="303" ht="14.25">
      <c r="A303" s="121"/>
    </row>
    <row r="304" ht="14.25">
      <c r="A304" s="121"/>
    </row>
    <row r="305" ht="14.25">
      <c r="A305" s="121"/>
    </row>
    <row r="306" ht="14.25">
      <c r="A306" s="121"/>
    </row>
    <row r="307" ht="14.25">
      <c r="A307" s="121"/>
    </row>
    <row r="308" ht="14.25">
      <c r="A308" s="121"/>
    </row>
    <row r="309" ht="14.25">
      <c r="A309" s="121"/>
    </row>
    <row r="310" ht="14.25">
      <c r="A310" s="121"/>
    </row>
    <row r="311" ht="14.25">
      <c r="A311" s="121"/>
    </row>
    <row r="312" ht="14.25">
      <c r="A312" s="121"/>
    </row>
  </sheetData>
  <sheetProtection/>
  <protectedRanges>
    <protectedRange password="CC01" sqref="N1:O1" name="Диапазон1_1"/>
  </protectedRanges>
  <autoFilter ref="A8:J159"/>
  <mergeCells count="14">
    <mergeCell ref="A4:J4"/>
    <mergeCell ref="H7:J7"/>
    <mergeCell ref="D7:D8"/>
    <mergeCell ref="D6:G6"/>
    <mergeCell ref="N7:P7"/>
    <mergeCell ref="H6:P6"/>
    <mergeCell ref="L1:M1"/>
    <mergeCell ref="A6:A8"/>
    <mergeCell ref="B6:B8"/>
    <mergeCell ref="C6:C8"/>
    <mergeCell ref="E7:E8"/>
    <mergeCell ref="K7:M7"/>
    <mergeCell ref="F7:F8"/>
    <mergeCell ref="G7:G8"/>
  </mergeCells>
  <printOptions/>
  <pageMargins left="0.5905511811023623" right="0.35433070866141736" top="0.4330708661417323" bottom="0.5118110236220472" header="0.31496062992125984" footer="0.31496062992125984"/>
  <pageSetup fitToHeight="2" fitToWidth="1" horizontalDpi="600" verticalDpi="600" orientation="portrait" paperSize="9" scale="55" r:id="rId3"/>
  <ignoredErrors>
    <ignoredError sqref="A10:A12 A14 A16:A37 A41:A46 A50:A54 A58:A62 A66:A70 A74:A78 A82:A86 A90:A95 A108:A111 A115:A119 A132:A136 A100" numberStoredAsText="1"/>
    <ignoredError sqref="A13 A15 A38:A40 A47:A49 A55:A57 A63:A65 A71:A73 A79:A81 A87:A89 A96:A97 A106:A107 A112:A114 A120:A131 A137:A159" numberStoredAsText="1" twoDigitTextYear="1"/>
    <ignoredError sqref="A98:A99 A104:A105" twoDigitTextYear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3"/>
  <sheetViews>
    <sheetView tabSelected="1" zoomScaleSheetLayoutView="100" zoomScalePageLayoutView="0" workbookViewId="0" topLeftCell="A1">
      <pane xSplit="3" ySplit="8" topLeftCell="D9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B40" sqref="B40:S40"/>
    </sheetView>
  </sheetViews>
  <sheetFormatPr defaultColWidth="9.140625" defaultRowHeight="15" outlineLevelRow="1" outlineLevelCol="1"/>
  <cols>
    <col min="1" max="1" width="3.57421875" style="210" hidden="1" customWidth="1"/>
    <col min="2" max="2" width="12.00390625" style="1" customWidth="1"/>
    <col min="3" max="3" width="25.8515625" style="1" customWidth="1"/>
    <col min="4" max="6" width="9.140625" style="1" customWidth="1"/>
    <col min="7" max="7" width="9.28125" style="1" customWidth="1"/>
    <col min="8" max="11" width="9.28125" style="1" hidden="1" customWidth="1" outlineLevel="1"/>
    <col min="12" max="12" width="12.28125" style="1" customWidth="1" collapsed="1"/>
    <col min="13" max="13" width="9.140625" style="1" customWidth="1"/>
    <col min="14" max="14" width="10.140625" style="1" bestFit="1" customWidth="1"/>
    <col min="15" max="15" width="10.7109375" style="1" customWidth="1"/>
    <col min="16" max="16" width="11.28125" style="1" customWidth="1"/>
    <col min="17" max="16384" width="9.140625" style="1" customWidth="1"/>
  </cols>
  <sheetData>
    <row r="1" spans="1:19" ht="12.75" hidden="1">
      <c r="A1" s="210">
        <v>1</v>
      </c>
      <c r="B1" s="210">
        <v>2</v>
      </c>
      <c r="C1" s="210">
        <v>3</v>
      </c>
      <c r="D1" s="210">
        <v>4</v>
      </c>
      <c r="E1" s="210">
        <v>5</v>
      </c>
      <c r="F1" s="210">
        <v>6</v>
      </c>
      <c r="G1" s="210">
        <v>7</v>
      </c>
      <c r="H1" s="210">
        <v>8</v>
      </c>
      <c r="I1" s="210">
        <v>9</v>
      </c>
      <c r="J1" s="210">
        <v>10</v>
      </c>
      <c r="K1" s="210">
        <v>11</v>
      </c>
      <c r="L1" s="210">
        <v>12</v>
      </c>
      <c r="M1" s="210">
        <v>13</v>
      </c>
      <c r="N1" s="210">
        <v>14</v>
      </c>
      <c r="O1" s="210">
        <v>15</v>
      </c>
      <c r="P1" s="210">
        <v>16</v>
      </c>
      <c r="Q1" s="210">
        <v>17</v>
      </c>
      <c r="R1" s="210">
        <v>18</v>
      </c>
      <c r="S1" s="210">
        <v>19</v>
      </c>
    </row>
    <row r="2" spans="2:19" ht="15.75" customHeight="1">
      <c r="B2" s="52" t="s">
        <v>1156</v>
      </c>
      <c r="C2" s="52"/>
      <c r="D2" s="52"/>
      <c r="E2" s="52"/>
      <c r="F2" s="52"/>
      <c r="G2" s="52"/>
      <c r="H2" s="52"/>
      <c r="I2" s="52"/>
      <c r="J2" s="52"/>
      <c r="K2" s="52"/>
      <c r="L2" s="52"/>
      <c r="S2" s="2" t="s">
        <v>1755</v>
      </c>
    </row>
    <row r="3" spans="2:20" ht="15" customHeight="1">
      <c r="B3" s="52" t="s">
        <v>1048</v>
      </c>
      <c r="C3" s="52"/>
      <c r="D3" s="52"/>
      <c r="E3" s="52"/>
      <c r="F3" s="52"/>
      <c r="G3" s="52"/>
      <c r="H3" s="52"/>
      <c r="I3" s="52"/>
      <c r="J3" s="52"/>
      <c r="K3" s="52"/>
      <c r="L3" s="52"/>
      <c r="S3" s="506"/>
      <c r="T3" s="508"/>
    </row>
    <row r="5" spans="2:19" ht="16.5">
      <c r="B5" s="2096" t="s">
        <v>379</v>
      </c>
      <c r="C5" s="2096"/>
      <c r="D5" s="2096"/>
      <c r="E5" s="2096"/>
      <c r="F5" s="2096"/>
      <c r="G5" s="2096"/>
      <c r="H5" s="2096"/>
      <c r="I5" s="2096"/>
      <c r="J5" s="2096"/>
      <c r="K5" s="2096"/>
      <c r="L5" s="2096"/>
      <c r="M5" s="2096"/>
      <c r="N5" s="2096"/>
      <c r="O5" s="2096"/>
      <c r="P5" s="2096"/>
      <c r="Q5" s="2096"/>
      <c r="R5" s="2096"/>
      <c r="S5" s="2096"/>
    </row>
    <row r="6" ht="13.5">
      <c r="B6" s="308" t="str">
        <f>'4.1'!B6</f>
        <v>Усть-Камчатское муниципальное образование</v>
      </c>
    </row>
    <row r="7" spans="2:19" ht="24" customHeight="1">
      <c r="B7" s="2105" t="s">
        <v>843</v>
      </c>
      <c r="C7" s="2108" t="s">
        <v>844</v>
      </c>
      <c r="D7" s="2097" t="s">
        <v>380</v>
      </c>
      <c r="E7" s="2098"/>
      <c r="F7" s="2099"/>
      <c r="G7" s="2097" t="s">
        <v>1556</v>
      </c>
      <c r="H7" s="2098"/>
      <c r="I7" s="2098"/>
      <c r="J7" s="2098"/>
      <c r="K7" s="2098"/>
      <c r="L7" s="2098"/>
      <c r="M7" s="2099"/>
      <c r="N7" s="2097" t="s">
        <v>381</v>
      </c>
      <c r="O7" s="2098"/>
      <c r="P7" s="2099"/>
      <c r="Q7" s="2097" t="s">
        <v>382</v>
      </c>
      <c r="R7" s="2098"/>
      <c r="S7" s="2099"/>
    </row>
    <row r="8" spans="2:19" ht="73.5" customHeight="1">
      <c r="B8" s="2106"/>
      <c r="C8" s="2109"/>
      <c r="D8" s="169" t="s">
        <v>383</v>
      </c>
      <c r="E8" s="169" t="s">
        <v>384</v>
      </c>
      <c r="F8" s="169" t="s">
        <v>1004</v>
      </c>
      <c r="G8" s="169" t="s">
        <v>1554</v>
      </c>
      <c r="H8" s="169" t="s">
        <v>845</v>
      </c>
      <c r="I8" s="169" t="s">
        <v>846</v>
      </c>
      <c r="J8" s="169" t="s">
        <v>847</v>
      </c>
      <c r="K8" s="169" t="s">
        <v>848</v>
      </c>
      <c r="L8" s="169" t="s">
        <v>849</v>
      </c>
      <c r="M8" s="169" t="s">
        <v>1004</v>
      </c>
      <c r="N8" s="169" t="s">
        <v>1554</v>
      </c>
      <c r="O8" s="169" t="s">
        <v>384</v>
      </c>
      <c r="P8" s="169" t="s">
        <v>1004</v>
      </c>
      <c r="Q8" s="169" t="s">
        <v>383</v>
      </c>
      <c r="R8" s="169" t="s">
        <v>384</v>
      </c>
      <c r="S8" s="169" t="s">
        <v>1004</v>
      </c>
    </row>
    <row r="9" spans="2:19" ht="13.5">
      <c r="B9" s="9">
        <v>1</v>
      </c>
      <c r="C9" s="160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</row>
    <row r="10" spans="2:19" ht="16.5" customHeight="1" hidden="1">
      <c r="B10" s="2100" t="s">
        <v>1005</v>
      </c>
      <c r="C10" s="2101"/>
      <c r="D10" s="2101"/>
      <c r="E10" s="2101"/>
      <c r="F10" s="2101"/>
      <c r="G10" s="2101"/>
      <c r="H10" s="2101"/>
      <c r="I10" s="2101"/>
      <c r="J10" s="2101"/>
      <c r="K10" s="2101"/>
      <c r="L10" s="2101"/>
      <c r="M10" s="2101"/>
      <c r="N10" s="2101"/>
      <c r="O10" s="2101"/>
      <c r="P10" s="2101"/>
      <c r="Q10" s="2101"/>
      <c r="R10" s="2101"/>
      <c r="S10" s="2102"/>
    </row>
    <row r="11" spans="2:19" ht="15" customHeight="1" hidden="1">
      <c r="B11" s="2103" t="s">
        <v>851</v>
      </c>
      <c r="C11" s="2103"/>
      <c r="D11" s="2103"/>
      <c r="E11" s="2103"/>
      <c r="F11" s="2103"/>
      <c r="G11" s="2103"/>
      <c r="H11" s="2103"/>
      <c r="I11" s="2103"/>
      <c r="J11" s="2103"/>
      <c r="K11" s="2103"/>
      <c r="L11" s="2103"/>
      <c r="M11" s="2103"/>
      <c r="N11" s="2103"/>
      <c r="O11" s="2103"/>
      <c r="P11" s="2103"/>
      <c r="Q11" s="2103"/>
      <c r="R11" s="2103"/>
      <c r="S11" s="2104"/>
    </row>
    <row r="12" spans="1:19" ht="13.5" hidden="1">
      <c r="A12" s="210">
        <v>1</v>
      </c>
      <c r="B12" s="9"/>
      <c r="C12" s="171" t="s">
        <v>1074</v>
      </c>
      <c r="D12" s="315">
        <v>0</v>
      </c>
      <c r="E12" s="316">
        <v>0</v>
      </c>
      <c r="F12" s="31">
        <f>D12*E12</f>
        <v>0</v>
      </c>
      <c r="G12" s="316">
        <v>247</v>
      </c>
      <c r="H12" s="31"/>
      <c r="I12" s="31"/>
      <c r="J12" s="31"/>
      <c r="K12" s="31"/>
      <c r="L12" s="316">
        <v>40569</v>
      </c>
      <c r="M12" s="31">
        <v>10026</v>
      </c>
      <c r="N12" s="31">
        <v>247</v>
      </c>
      <c r="O12" s="316">
        <v>40569</v>
      </c>
      <c r="P12" s="31">
        <v>10026</v>
      </c>
      <c r="Q12" s="172">
        <f>D12+G12/1000-N12/1000</f>
        <v>0</v>
      </c>
      <c r="R12" s="31">
        <v>0</v>
      </c>
      <c r="S12" s="31">
        <f>F12+M12-P12</f>
        <v>0</v>
      </c>
    </row>
    <row r="13" spans="2:19" ht="13.5" hidden="1">
      <c r="B13" s="170" t="s">
        <v>142</v>
      </c>
      <c r="C13" s="171"/>
      <c r="D13" s="173">
        <f>SUM(D12:D12)</f>
        <v>0</v>
      </c>
      <c r="E13" s="174"/>
      <c r="F13" s="174">
        <f>SUM(F12:F12)</f>
        <v>0</v>
      </c>
      <c r="G13" s="174">
        <f>SUM(G12:G12)</f>
        <v>247</v>
      </c>
      <c r="H13" s="174"/>
      <c r="I13" s="174"/>
      <c r="J13" s="174"/>
      <c r="K13" s="174"/>
      <c r="L13" s="174"/>
      <c r="M13" s="174">
        <f>SUM(M12:M12)</f>
        <v>10026</v>
      </c>
      <c r="N13" s="174">
        <f>SUM(N12:N12)</f>
        <v>247</v>
      </c>
      <c r="O13" s="174"/>
      <c r="P13" s="174">
        <f>SUM(P12:P12)</f>
        <v>10026</v>
      </c>
      <c r="Q13" s="173">
        <f>SUM(Q12:Q12)</f>
        <v>0</v>
      </c>
      <c r="R13" s="174">
        <f>O13</f>
        <v>0</v>
      </c>
      <c r="S13" s="174">
        <f>F13+M13-P13</f>
        <v>0</v>
      </c>
    </row>
    <row r="14" spans="2:19" ht="15" customHeight="1" hidden="1">
      <c r="B14" s="2107" t="s">
        <v>1788</v>
      </c>
      <c r="C14" s="2103"/>
      <c r="D14" s="2103"/>
      <c r="E14" s="2103"/>
      <c r="F14" s="2103"/>
      <c r="G14" s="2103"/>
      <c r="H14" s="2103"/>
      <c r="I14" s="2103"/>
      <c r="J14" s="2103"/>
      <c r="K14" s="2103"/>
      <c r="L14" s="2103"/>
      <c r="M14" s="2103"/>
      <c r="N14" s="2103"/>
      <c r="O14" s="2103"/>
      <c r="P14" s="2103"/>
      <c r="Q14" s="2103"/>
      <c r="R14" s="2103"/>
      <c r="S14" s="2104"/>
    </row>
    <row r="15" spans="1:19" ht="13.5" hidden="1">
      <c r="A15" s="210">
        <v>1</v>
      </c>
      <c r="B15" s="9"/>
      <c r="C15" s="171" t="s">
        <v>1074</v>
      </c>
      <c r="D15" s="315">
        <v>0</v>
      </c>
      <c r="E15" s="316">
        <v>0</v>
      </c>
      <c r="F15" s="31">
        <f>D15*E15</f>
        <v>0</v>
      </c>
      <c r="G15" s="316">
        <f>'4.4'!E59*1000</f>
        <v>207.66000000000003</v>
      </c>
      <c r="H15" s="31"/>
      <c r="I15" s="31"/>
      <c r="J15" s="31"/>
      <c r="K15" s="31"/>
      <c r="L15" s="316">
        <f>'4.4'!E158</f>
        <v>39616.56</v>
      </c>
      <c r="M15" s="31">
        <v>8227</v>
      </c>
      <c r="N15" s="31">
        <f>G15</f>
        <v>207.66000000000003</v>
      </c>
      <c r="O15" s="316">
        <f>L15</f>
        <v>39616.56</v>
      </c>
      <c r="P15" s="31">
        <v>8227</v>
      </c>
      <c r="Q15" s="172">
        <f>D15+G15/1000-N15/1000</f>
        <v>0</v>
      </c>
      <c r="R15" s="31">
        <v>0</v>
      </c>
      <c r="S15" s="31">
        <f>F15+M15-P15</f>
        <v>0</v>
      </c>
    </row>
    <row r="16" spans="2:19" ht="13.5" hidden="1">
      <c r="B16" s="170" t="s">
        <v>142</v>
      </c>
      <c r="C16" s="171"/>
      <c r="D16" s="173">
        <f>SUM(D15:D15)</f>
        <v>0</v>
      </c>
      <c r="E16" s="174"/>
      <c r="F16" s="174">
        <f>SUM(F15:F15)</f>
        <v>0</v>
      </c>
      <c r="G16" s="174">
        <f>SUM(G15:G15)</f>
        <v>207.66000000000003</v>
      </c>
      <c r="H16" s="174"/>
      <c r="I16" s="174"/>
      <c r="J16" s="174"/>
      <c r="K16" s="174"/>
      <c r="L16" s="174">
        <v>0</v>
      </c>
      <c r="M16" s="174">
        <f>SUM(M15:M15)</f>
        <v>8227</v>
      </c>
      <c r="N16" s="174">
        <f>SUM(N15:N15)</f>
        <v>207.66000000000003</v>
      </c>
      <c r="O16" s="174">
        <v>0</v>
      </c>
      <c r="P16" s="174">
        <f>SUM(P15:P15)</f>
        <v>8227</v>
      </c>
      <c r="Q16" s="173">
        <f>SUM(Q15:Q15)</f>
        <v>0</v>
      </c>
      <c r="R16" s="174">
        <v>0</v>
      </c>
      <c r="S16" s="174">
        <f>F16+M16-P16</f>
        <v>0</v>
      </c>
    </row>
    <row r="17" spans="2:19" ht="15" customHeight="1" hidden="1">
      <c r="B17" s="2103" t="s">
        <v>1787</v>
      </c>
      <c r="C17" s="2103"/>
      <c r="D17" s="2103"/>
      <c r="E17" s="2103"/>
      <c r="F17" s="2103"/>
      <c r="G17" s="2103"/>
      <c r="H17" s="2103"/>
      <c r="I17" s="2103"/>
      <c r="J17" s="2103"/>
      <c r="K17" s="2103"/>
      <c r="L17" s="2103"/>
      <c r="M17" s="2103"/>
      <c r="N17" s="2103"/>
      <c r="O17" s="2103"/>
      <c r="P17" s="2103"/>
      <c r="Q17" s="2103"/>
      <c r="R17" s="2103"/>
      <c r="S17" s="2104"/>
    </row>
    <row r="18" spans="1:19" ht="15" customHeight="1" hidden="1">
      <c r="A18" s="210">
        <v>2</v>
      </c>
      <c r="B18" s="176"/>
      <c r="C18" s="171" t="s">
        <v>1074</v>
      </c>
      <c r="D18" s="315">
        <v>0</v>
      </c>
      <c r="E18" s="316">
        <v>0</v>
      </c>
      <c r="F18" s="31">
        <f>D18*E18</f>
        <v>0</v>
      </c>
      <c r="G18" s="316">
        <v>241</v>
      </c>
      <c r="H18" s="31"/>
      <c r="I18" s="31"/>
      <c r="J18" s="31"/>
      <c r="K18" s="31"/>
      <c r="L18" s="316">
        <v>42374</v>
      </c>
      <c r="M18" s="31">
        <v>10194</v>
      </c>
      <c r="N18" s="457">
        <v>241</v>
      </c>
      <c r="O18" s="458">
        <v>42374</v>
      </c>
      <c r="P18" s="457">
        <v>10194</v>
      </c>
      <c r="Q18" s="457">
        <v>0</v>
      </c>
      <c r="R18" s="457">
        <v>0</v>
      </c>
      <c r="S18" s="457">
        <f>F18+M18-P18</f>
        <v>0</v>
      </c>
    </row>
    <row r="19" spans="2:19" ht="15" customHeight="1" hidden="1">
      <c r="B19" s="175" t="s">
        <v>142</v>
      </c>
      <c r="C19" s="171"/>
      <c r="D19" s="173">
        <f>SUM(D18:D18)</f>
        <v>0</v>
      </c>
      <c r="E19" s="174">
        <v>0</v>
      </c>
      <c r="F19" s="174">
        <f>SUM(F18:F18)</f>
        <v>0</v>
      </c>
      <c r="G19" s="174">
        <f>SUM(G18:G18)</f>
        <v>241</v>
      </c>
      <c r="H19" s="174"/>
      <c r="I19" s="174"/>
      <c r="J19" s="174"/>
      <c r="K19" s="174"/>
      <c r="L19" s="174">
        <v>0</v>
      </c>
      <c r="M19" s="174">
        <f>SUM(M18:M18)</f>
        <v>10194</v>
      </c>
      <c r="N19" s="459">
        <f>N18</f>
        <v>241</v>
      </c>
      <c r="O19" s="459">
        <v>0</v>
      </c>
      <c r="P19" s="459">
        <f>P18</f>
        <v>10194</v>
      </c>
      <c r="Q19" s="459">
        <v>0</v>
      </c>
      <c r="R19" s="459">
        <v>0</v>
      </c>
      <c r="S19" s="459">
        <v>0</v>
      </c>
    </row>
    <row r="20" spans="2:19" ht="15" customHeight="1" hidden="1">
      <c r="B20" s="2107" t="s">
        <v>1789</v>
      </c>
      <c r="C20" s="2103"/>
      <c r="D20" s="2103"/>
      <c r="E20" s="2103"/>
      <c r="F20" s="2103"/>
      <c r="G20" s="2103"/>
      <c r="H20" s="2103"/>
      <c r="I20" s="2103"/>
      <c r="J20" s="2103"/>
      <c r="K20" s="2103"/>
      <c r="L20" s="2103"/>
      <c r="M20" s="2103"/>
      <c r="N20" s="2103"/>
      <c r="O20" s="2103"/>
      <c r="P20" s="2103"/>
      <c r="Q20" s="2103"/>
      <c r="R20" s="2103"/>
      <c r="S20" s="2104"/>
    </row>
    <row r="21" spans="1:20" ht="15" customHeight="1" hidden="1">
      <c r="A21" s="210">
        <v>3</v>
      </c>
      <c r="B21" s="175"/>
      <c r="C21" s="28" t="s">
        <v>1075</v>
      </c>
      <c r="D21" s="174">
        <v>0</v>
      </c>
      <c r="E21" s="174">
        <v>0</v>
      </c>
      <c r="F21" s="174">
        <v>0</v>
      </c>
      <c r="G21" s="174">
        <f>'4.4'!G66*1000</f>
        <v>315.7344543582704</v>
      </c>
      <c r="H21" s="174">
        <v>0</v>
      </c>
      <c r="I21" s="174">
        <v>0</v>
      </c>
      <c r="J21" s="174">
        <v>0</v>
      </c>
      <c r="K21" s="174">
        <v>0</v>
      </c>
      <c r="L21" s="174">
        <f>'4.4'!G151</f>
        <v>44848.34</v>
      </c>
      <c r="M21" s="174">
        <f>'4.4'!G133</f>
        <v>14160.166158774193</v>
      </c>
      <c r="N21" s="174">
        <f>G21</f>
        <v>315.7344543582704</v>
      </c>
      <c r="O21" s="174">
        <f>L21</f>
        <v>44848.34</v>
      </c>
      <c r="P21" s="174">
        <f>M21</f>
        <v>14160.166158774193</v>
      </c>
      <c r="Q21" s="174">
        <v>0</v>
      </c>
      <c r="R21" s="174">
        <v>0</v>
      </c>
      <c r="S21" s="174">
        <v>0</v>
      </c>
      <c r="T21" s="184"/>
    </row>
    <row r="22" spans="2:19" ht="15" customHeight="1" hidden="1">
      <c r="B22" s="9"/>
      <c r="C22" s="177" t="s">
        <v>707</v>
      </c>
      <c r="D22" s="31">
        <v>0</v>
      </c>
      <c r="E22" s="31">
        <v>0</v>
      </c>
      <c r="F22" s="31">
        <v>0</v>
      </c>
      <c r="G22" s="31">
        <f>G28</f>
        <v>195.00878517501718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f>N28</f>
        <v>195.00878517501718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</row>
    <row r="23" spans="2:19" ht="13.5" hidden="1">
      <c r="B23" s="9"/>
      <c r="C23" s="178" t="s">
        <v>708</v>
      </c>
      <c r="D23" s="31">
        <v>0</v>
      </c>
      <c r="E23" s="31">
        <v>0</v>
      </c>
      <c r="F23" s="31">
        <v>0</v>
      </c>
      <c r="G23" s="31">
        <f>G29</f>
        <v>120.72566918325326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f>N29</f>
        <v>120.72566918325326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</row>
    <row r="24" spans="2:19" ht="15" customHeight="1" hidden="1">
      <c r="B24" s="175" t="s">
        <v>142</v>
      </c>
      <c r="C24" s="171"/>
      <c r="D24" s="174">
        <v>0</v>
      </c>
      <c r="E24" s="174">
        <v>0</v>
      </c>
      <c r="F24" s="174">
        <v>0</v>
      </c>
      <c r="G24" s="174">
        <f>G21</f>
        <v>315.7344543582704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f>M21</f>
        <v>14160.166158774193</v>
      </c>
      <c r="N24" s="174">
        <f>N21</f>
        <v>315.7344543582704</v>
      </c>
      <c r="O24" s="174">
        <v>0</v>
      </c>
      <c r="P24" s="174">
        <f>P21</f>
        <v>14160.166158774193</v>
      </c>
      <c r="Q24" s="174">
        <v>0</v>
      </c>
      <c r="R24" s="174">
        <v>0</v>
      </c>
      <c r="S24" s="174">
        <v>0</v>
      </c>
    </row>
    <row r="25" spans="2:19" ht="15.75" customHeight="1">
      <c r="B25" s="2100" t="s">
        <v>1007</v>
      </c>
      <c r="C25" s="2101"/>
      <c r="D25" s="2101"/>
      <c r="E25" s="2101"/>
      <c r="F25" s="2101"/>
      <c r="G25" s="2101"/>
      <c r="H25" s="2101"/>
      <c r="I25" s="2101"/>
      <c r="J25" s="2101"/>
      <c r="K25" s="2101"/>
      <c r="L25" s="2101"/>
      <c r="M25" s="2101"/>
      <c r="N25" s="2101"/>
      <c r="O25" s="2101"/>
      <c r="P25" s="2101"/>
      <c r="Q25" s="2101"/>
      <c r="R25" s="2101"/>
      <c r="S25" s="2102"/>
    </row>
    <row r="26" spans="2:19" ht="15" customHeight="1">
      <c r="B26" s="2107" t="s">
        <v>1072</v>
      </c>
      <c r="C26" s="2103"/>
      <c r="D26" s="2103"/>
      <c r="E26" s="2103"/>
      <c r="F26" s="2103"/>
      <c r="G26" s="2103"/>
      <c r="H26" s="2103"/>
      <c r="I26" s="2103"/>
      <c r="J26" s="2103"/>
      <c r="K26" s="2103"/>
      <c r="L26" s="2103"/>
      <c r="M26" s="2103"/>
      <c r="N26" s="2103"/>
      <c r="O26" s="2103"/>
      <c r="P26" s="2103"/>
      <c r="Q26" s="2103"/>
      <c r="R26" s="2103"/>
      <c r="S26" s="2104"/>
    </row>
    <row r="27" spans="1:19" ht="15" customHeight="1">
      <c r="A27" s="210">
        <v>4</v>
      </c>
      <c r="B27" s="9"/>
      <c r="C27" s="28" t="s">
        <v>1075</v>
      </c>
      <c r="D27" s="174">
        <v>0</v>
      </c>
      <c r="E27" s="174">
        <v>0</v>
      </c>
      <c r="F27" s="174">
        <v>0</v>
      </c>
      <c r="G27" s="174">
        <f>G28+G29</f>
        <v>315.73445435827045</v>
      </c>
      <c r="H27" s="174">
        <v>0</v>
      </c>
      <c r="I27" s="174">
        <v>0</v>
      </c>
      <c r="J27" s="174">
        <v>0</v>
      </c>
      <c r="K27" s="174">
        <v>0</v>
      </c>
      <c r="L27" s="174">
        <f>'4.4'!H151</f>
        <v>47591.45942</v>
      </c>
      <c r="M27" s="174">
        <f>'4.4'!H133</f>
        <v>15026.263472087468</v>
      </c>
      <c r="N27" s="174">
        <f>N28+N29</f>
        <v>315.73445435827045</v>
      </c>
      <c r="O27" s="174">
        <f aca="true" t="shared" si="0" ref="O27:P29">L27</f>
        <v>47591.45942</v>
      </c>
      <c r="P27" s="174">
        <f t="shared" si="0"/>
        <v>15026.263472087468</v>
      </c>
      <c r="Q27" s="174">
        <v>0</v>
      </c>
      <c r="R27" s="174">
        <v>0</v>
      </c>
      <c r="S27" s="174">
        <v>0</v>
      </c>
    </row>
    <row r="28" spans="2:19" ht="15" customHeight="1">
      <c r="B28" s="9"/>
      <c r="C28" s="177" t="s">
        <v>707</v>
      </c>
      <c r="D28" s="31">
        <v>0</v>
      </c>
      <c r="E28" s="31">
        <v>0</v>
      </c>
      <c r="F28" s="31">
        <v>0</v>
      </c>
      <c r="G28" s="31">
        <f>'4.4'!I66*1000</f>
        <v>195.00878517501718</v>
      </c>
      <c r="H28" s="31">
        <v>0</v>
      </c>
      <c r="I28" s="31">
        <v>0</v>
      </c>
      <c r="J28" s="31">
        <v>0</v>
      </c>
      <c r="K28" s="31">
        <v>0</v>
      </c>
      <c r="L28" s="31">
        <f>'4.4'!I151</f>
        <v>45814.200000000004</v>
      </c>
      <c r="M28" s="31">
        <f>'4.4'!I133</f>
        <v>8934.171485765273</v>
      </c>
      <c r="N28" s="31">
        <f>G28</f>
        <v>195.00878517501718</v>
      </c>
      <c r="O28" s="31">
        <f t="shared" si="0"/>
        <v>45814.200000000004</v>
      </c>
      <c r="P28" s="31">
        <f t="shared" si="0"/>
        <v>8934.171485765273</v>
      </c>
      <c r="Q28" s="31">
        <v>0</v>
      </c>
      <c r="R28" s="31">
        <v>0</v>
      </c>
      <c r="S28" s="31">
        <v>0</v>
      </c>
    </row>
    <row r="29" spans="2:19" ht="15" customHeight="1">
      <c r="B29" s="9"/>
      <c r="C29" s="178" t="s">
        <v>708</v>
      </c>
      <c r="D29" s="31">
        <v>0</v>
      </c>
      <c r="E29" s="31">
        <v>0</v>
      </c>
      <c r="F29" s="31">
        <v>0</v>
      </c>
      <c r="G29" s="31">
        <f>'4.4'!J66*1000</f>
        <v>120.72566918325326</v>
      </c>
      <c r="H29" s="31">
        <v>0</v>
      </c>
      <c r="I29" s="31">
        <v>0</v>
      </c>
      <c r="J29" s="31">
        <v>0</v>
      </c>
      <c r="K29" s="31">
        <v>0</v>
      </c>
      <c r="L29" s="31">
        <f>'4.4'!J151</f>
        <v>48616.5126</v>
      </c>
      <c r="M29" s="31">
        <f>'4.4'!J133</f>
        <v>5869.261016991064</v>
      </c>
      <c r="N29" s="31">
        <f>G29</f>
        <v>120.72566918325326</v>
      </c>
      <c r="O29" s="31">
        <f t="shared" si="0"/>
        <v>48616.5126</v>
      </c>
      <c r="P29" s="31">
        <f t="shared" si="0"/>
        <v>5869.261016991064</v>
      </c>
      <c r="Q29" s="31">
        <v>0</v>
      </c>
      <c r="R29" s="31">
        <v>0</v>
      </c>
      <c r="S29" s="31">
        <v>0</v>
      </c>
    </row>
    <row r="30" spans="2:19" ht="15" customHeight="1">
      <c r="B30" s="175" t="s">
        <v>142</v>
      </c>
      <c r="C30" s="171"/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74">
        <v>0</v>
      </c>
    </row>
    <row r="31" spans="2:19" ht="13.5">
      <c r="B31" s="2107" t="s">
        <v>1073</v>
      </c>
      <c r="C31" s="2103"/>
      <c r="D31" s="2103"/>
      <c r="E31" s="2103"/>
      <c r="F31" s="2103"/>
      <c r="G31" s="2103"/>
      <c r="H31" s="2103"/>
      <c r="I31" s="2103"/>
      <c r="J31" s="2103"/>
      <c r="K31" s="2103"/>
      <c r="L31" s="2103"/>
      <c r="M31" s="2103"/>
      <c r="N31" s="2103"/>
      <c r="O31" s="2103"/>
      <c r="P31" s="2103"/>
      <c r="Q31" s="2103"/>
      <c r="R31" s="2103"/>
      <c r="S31" s="2104"/>
    </row>
    <row r="32" spans="2:19" ht="13.5">
      <c r="B32" s="9"/>
      <c r="C32" s="28" t="s">
        <v>1075</v>
      </c>
      <c r="D32" s="174">
        <v>0</v>
      </c>
      <c r="E32" s="174">
        <v>0</v>
      </c>
      <c r="F32" s="174">
        <v>0</v>
      </c>
      <c r="G32" s="174">
        <f>G27</f>
        <v>315.73445435827045</v>
      </c>
      <c r="H32" s="174">
        <v>0</v>
      </c>
      <c r="I32" s="174">
        <v>0</v>
      </c>
      <c r="J32" s="174">
        <v>0</v>
      </c>
      <c r="K32" s="174">
        <v>0</v>
      </c>
      <c r="L32" s="174">
        <f>'4.4'!K151</f>
        <v>50530.37735478001</v>
      </c>
      <c r="M32" s="174">
        <f>'4.4'!K133</f>
        <v>15954.181122628968</v>
      </c>
      <c r="N32" s="174">
        <f>N27</f>
        <v>315.73445435827045</v>
      </c>
      <c r="O32" s="174">
        <f aca="true" t="shared" si="1" ref="O32:P34">L32</f>
        <v>50530.37735478001</v>
      </c>
      <c r="P32" s="174">
        <f t="shared" si="1"/>
        <v>15954.181122628968</v>
      </c>
      <c r="Q32" s="174">
        <v>0</v>
      </c>
      <c r="R32" s="174">
        <v>0</v>
      </c>
      <c r="S32" s="174">
        <v>0</v>
      </c>
    </row>
    <row r="33" spans="2:19" ht="13.5">
      <c r="B33" s="9"/>
      <c r="C33" s="177" t="s">
        <v>707</v>
      </c>
      <c r="D33" s="31">
        <v>0</v>
      </c>
      <c r="E33" s="31">
        <v>0</v>
      </c>
      <c r="F33" s="31">
        <v>0</v>
      </c>
      <c r="G33" s="31">
        <f>G28</f>
        <v>195.00878517501718</v>
      </c>
      <c r="H33" s="31">
        <v>0</v>
      </c>
      <c r="I33" s="31">
        <v>0</v>
      </c>
      <c r="J33" s="31">
        <v>0</v>
      </c>
      <c r="K33" s="31">
        <v>0</v>
      </c>
      <c r="L33" s="31">
        <f>'4.4'!L151</f>
        <v>48616.5126</v>
      </c>
      <c r="M33" s="31">
        <f>'4.4'!L133</f>
        <v>9480.647061571917</v>
      </c>
      <c r="N33" s="31">
        <f>N28</f>
        <v>195.00878517501718</v>
      </c>
      <c r="O33" s="31">
        <f t="shared" si="1"/>
        <v>48616.5126</v>
      </c>
      <c r="P33" s="31">
        <f t="shared" si="1"/>
        <v>9480.647061571917</v>
      </c>
      <c r="Q33" s="31">
        <v>0</v>
      </c>
      <c r="R33" s="31">
        <v>0</v>
      </c>
      <c r="S33" s="31">
        <v>0</v>
      </c>
    </row>
    <row r="34" spans="2:19" ht="13.5">
      <c r="B34" s="9"/>
      <c r="C34" s="178" t="s">
        <v>708</v>
      </c>
      <c r="D34" s="31">
        <v>0</v>
      </c>
      <c r="E34" s="31">
        <v>0</v>
      </c>
      <c r="F34" s="31">
        <v>0</v>
      </c>
      <c r="G34" s="31">
        <f>G29</f>
        <v>120.72566918325326</v>
      </c>
      <c r="H34" s="31">
        <v>0</v>
      </c>
      <c r="I34" s="31">
        <v>0</v>
      </c>
      <c r="J34" s="31">
        <v>0</v>
      </c>
      <c r="K34" s="31">
        <v>0</v>
      </c>
      <c r="L34" s="31">
        <f>'4.4'!M151</f>
        <v>51618.544196400006</v>
      </c>
      <c r="M34" s="31">
        <f>'4.4'!M133</f>
        <v>6231.683290375724</v>
      </c>
      <c r="N34" s="31">
        <f>N29</f>
        <v>120.72566918325326</v>
      </c>
      <c r="O34" s="31">
        <f t="shared" si="1"/>
        <v>51618.544196400006</v>
      </c>
      <c r="P34" s="31">
        <f t="shared" si="1"/>
        <v>6231.683290375724</v>
      </c>
      <c r="Q34" s="31">
        <v>0</v>
      </c>
      <c r="R34" s="31">
        <v>0</v>
      </c>
      <c r="S34" s="31">
        <v>0</v>
      </c>
    </row>
    <row r="35" spans="2:19" ht="13.5">
      <c r="B35" s="175" t="s">
        <v>142</v>
      </c>
      <c r="C35" s="171"/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</row>
    <row r="36" spans="2:19" ht="13.5">
      <c r="B36" s="2107" t="s">
        <v>1047</v>
      </c>
      <c r="C36" s="2103"/>
      <c r="D36" s="2103"/>
      <c r="E36" s="2103"/>
      <c r="F36" s="2103"/>
      <c r="G36" s="2103"/>
      <c r="H36" s="2103"/>
      <c r="I36" s="2103"/>
      <c r="J36" s="2103"/>
      <c r="K36" s="2103"/>
      <c r="L36" s="2103"/>
      <c r="M36" s="2103"/>
      <c r="N36" s="2103"/>
      <c r="O36" s="2103"/>
      <c r="P36" s="2103"/>
      <c r="Q36" s="2103"/>
      <c r="R36" s="2103"/>
      <c r="S36" s="2104"/>
    </row>
    <row r="37" spans="2:19" ht="13.5">
      <c r="B37" s="9"/>
      <c r="C37" s="28" t="s">
        <v>1075</v>
      </c>
      <c r="D37" s="174">
        <v>0</v>
      </c>
      <c r="E37" s="174">
        <v>0</v>
      </c>
      <c r="F37" s="174">
        <v>0</v>
      </c>
      <c r="G37" s="174">
        <f>G32</f>
        <v>315.73445435827045</v>
      </c>
      <c r="H37" s="174">
        <v>0</v>
      </c>
      <c r="I37" s="174">
        <v>0</v>
      </c>
      <c r="J37" s="174">
        <v>0</v>
      </c>
      <c r="K37" s="174">
        <v>0</v>
      </c>
      <c r="L37" s="174">
        <f>'4.4'!N151</f>
        <v>53650.81480111003</v>
      </c>
      <c r="M37" s="174">
        <f>'4.4'!N133</f>
        <v>16939.410737105092</v>
      </c>
      <c r="N37" s="174">
        <f>N32</f>
        <v>315.73445435827045</v>
      </c>
      <c r="O37" s="174">
        <f aca="true" t="shared" si="2" ref="O37:P39">L37</f>
        <v>53650.81480111003</v>
      </c>
      <c r="P37" s="174">
        <f t="shared" si="2"/>
        <v>16939.410737105092</v>
      </c>
      <c r="Q37" s="174">
        <v>0</v>
      </c>
      <c r="R37" s="174">
        <v>0</v>
      </c>
      <c r="S37" s="174">
        <v>0</v>
      </c>
    </row>
    <row r="38" spans="2:19" ht="13.5">
      <c r="B38" s="9"/>
      <c r="C38" s="177" t="s">
        <v>707</v>
      </c>
      <c r="D38" s="31">
        <v>0</v>
      </c>
      <c r="E38" s="31">
        <v>0</v>
      </c>
      <c r="F38" s="31">
        <v>0</v>
      </c>
      <c r="G38" s="31">
        <f>G33</f>
        <v>195.00878517501718</v>
      </c>
      <c r="H38" s="31">
        <v>0</v>
      </c>
      <c r="I38" s="31">
        <v>0</v>
      </c>
      <c r="J38" s="31">
        <v>0</v>
      </c>
      <c r="K38" s="31">
        <v>0</v>
      </c>
      <c r="L38" s="31">
        <f>'4.4'!O151</f>
        <v>51618.544196400006</v>
      </c>
      <c r="M38" s="31">
        <f>'4.4'!O133</f>
        <v>10066.069596242898</v>
      </c>
      <c r="N38" s="31">
        <f>N33</f>
        <v>195.00878517501718</v>
      </c>
      <c r="O38" s="31">
        <f t="shared" si="2"/>
        <v>51618.544196400006</v>
      </c>
      <c r="P38" s="31">
        <f t="shared" si="2"/>
        <v>10066.069596242898</v>
      </c>
      <c r="Q38" s="31">
        <v>0</v>
      </c>
      <c r="R38" s="31">
        <v>0</v>
      </c>
      <c r="S38" s="31">
        <v>0</v>
      </c>
    </row>
    <row r="39" spans="2:19" ht="13.5">
      <c r="B39" s="9"/>
      <c r="C39" s="178" t="s">
        <v>708</v>
      </c>
      <c r="D39" s="31">
        <v>0</v>
      </c>
      <c r="E39" s="31">
        <v>0</v>
      </c>
      <c r="F39" s="31">
        <v>0</v>
      </c>
      <c r="G39" s="31">
        <f>G34</f>
        <v>120.72566918325326</v>
      </c>
      <c r="H39" s="31">
        <v>0</v>
      </c>
      <c r="I39" s="31">
        <v>0</v>
      </c>
      <c r="J39" s="31">
        <v>0</v>
      </c>
      <c r="K39" s="31">
        <v>0</v>
      </c>
      <c r="L39" s="31">
        <f>'4.4'!P151</f>
        <v>54805.9824128736</v>
      </c>
      <c r="M39" s="31">
        <f>'4.4'!P133</f>
        <v>6616.488902039774</v>
      </c>
      <c r="N39" s="31">
        <f>N34</f>
        <v>120.72566918325326</v>
      </c>
      <c r="O39" s="31">
        <f t="shared" si="2"/>
        <v>54805.9824128736</v>
      </c>
      <c r="P39" s="31">
        <f t="shared" si="2"/>
        <v>6616.488902039774</v>
      </c>
      <c r="Q39" s="31">
        <v>0</v>
      </c>
      <c r="R39" s="31">
        <v>0</v>
      </c>
      <c r="S39" s="31">
        <v>0</v>
      </c>
    </row>
    <row r="40" spans="2:19" ht="13.5">
      <c r="B40" s="175" t="s">
        <v>142</v>
      </c>
      <c r="C40" s="171"/>
      <c r="D40" s="174">
        <v>0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4">
        <v>0</v>
      </c>
      <c r="P40" s="174">
        <v>0</v>
      </c>
      <c r="Q40" s="174">
        <v>0</v>
      </c>
      <c r="R40" s="174">
        <v>0</v>
      </c>
      <c r="S40" s="174">
        <v>0</v>
      </c>
    </row>
    <row r="41" spans="2:19" ht="13.5">
      <c r="B41" s="2110"/>
      <c r="C41" s="2110"/>
      <c r="D41" s="2110"/>
      <c r="E41" s="2110"/>
      <c r="F41" s="2110"/>
      <c r="G41" s="2110"/>
      <c r="H41" s="2110"/>
      <c r="I41" s="2110"/>
      <c r="J41" s="2110"/>
      <c r="K41" s="2110"/>
      <c r="L41" s="2110"/>
      <c r="M41" s="2110"/>
      <c r="N41" s="2110"/>
      <c r="O41" s="2110"/>
      <c r="P41" s="2110"/>
      <c r="Q41" s="2110"/>
      <c r="R41" s="2110"/>
      <c r="S41" s="2110"/>
    </row>
    <row r="42" spans="2:19" ht="13.5" hidden="1" outlineLevel="1">
      <c r="B42" s="1979"/>
      <c r="C42" s="1980"/>
      <c r="D42" s="1981"/>
      <c r="E42" s="1981"/>
      <c r="F42" s="1981"/>
      <c r="G42" s="1981"/>
      <c r="H42" s="1981"/>
      <c r="I42" s="1981"/>
      <c r="J42" s="1981"/>
      <c r="K42" s="1981"/>
      <c r="L42" s="1981"/>
      <c r="M42" s="1981"/>
      <c r="N42" s="1981"/>
      <c r="O42" s="1981"/>
      <c r="P42" s="1981"/>
      <c r="Q42" s="1981"/>
      <c r="R42" s="1981"/>
      <c r="S42" s="1981"/>
    </row>
    <row r="43" spans="2:19" ht="13.5" hidden="1" outlineLevel="1">
      <c r="B43" s="1979"/>
      <c r="C43" s="1982"/>
      <c r="D43" s="1981"/>
      <c r="E43" s="1981"/>
      <c r="F43" s="1981"/>
      <c r="G43" s="1981"/>
      <c r="H43" s="1981"/>
      <c r="I43" s="1981"/>
      <c r="J43" s="1981"/>
      <c r="K43" s="1981"/>
      <c r="L43" s="1981"/>
      <c r="M43" s="1981"/>
      <c r="N43" s="1981"/>
      <c r="O43" s="1981"/>
      <c r="P43" s="1981"/>
      <c r="Q43" s="1981"/>
      <c r="R43" s="1981"/>
      <c r="S43" s="1981"/>
    </row>
    <row r="44" spans="2:19" ht="13.5" hidden="1" outlineLevel="1">
      <c r="B44" s="1979"/>
      <c r="C44" s="1983"/>
      <c r="D44" s="1981"/>
      <c r="E44" s="1981"/>
      <c r="F44" s="1981"/>
      <c r="G44" s="1981"/>
      <c r="H44" s="1981"/>
      <c r="I44" s="1981"/>
      <c r="J44" s="1981"/>
      <c r="K44" s="1981"/>
      <c r="L44" s="1981"/>
      <c r="M44" s="1981"/>
      <c r="N44" s="1981"/>
      <c r="O44" s="1981"/>
      <c r="P44" s="1981"/>
      <c r="Q44" s="1981"/>
      <c r="R44" s="1981"/>
      <c r="S44" s="1981"/>
    </row>
    <row r="45" spans="2:19" ht="13.5" hidden="1" outlineLevel="1">
      <c r="B45" s="1984"/>
      <c r="C45" s="1985"/>
      <c r="D45" s="1981"/>
      <c r="E45" s="1981"/>
      <c r="F45" s="1981"/>
      <c r="G45" s="1981"/>
      <c r="H45" s="1981"/>
      <c r="I45" s="1981"/>
      <c r="J45" s="1981"/>
      <c r="K45" s="1981"/>
      <c r="L45" s="1981"/>
      <c r="M45" s="1981"/>
      <c r="N45" s="1981"/>
      <c r="O45" s="1981"/>
      <c r="P45" s="1981"/>
      <c r="Q45" s="1981"/>
      <c r="R45" s="1981"/>
      <c r="S45" s="1981"/>
    </row>
    <row r="46" spans="2:19" ht="13.5" hidden="1" outlineLevel="1">
      <c r="B46" s="1976"/>
      <c r="C46" s="379"/>
      <c r="D46" s="1977"/>
      <c r="E46" s="1978"/>
      <c r="F46" s="1978"/>
      <c r="G46" s="1977"/>
      <c r="H46" s="1978"/>
      <c r="I46" s="1978"/>
      <c r="J46" s="1978"/>
      <c r="K46" s="1978"/>
      <c r="L46" s="1978"/>
      <c r="M46" s="1977"/>
      <c r="N46" s="1977"/>
      <c r="O46" s="1978"/>
      <c r="P46" s="1977"/>
      <c r="Q46" s="1977"/>
      <c r="R46" s="1978"/>
      <c r="S46" s="1978"/>
    </row>
    <row r="47" spans="2:19" ht="13.5" hidden="1" outlineLevel="1">
      <c r="B47" s="113"/>
      <c r="C47" s="1986"/>
      <c r="D47" s="1986"/>
      <c r="E47" s="1986"/>
      <c r="F47" s="1986"/>
      <c r="G47" s="1986"/>
      <c r="H47" s="1986"/>
      <c r="I47" s="1986"/>
      <c r="J47" s="1986"/>
      <c r="K47" s="1986"/>
      <c r="L47" s="1986"/>
      <c r="M47" s="1986"/>
      <c r="N47" s="1986"/>
      <c r="O47" s="1986"/>
      <c r="P47" s="1986"/>
      <c r="Q47" s="1986"/>
      <c r="R47" s="1986"/>
      <c r="S47" s="1986"/>
    </row>
    <row r="48" spans="2:19" ht="13.5" collapsed="1">
      <c r="B48" s="1979"/>
      <c r="C48" s="1980"/>
      <c r="D48" s="1981"/>
      <c r="E48" s="1981"/>
      <c r="F48" s="1981"/>
      <c r="G48" s="1981"/>
      <c r="H48" s="1981"/>
      <c r="I48" s="1981"/>
      <c r="J48" s="1981"/>
      <c r="K48" s="1981"/>
      <c r="L48" s="1981"/>
      <c r="M48" s="1981"/>
      <c r="N48" s="1981"/>
      <c r="O48" s="1981"/>
      <c r="P48" s="1981"/>
      <c r="Q48" s="1981"/>
      <c r="R48" s="1981"/>
      <c r="S48" s="1981"/>
    </row>
    <row r="49" spans="2:19" ht="13.5">
      <c r="B49" s="1979"/>
      <c r="C49" s="1982"/>
      <c r="D49" s="1981"/>
      <c r="E49" s="1981"/>
      <c r="F49" s="1981"/>
      <c r="G49" s="1981"/>
      <c r="H49" s="1981"/>
      <c r="I49" s="1981"/>
      <c r="J49" s="1981"/>
      <c r="K49" s="1981"/>
      <c r="L49" s="1981"/>
      <c r="M49" s="1981"/>
      <c r="N49" s="1981"/>
      <c r="O49" s="1981"/>
      <c r="P49" s="1981"/>
      <c r="Q49" s="1981"/>
      <c r="R49" s="1981"/>
      <c r="S49" s="1981"/>
    </row>
    <row r="50" spans="2:19" ht="13.5">
      <c r="B50" s="1979"/>
      <c r="C50" s="1" t="s">
        <v>268</v>
      </c>
      <c r="D50" s="1981"/>
      <c r="E50" s="1981"/>
      <c r="F50" s="1981"/>
      <c r="G50" s="1981"/>
      <c r="H50" s="1981"/>
      <c r="I50" s="1981"/>
      <c r="J50" s="1981"/>
      <c r="K50" s="1981"/>
      <c r="L50" s="1981"/>
      <c r="M50" s="1981"/>
      <c r="N50" s="1981"/>
      <c r="O50" s="1981"/>
      <c r="P50" s="1981"/>
      <c r="Q50" s="1981"/>
      <c r="R50" s="1981"/>
      <c r="S50" s="1981"/>
    </row>
    <row r="51" spans="2:19" ht="13.5">
      <c r="B51" s="1984"/>
      <c r="C51" s="1985"/>
      <c r="D51" s="1981"/>
      <c r="E51" s="1981"/>
      <c r="F51" s="1981"/>
      <c r="G51" s="1981"/>
      <c r="H51" s="1981"/>
      <c r="I51" s="1981"/>
      <c r="J51" s="1981"/>
      <c r="K51" s="1981"/>
      <c r="L51" s="1981"/>
      <c r="M51" s="1981"/>
      <c r="N51" s="1981"/>
      <c r="O51" s="1981"/>
      <c r="P51" s="1981"/>
      <c r="Q51" s="1981"/>
      <c r="R51" s="1981"/>
      <c r="S51" s="1981"/>
    </row>
    <row r="52" spans="2:19" ht="13.5">
      <c r="B52" s="113"/>
      <c r="C52" s="1986"/>
      <c r="D52" s="1986"/>
      <c r="E52" s="1986"/>
      <c r="F52" s="1986"/>
      <c r="G52" s="1986"/>
      <c r="H52" s="1986"/>
      <c r="I52" s="1986"/>
      <c r="J52" s="1986"/>
      <c r="K52" s="1986"/>
      <c r="L52" s="1986"/>
      <c r="M52" s="1986"/>
      <c r="N52" s="1986"/>
      <c r="O52" s="1986"/>
      <c r="P52" s="1986"/>
      <c r="Q52" s="1986"/>
      <c r="R52" s="1986"/>
      <c r="S52" s="1986"/>
    </row>
    <row r="53" spans="2:19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</sheetData>
  <sheetProtection/>
  <protectedRanges>
    <protectedRange password="CC01" sqref="S3:T3" name="Диапазон1_1"/>
  </protectedRanges>
  <mergeCells count="17">
    <mergeCell ref="B41:S41"/>
    <mergeCell ref="B31:S31"/>
    <mergeCell ref="G7:M7"/>
    <mergeCell ref="B14:S14"/>
    <mergeCell ref="B26:S26"/>
    <mergeCell ref="Q7:S7"/>
    <mergeCell ref="B10:S10"/>
    <mergeCell ref="B36:S36"/>
    <mergeCell ref="B5:S5"/>
    <mergeCell ref="N7:P7"/>
    <mergeCell ref="B25:S25"/>
    <mergeCell ref="B17:S17"/>
    <mergeCell ref="B7:B8"/>
    <mergeCell ref="B20:S20"/>
    <mergeCell ref="D7:F7"/>
    <mergeCell ref="C7:C8"/>
    <mergeCell ref="B11:S11"/>
  </mergeCells>
  <printOptions horizontalCentered="1"/>
  <pageMargins left="0.5511811023622047" right="0.2362204724409449" top="0.6299212598425197" bottom="0.35433070866141736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V145"/>
  <sheetViews>
    <sheetView view="pageBreakPreview" zoomScaleSheetLayoutView="100" workbookViewId="0" topLeftCell="A1">
      <pane xSplit="3" ySplit="10" topLeftCell="G98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A85" sqref="A85:IV97"/>
    </sheetView>
  </sheetViews>
  <sheetFormatPr defaultColWidth="9.140625" defaultRowHeight="15" outlineLevelRow="2" outlineLevelCol="1"/>
  <cols>
    <col min="1" max="1" width="7.00390625" style="539" customWidth="1"/>
    <col min="2" max="2" width="8.421875" style="1" customWidth="1"/>
    <col min="3" max="3" width="37.421875" style="1" customWidth="1"/>
    <col min="4" max="4" width="11.8515625" style="7" hidden="1" customWidth="1"/>
    <col min="5" max="5" width="10.7109375" style="7" hidden="1" customWidth="1"/>
    <col min="6" max="6" width="12.00390625" style="7" hidden="1" customWidth="1"/>
    <col min="7" max="8" width="11.8515625" style="1" customWidth="1"/>
    <col min="9" max="9" width="11.8515625" style="1" customWidth="1" outlineLevel="1"/>
    <col min="10" max="10" width="10.421875" style="1" customWidth="1" outlineLevel="1"/>
    <col min="11" max="11" width="10.28125" style="1" customWidth="1" outlineLevel="1"/>
    <col min="12" max="12" width="9.140625" style="1" customWidth="1"/>
    <col min="13" max="13" width="10.421875" style="1" customWidth="1"/>
    <col min="14" max="14" width="10.7109375" style="1" customWidth="1"/>
    <col min="15" max="15" width="10.140625" style="1" customWidth="1"/>
    <col min="16" max="16" width="10.28125" style="1" customWidth="1"/>
    <col min="17" max="17" width="11.140625" style="1" customWidth="1"/>
    <col min="18" max="16384" width="9.140625" style="1" customWidth="1"/>
  </cols>
  <sheetData>
    <row r="1" spans="1:14" s="537" customFormat="1" ht="12.75">
      <c r="A1" s="536"/>
      <c r="D1" s="538"/>
      <c r="E1" s="538"/>
      <c r="F1" s="538"/>
      <c r="G1" s="538"/>
      <c r="M1" s="1397"/>
      <c r="N1" s="1" t="s">
        <v>677</v>
      </c>
    </row>
    <row r="2" spans="2:14" ht="15.75">
      <c r="B2" s="52" t="s">
        <v>5</v>
      </c>
      <c r="C2" s="52"/>
      <c r="D2" s="52"/>
      <c r="E2" s="52"/>
      <c r="F2" s="1"/>
      <c r="K2" s="2" t="s">
        <v>1735</v>
      </c>
      <c r="M2" s="1398"/>
      <c r="N2" s="1" t="s">
        <v>678</v>
      </c>
    </row>
    <row r="3" spans="2:14" ht="15">
      <c r="B3" s="52" t="s">
        <v>1651</v>
      </c>
      <c r="C3" s="52"/>
      <c r="D3" s="52"/>
      <c r="E3" s="52"/>
      <c r="F3" s="1"/>
      <c r="M3" s="1399"/>
      <c r="N3" s="184" t="s">
        <v>679</v>
      </c>
    </row>
    <row r="4" spans="4:14" ht="15">
      <c r="D4" s="540"/>
      <c r="E4" s="540"/>
      <c r="F4" s="540"/>
      <c r="G4" s="184"/>
      <c r="H4" s="184"/>
      <c r="M4" s="1400"/>
      <c r="N4" s="1" t="s">
        <v>1456</v>
      </c>
    </row>
    <row r="5" spans="2:12" ht="16.5">
      <c r="B5" s="2096" t="s">
        <v>1183</v>
      </c>
      <c r="C5" s="2096"/>
      <c r="D5" s="2096"/>
      <c r="E5" s="2096"/>
      <c r="F5" s="2096"/>
      <c r="G5" s="2096"/>
      <c r="H5" s="2096"/>
      <c r="I5" s="2096"/>
      <c r="J5" s="2096"/>
      <c r="K5" s="2096"/>
      <c r="L5" s="541"/>
    </row>
    <row r="6" spans="2:12" ht="14.25">
      <c r="B6" s="542" t="s">
        <v>1736</v>
      </c>
      <c r="D6" s="1"/>
      <c r="E6" s="1"/>
      <c r="F6" s="1"/>
      <c r="L6" s="541"/>
    </row>
    <row r="7" spans="2:17" ht="12.75" customHeight="1">
      <c r="B7" s="2105" t="s">
        <v>1008</v>
      </c>
      <c r="C7" s="2112" t="s">
        <v>1016</v>
      </c>
      <c r="D7" s="2119" t="s">
        <v>1005</v>
      </c>
      <c r="E7" s="2120"/>
      <c r="F7" s="2120"/>
      <c r="G7" s="2120"/>
      <c r="H7" s="2121"/>
      <c r="I7" s="2119" t="s">
        <v>1007</v>
      </c>
      <c r="J7" s="2120"/>
      <c r="K7" s="2120"/>
      <c r="L7" s="2120"/>
      <c r="M7" s="2120"/>
      <c r="N7" s="2120"/>
      <c r="O7" s="2120"/>
      <c r="P7" s="2120"/>
      <c r="Q7" s="2121"/>
    </row>
    <row r="8" spans="2:17" ht="24" customHeight="1">
      <c r="B8" s="2111"/>
      <c r="C8" s="2111"/>
      <c r="D8" s="2113" t="s">
        <v>197</v>
      </c>
      <c r="E8" s="2114" t="s">
        <v>1788</v>
      </c>
      <c r="F8" s="719" t="s">
        <v>706</v>
      </c>
      <c r="G8" s="2116" t="s">
        <v>127</v>
      </c>
      <c r="H8" s="2117" t="s">
        <v>813</v>
      </c>
      <c r="I8" s="2115" t="s">
        <v>465</v>
      </c>
      <c r="J8" s="2115"/>
      <c r="K8" s="2115"/>
      <c r="L8" s="2115" t="s">
        <v>1489</v>
      </c>
      <c r="M8" s="2115"/>
      <c r="N8" s="2115"/>
      <c r="O8" s="2115" t="s">
        <v>814</v>
      </c>
      <c r="P8" s="2115"/>
      <c r="Q8" s="2115"/>
    </row>
    <row r="9" spans="2:17" ht="39.75" customHeight="1">
      <c r="B9" s="2106"/>
      <c r="C9" s="2106"/>
      <c r="D9" s="2106"/>
      <c r="E9" s="2003"/>
      <c r="F9" s="711"/>
      <c r="G9" s="2109"/>
      <c r="H9" s="2118"/>
      <c r="I9" s="544" t="s">
        <v>142</v>
      </c>
      <c r="J9" s="544" t="s">
        <v>707</v>
      </c>
      <c r="K9" s="544" t="s">
        <v>708</v>
      </c>
      <c r="L9" s="544" t="s">
        <v>142</v>
      </c>
      <c r="M9" s="544" t="s">
        <v>707</v>
      </c>
      <c r="N9" s="544" t="s">
        <v>708</v>
      </c>
      <c r="O9" s="544" t="s">
        <v>142</v>
      </c>
      <c r="P9" s="544" t="s">
        <v>707</v>
      </c>
      <c r="Q9" s="544" t="s">
        <v>708</v>
      </c>
    </row>
    <row r="10" spans="2:17" ht="15">
      <c r="B10" s="9">
        <v>1</v>
      </c>
      <c r="C10" s="160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545">
        <v>9</v>
      </c>
      <c r="J10" s="545">
        <v>10</v>
      </c>
      <c r="K10" s="545">
        <v>11</v>
      </c>
      <c r="L10" s="545">
        <v>9</v>
      </c>
      <c r="M10" s="545">
        <v>10</v>
      </c>
      <c r="N10" s="545">
        <v>11</v>
      </c>
      <c r="O10" s="545">
        <v>9</v>
      </c>
      <c r="P10" s="545">
        <v>10</v>
      </c>
      <c r="Q10" s="545">
        <v>11</v>
      </c>
    </row>
    <row r="11" spans="2:17" ht="42.75">
      <c r="B11" s="161" t="s">
        <v>1737</v>
      </c>
      <c r="C11" s="546" t="s">
        <v>819</v>
      </c>
      <c r="D11" s="163" t="e">
        <f>D12+D20+D21+D22+D24+D25+D26+D33+D49+D80+D81+D84</f>
        <v>#REF!</v>
      </c>
      <c r="E11" s="163" t="e">
        <f>E12+E20+E21+E22+E24+E25+E26+E33+E49+E80+E81+E84</f>
        <v>#REF!</v>
      </c>
      <c r="F11" s="163"/>
      <c r="G11" s="163">
        <f>G12+G20+G21+G22+G24+G25+G26+G33+G49+G80+G81</f>
        <v>24448.787425174192</v>
      </c>
      <c r="H11" s="163">
        <f>H12+H20+H21+H22+H24+H25+H26+H33+H49+H80+H81+H84</f>
        <v>26811.59036099008</v>
      </c>
      <c r="I11" s="163">
        <f aca="true" t="shared" si="0" ref="I11:Q11">I12+I20+I21+I22+I24+I25+I26+I33+I49+I80+I81+I82+I84</f>
        <v>27564.488039569107</v>
      </c>
      <c r="J11" s="163">
        <f t="shared" si="0"/>
        <v>15316.731140113854</v>
      </c>
      <c r="K11" s="163">
        <f t="shared" si="0"/>
        <v>12024.925930124124</v>
      </c>
      <c r="L11" s="163">
        <f t="shared" si="0"/>
        <v>29057.728654790077</v>
      </c>
      <c r="M11" s="163">
        <f t="shared" si="0"/>
        <v>16360.950143859674</v>
      </c>
      <c r="N11" s="163">
        <f t="shared" si="0"/>
        <v>12454.927740249079</v>
      </c>
      <c r="O11" s="163">
        <f t="shared" si="0"/>
        <v>30895.516797088494</v>
      </c>
      <c r="P11" s="163">
        <f t="shared" si="0"/>
        <v>17395.521385771677</v>
      </c>
      <c r="Q11" s="163">
        <f t="shared" si="0"/>
        <v>13243.04317249439</v>
      </c>
    </row>
    <row r="12" spans="1:17" ht="30">
      <c r="A12" s="547"/>
      <c r="B12" s="548" t="s">
        <v>1009</v>
      </c>
      <c r="C12" s="1403" t="s">
        <v>820</v>
      </c>
      <c r="D12" s="550">
        <f>D15+D17</f>
        <v>611</v>
      </c>
      <c r="E12" s="550">
        <f>E15+E17</f>
        <v>427</v>
      </c>
      <c r="F12" s="550"/>
      <c r="G12" s="569">
        <f>G15+G17</f>
        <v>537</v>
      </c>
      <c r="H12" s="569">
        <f>H15+H17</f>
        <v>1236</v>
      </c>
      <c r="I12" s="569">
        <f aca="true" t="shared" si="1" ref="I12:Q12">I15+I17</f>
        <v>1312.2199999999998</v>
      </c>
      <c r="J12" s="569">
        <f t="shared" si="1"/>
        <v>656.1099999999999</v>
      </c>
      <c r="K12" s="569">
        <f t="shared" si="1"/>
        <v>656.1099999999999</v>
      </c>
      <c r="L12" s="569">
        <f t="shared" si="1"/>
        <v>1783.034772</v>
      </c>
      <c r="M12" s="569">
        <f t="shared" si="1"/>
        <v>1086.9028859999999</v>
      </c>
      <c r="N12" s="569">
        <f t="shared" si="1"/>
        <v>696.1318859999999</v>
      </c>
      <c r="O12" s="569">
        <f t="shared" si="1"/>
        <v>1891.0192286519998</v>
      </c>
      <c r="P12" s="569">
        <f t="shared" si="1"/>
        <v>1152.4228588259998</v>
      </c>
      <c r="Q12" s="569">
        <f t="shared" si="1"/>
        <v>738.596369826</v>
      </c>
    </row>
    <row r="13" spans="1:17" ht="15" outlineLevel="1">
      <c r="A13" s="547"/>
      <c r="B13" s="548"/>
      <c r="C13" s="551" t="s">
        <v>1032</v>
      </c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</row>
    <row r="14" spans="1:18" ht="15" outlineLevel="1">
      <c r="A14" s="554"/>
      <c r="B14" s="548" t="s">
        <v>627</v>
      </c>
      <c r="C14" s="552" t="s">
        <v>821</v>
      </c>
      <c r="D14" s="550"/>
      <c r="E14" s="550"/>
      <c r="F14" s="550"/>
      <c r="G14" s="550"/>
      <c r="H14" s="550"/>
      <c r="I14" s="553"/>
      <c r="J14" s="553"/>
      <c r="K14" s="553"/>
      <c r="L14" s="553"/>
      <c r="M14" s="553"/>
      <c r="N14" s="553"/>
      <c r="O14" s="553"/>
      <c r="P14" s="553"/>
      <c r="Q14" s="553"/>
      <c r="R14" s="1" t="s">
        <v>1302</v>
      </c>
    </row>
    <row r="15" spans="1:18" ht="15" outlineLevel="1">
      <c r="A15" s="564"/>
      <c r="B15" s="548" t="s">
        <v>626</v>
      </c>
      <c r="C15" s="552" t="s">
        <v>822</v>
      </c>
      <c r="D15" s="550">
        <v>395</v>
      </c>
      <c r="E15" s="550">
        <v>309</v>
      </c>
      <c r="F15" s="550"/>
      <c r="G15" s="550">
        <v>412</v>
      </c>
      <c r="H15" s="550">
        <v>412</v>
      </c>
      <c r="I15" s="550">
        <f>J15+K15</f>
        <v>437.95599999999996</v>
      </c>
      <c r="J15" s="550">
        <f>H15*1.063/2</f>
        <v>218.97799999999998</v>
      </c>
      <c r="K15" s="550">
        <f>H15*1.063/2</f>
        <v>218.97799999999998</v>
      </c>
      <c r="L15" s="550">
        <f>M15+N15</f>
        <v>854.5664039999999</v>
      </c>
      <c r="M15" s="550">
        <f>(J15*1.059+369*1.059)</f>
        <v>622.6687019999999</v>
      </c>
      <c r="N15" s="550">
        <f>K15*1.059</f>
        <v>231.89770199999995</v>
      </c>
      <c r="O15" s="550">
        <f>P15+Q15</f>
        <v>904.9858218359998</v>
      </c>
      <c r="P15" s="550">
        <f>M15*1.059</f>
        <v>659.4061554179999</v>
      </c>
      <c r="Q15" s="550">
        <f>N15*1.059</f>
        <v>245.57966641799993</v>
      </c>
      <c r="R15" s="1" t="s">
        <v>1303</v>
      </c>
    </row>
    <row r="16" spans="1:18" ht="15" outlineLevel="1">
      <c r="A16" s="554"/>
      <c r="B16" s="548" t="s">
        <v>628</v>
      </c>
      <c r="C16" s="552" t="s">
        <v>823</v>
      </c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0"/>
      <c r="Q16" s="550"/>
      <c r="R16" s="1" t="s">
        <v>1304</v>
      </c>
    </row>
    <row r="17" spans="1:20" ht="30" outlineLevel="1">
      <c r="A17" s="554"/>
      <c r="B17" s="548" t="s">
        <v>169</v>
      </c>
      <c r="C17" s="552" t="s">
        <v>202</v>
      </c>
      <c r="D17" s="550">
        <v>216</v>
      </c>
      <c r="E17" s="550">
        <v>118</v>
      </c>
      <c r="F17" s="550"/>
      <c r="G17" s="550">
        <v>125</v>
      </c>
      <c r="H17" s="550">
        <v>824</v>
      </c>
      <c r="I17" s="550">
        <f>J17+K17</f>
        <v>874.2639999999999</v>
      </c>
      <c r="J17" s="550">
        <f>H17*1.061/2</f>
        <v>437.13199999999995</v>
      </c>
      <c r="K17" s="550">
        <f>H17*1.061/2</f>
        <v>437.13199999999995</v>
      </c>
      <c r="L17" s="550">
        <f>M17+N17</f>
        <v>928.4683679999999</v>
      </c>
      <c r="M17" s="550">
        <f>J17*1.062</f>
        <v>464.23418399999997</v>
      </c>
      <c r="N17" s="550">
        <f>K17*1.062</f>
        <v>464.23418399999997</v>
      </c>
      <c r="O17" s="550">
        <f>P17+Q17</f>
        <v>986.033406816</v>
      </c>
      <c r="P17" s="550">
        <f>M17*1.062</f>
        <v>493.016703408</v>
      </c>
      <c r="Q17" s="550">
        <f>N17*1.062</f>
        <v>493.016703408</v>
      </c>
      <c r="R17" s="1" t="s">
        <v>1305</v>
      </c>
      <c r="T17" s="1" t="s">
        <v>147</v>
      </c>
    </row>
    <row r="18" spans="1:17" ht="15" outlineLevel="1">
      <c r="A18" s="554"/>
      <c r="B18" s="548" t="s">
        <v>1346</v>
      </c>
      <c r="C18" s="552" t="s">
        <v>203</v>
      </c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</row>
    <row r="19" spans="1:17" ht="15" outlineLevel="1">
      <c r="A19" s="547"/>
      <c r="B19" s="548"/>
      <c r="C19" s="552" t="s">
        <v>204</v>
      </c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</row>
    <row r="20" spans="1:17" ht="15">
      <c r="A20" s="554"/>
      <c r="B20" s="548" t="s">
        <v>145</v>
      </c>
      <c r="C20" s="1401" t="s">
        <v>205</v>
      </c>
      <c r="D20" s="550">
        <f>'4.4'!D133</f>
        <v>10024</v>
      </c>
      <c r="E20" s="550">
        <f>'4.4'!E133</f>
        <v>8227</v>
      </c>
      <c r="F20" s="550"/>
      <c r="G20" s="569">
        <f>'4.4'!F133</f>
        <v>14160.166158774193</v>
      </c>
      <c r="H20" s="569">
        <f>'4.4'!G133</f>
        <v>14160.166158774193</v>
      </c>
      <c r="I20" s="569">
        <f>'4.4'!H133</f>
        <v>15026.263472087468</v>
      </c>
      <c r="J20" s="569">
        <f>'4.4'!I133</f>
        <v>8934.171485765273</v>
      </c>
      <c r="K20" s="569">
        <f>'4.4'!J133</f>
        <v>5869.261016991064</v>
      </c>
      <c r="L20" s="569">
        <f>'4.4'!K133</f>
        <v>15954.181122628968</v>
      </c>
      <c r="M20" s="569">
        <f>'4.4'!L133</f>
        <v>9480.647061571917</v>
      </c>
      <c r="N20" s="569">
        <f>'4.4'!M133</f>
        <v>6231.683290375724</v>
      </c>
      <c r="O20" s="569">
        <f>'4.4'!N133</f>
        <v>16939.410737105092</v>
      </c>
      <c r="P20" s="569">
        <f>'4.4'!O133</f>
        <v>10066.069596242898</v>
      </c>
      <c r="Q20" s="569">
        <f>'4.4'!P133</f>
        <v>6616.488902039774</v>
      </c>
    </row>
    <row r="21" spans="1:17" ht="30">
      <c r="A21" s="554"/>
      <c r="B21" s="548" t="s">
        <v>146</v>
      </c>
      <c r="C21" s="1401" t="s">
        <v>206</v>
      </c>
      <c r="D21" s="550" t="e">
        <f>#REF!</f>
        <v>#REF!</v>
      </c>
      <c r="E21" s="550" t="e">
        <f>#REF!</f>
        <v>#REF!</v>
      </c>
      <c r="F21" s="550"/>
      <c r="G21" s="569">
        <f>'4.7 '!J44</f>
        <v>579</v>
      </c>
      <c r="H21" s="569">
        <f>'4.7 '!J55</f>
        <v>836.4914157599999</v>
      </c>
      <c r="I21" s="569">
        <f>'4.7 '!J67</f>
        <v>910.1253779844799</v>
      </c>
      <c r="J21" s="569">
        <f>'4.7 '!J71</f>
        <v>535.76483</v>
      </c>
      <c r="K21" s="569">
        <f>'4.7 '!J72</f>
        <v>374.36054798448</v>
      </c>
      <c r="L21" s="569">
        <f>'4.7 '!J78</f>
        <v>993.702</v>
      </c>
      <c r="M21" s="569">
        <f>'4.7 '!J82</f>
        <v>588.27</v>
      </c>
      <c r="N21" s="569">
        <f>'4.7 '!J83</f>
        <v>405.432</v>
      </c>
      <c r="O21" s="569">
        <f>'4.7 '!J86</f>
        <v>1076.179</v>
      </c>
      <c r="P21" s="569">
        <f>'4.7 '!J90</f>
        <v>637.096</v>
      </c>
      <c r="Q21" s="569">
        <f>'4.7 '!J91</f>
        <v>439.083</v>
      </c>
    </row>
    <row r="22" spans="1:17" ht="15">
      <c r="A22" s="554"/>
      <c r="B22" s="548" t="s">
        <v>631</v>
      </c>
      <c r="C22" s="1402" t="s">
        <v>207</v>
      </c>
      <c r="D22" s="550">
        <v>5</v>
      </c>
      <c r="E22" s="550" t="e">
        <f>'4.8'!H12</f>
        <v>#REF!</v>
      </c>
      <c r="F22" s="550"/>
      <c r="G22" s="569">
        <f>'4.8'!E25</f>
        <v>235.9316664</v>
      </c>
      <c r="H22" s="569">
        <f>'4.8'!H25</f>
        <v>235.9316664</v>
      </c>
      <c r="I22" s="569">
        <f>'4.8'!E38</f>
        <v>258.2187408</v>
      </c>
      <c r="J22" s="569">
        <f>'4.8'!H38</f>
        <v>154.9566</v>
      </c>
      <c r="K22" s="569">
        <f>'4.8'!K38</f>
        <v>103.2621408</v>
      </c>
      <c r="L22" s="569">
        <f>'4.8'!E50</f>
        <v>276.6338027856</v>
      </c>
      <c r="M22" s="569">
        <f>'4.8'!H50</f>
        <v>165.18373559999998</v>
      </c>
      <c r="N22" s="569">
        <f>'4.8'!K50</f>
        <v>111.45006718559999</v>
      </c>
      <c r="O22" s="569">
        <f>'4.8'!E62</f>
        <v>295.16826757223515</v>
      </c>
      <c r="P22" s="569">
        <f>'4.8'!H62</f>
        <v>176.25104588519997</v>
      </c>
      <c r="Q22" s="569">
        <f>'4.8'!K62</f>
        <v>118.9172216870352</v>
      </c>
    </row>
    <row r="23" spans="1:17" ht="15">
      <c r="A23" s="547"/>
      <c r="B23" s="548" t="s">
        <v>632</v>
      </c>
      <c r="C23" s="1402" t="s">
        <v>208</v>
      </c>
      <c r="D23" s="550"/>
      <c r="E23" s="550"/>
      <c r="F23" s="555"/>
      <c r="G23" s="569"/>
      <c r="H23" s="550"/>
      <c r="I23" s="550"/>
      <c r="J23" s="550"/>
      <c r="K23" s="550"/>
      <c r="L23" s="550"/>
      <c r="M23" s="550"/>
      <c r="N23" s="550"/>
      <c r="O23" s="550"/>
      <c r="P23" s="550"/>
      <c r="Q23" s="550"/>
    </row>
    <row r="24" spans="1:24" ht="31.5" customHeight="1">
      <c r="A24" s="554"/>
      <c r="B24" s="548" t="s">
        <v>633</v>
      </c>
      <c r="C24" s="1404" t="s">
        <v>209</v>
      </c>
      <c r="D24" s="550" t="e">
        <f>#REF!</f>
        <v>#REF!</v>
      </c>
      <c r="E24" s="550" t="e">
        <f>#REF!</f>
        <v>#REF!</v>
      </c>
      <c r="F24" s="550"/>
      <c r="G24" s="569">
        <f>'4.10'!G109</f>
        <v>456.2</v>
      </c>
      <c r="H24" s="569">
        <f>'4.10'!H109</f>
        <v>456.2</v>
      </c>
      <c r="I24" s="569">
        <f>'4.10'!I109</f>
        <v>311</v>
      </c>
      <c r="J24" s="569">
        <f>'4.10'!J109</f>
        <v>174</v>
      </c>
      <c r="K24" s="569">
        <f>'4.10'!K109</f>
        <v>137</v>
      </c>
      <c r="L24" s="569">
        <f>'4.10'!L109</f>
        <v>205</v>
      </c>
      <c r="M24" s="569">
        <f>'4.10'!M109</f>
        <v>131</v>
      </c>
      <c r="N24" s="569">
        <f>'4.10'!N109</f>
        <v>74</v>
      </c>
      <c r="O24" s="569">
        <f>'4.10'!O109</f>
        <v>236</v>
      </c>
      <c r="P24" s="569">
        <f>'4.10'!P109</f>
        <v>134.2</v>
      </c>
      <c r="Q24" s="569">
        <f>'4.10'!Q109</f>
        <v>101.7</v>
      </c>
      <c r="R24" s="2122" t="s">
        <v>1300</v>
      </c>
      <c r="S24" s="2123"/>
      <c r="T24" s="2123"/>
      <c r="U24" s="2123"/>
      <c r="V24" s="1941"/>
      <c r="W24" s="1941"/>
      <c r="X24" s="1941"/>
    </row>
    <row r="25" spans="1:17" ht="13.5">
      <c r="A25" s="554"/>
      <c r="B25" s="548" t="s">
        <v>634</v>
      </c>
      <c r="C25" s="1403" t="s">
        <v>210</v>
      </c>
      <c r="D25" s="550" t="e">
        <f>#REF!</f>
        <v>#REF!</v>
      </c>
      <c r="E25" s="550" t="e">
        <f>#REF!</f>
        <v>#REF!</v>
      </c>
      <c r="F25" s="550"/>
      <c r="G25" s="569">
        <f>'4.9 '!G49</f>
        <v>5964.4896</v>
      </c>
      <c r="H25" s="569">
        <f>'4.9 '!H49</f>
        <v>6941.705929382401</v>
      </c>
      <c r="I25" s="569">
        <f>'4.9 '!I44+'4.9 '!I45</f>
        <v>6496.63936151856</v>
      </c>
      <c r="J25" s="569">
        <f>'4.9 '!J44+'4.9 '!J45</f>
        <v>3173.31968075928</v>
      </c>
      <c r="K25" s="569">
        <f>'4.9 '!K44+'4.9 '!K45</f>
        <v>3323.31968075928</v>
      </c>
      <c r="L25" s="569">
        <f>'4.9 '!L44+'4.9 '!L45</f>
        <v>6854.55452640208</v>
      </c>
      <c r="M25" s="569">
        <f>'4.9 '!M44+'4.9 '!M45</f>
        <v>3347.85226320104</v>
      </c>
      <c r="N25" s="569">
        <f>'4.9 '!N44+'4.9 '!N45</f>
        <v>3506.70226320104</v>
      </c>
      <c r="O25" s="569">
        <f>'4.9 '!O49</f>
        <v>7232.190425354193</v>
      </c>
      <c r="P25" s="569">
        <f>'4.9 '!P44</f>
        <v>3531.984137677097</v>
      </c>
      <c r="Q25" s="569">
        <f>'4.9 '!Q49</f>
        <v>3700.206287677097</v>
      </c>
    </row>
    <row r="26" spans="1:17" ht="13.5">
      <c r="A26" s="554"/>
      <c r="B26" s="548" t="s">
        <v>635</v>
      </c>
      <c r="C26" s="1404" t="s">
        <v>211</v>
      </c>
      <c r="D26" s="550" t="e">
        <f>#REF!</f>
        <v>#REF!</v>
      </c>
      <c r="E26" s="550" t="e">
        <f>#REF!</f>
        <v>#REF!</v>
      </c>
      <c r="F26" s="550"/>
      <c r="G26" s="569">
        <f>'4.9 '!G47</f>
        <v>1566</v>
      </c>
      <c r="H26" s="569">
        <f>'4.9 '!H47</f>
        <v>2051.095190673485</v>
      </c>
      <c r="I26" s="569">
        <f>'4.9 '!I47</f>
        <v>1916.685087178605</v>
      </c>
      <c r="J26" s="569">
        <f>'4.9 '!J47</f>
        <v>958.3425435893025</v>
      </c>
      <c r="K26" s="569">
        <f>'4.9 '!K47</f>
        <v>958.3425435893025</v>
      </c>
      <c r="L26" s="569">
        <f>'4.9 '!L47</f>
        <v>2022.102766973428</v>
      </c>
      <c r="M26" s="569">
        <f>'4.9 '!M47</f>
        <v>1011.051383486714</v>
      </c>
      <c r="N26" s="569">
        <f>'4.9 '!N47</f>
        <v>1011.051383486714</v>
      </c>
      <c r="O26" s="569">
        <f>'4.9 '!O47</f>
        <v>2133.3184191569667</v>
      </c>
      <c r="P26" s="569">
        <f>'4.9 '!P47</f>
        <v>1066.6592095784833</v>
      </c>
      <c r="Q26" s="569">
        <f>'4.9 '!Q47</f>
        <v>1066.6592095784833</v>
      </c>
    </row>
    <row r="27" spans="1:17" ht="27">
      <c r="A27" s="554"/>
      <c r="B27" s="167" t="s">
        <v>212</v>
      </c>
      <c r="C27" s="1403" t="s">
        <v>213</v>
      </c>
      <c r="D27" s="557"/>
      <c r="E27" s="557"/>
      <c r="F27" s="557"/>
      <c r="G27" s="557"/>
      <c r="H27" s="557"/>
      <c r="I27" s="550"/>
      <c r="J27" s="550"/>
      <c r="K27" s="550"/>
      <c r="L27" s="550"/>
      <c r="M27" s="550"/>
      <c r="N27" s="550"/>
      <c r="O27" s="550"/>
      <c r="P27" s="550"/>
      <c r="Q27" s="550"/>
    </row>
    <row r="28" spans="1:17" ht="49.5" customHeight="1">
      <c r="A28" s="547"/>
      <c r="B28" s="167" t="s">
        <v>214</v>
      </c>
      <c r="C28" s="1404" t="s">
        <v>215</v>
      </c>
      <c r="D28" s="557"/>
      <c r="E28" s="557"/>
      <c r="F28" s="557"/>
      <c r="G28" s="557"/>
      <c r="H28" s="557"/>
      <c r="I28" s="550"/>
      <c r="J28" s="550"/>
      <c r="K28" s="550"/>
      <c r="L28" s="550"/>
      <c r="M28" s="550"/>
      <c r="N28" s="550"/>
      <c r="O28" s="550"/>
      <c r="P28" s="550"/>
      <c r="Q28" s="550"/>
    </row>
    <row r="29" spans="1:17" ht="13.5" hidden="1" outlineLevel="1">
      <c r="A29" s="547"/>
      <c r="B29" s="167"/>
      <c r="C29" s="558" t="s">
        <v>1032</v>
      </c>
      <c r="D29" s="557"/>
      <c r="E29" s="557"/>
      <c r="F29" s="557"/>
      <c r="G29" s="557"/>
      <c r="H29" s="557"/>
      <c r="I29" s="550"/>
      <c r="J29" s="550"/>
      <c r="K29" s="550"/>
      <c r="L29" s="550"/>
      <c r="M29" s="550"/>
      <c r="N29" s="550"/>
      <c r="O29" s="550"/>
      <c r="P29" s="550"/>
      <c r="Q29" s="550"/>
    </row>
    <row r="30" spans="1:17" ht="13.5" hidden="1" outlineLevel="1">
      <c r="A30" s="547"/>
      <c r="B30" s="167"/>
      <c r="C30" s="559"/>
      <c r="D30" s="557"/>
      <c r="E30" s="557"/>
      <c r="F30" s="557"/>
      <c r="G30" s="557"/>
      <c r="H30" s="557"/>
      <c r="I30" s="550"/>
      <c r="J30" s="550"/>
      <c r="K30" s="550"/>
      <c r="L30" s="550"/>
      <c r="M30" s="550"/>
      <c r="N30" s="550"/>
      <c r="O30" s="550"/>
      <c r="P30" s="550"/>
      <c r="Q30" s="550"/>
    </row>
    <row r="31" spans="1:17" ht="13.5" hidden="1" outlineLevel="1">
      <c r="A31" s="547"/>
      <c r="B31" s="167"/>
      <c r="C31" s="559"/>
      <c r="D31" s="557"/>
      <c r="E31" s="557"/>
      <c r="F31" s="557"/>
      <c r="G31" s="557"/>
      <c r="H31" s="557"/>
      <c r="I31" s="550"/>
      <c r="J31" s="550"/>
      <c r="K31" s="550"/>
      <c r="L31" s="550"/>
      <c r="M31" s="550"/>
      <c r="N31" s="550"/>
      <c r="O31" s="550"/>
      <c r="P31" s="550"/>
      <c r="Q31" s="550"/>
    </row>
    <row r="32" spans="1:17" ht="13.5" hidden="1" outlineLevel="1">
      <c r="A32" s="547"/>
      <c r="B32" s="167"/>
      <c r="C32" s="559"/>
      <c r="D32" s="557"/>
      <c r="E32" s="557"/>
      <c r="F32" s="557"/>
      <c r="G32" s="557"/>
      <c r="H32" s="557"/>
      <c r="I32" s="550"/>
      <c r="J32" s="550"/>
      <c r="K32" s="550"/>
      <c r="L32" s="550"/>
      <c r="M32" s="550"/>
      <c r="N32" s="550"/>
      <c r="O32" s="550"/>
      <c r="P32" s="550"/>
      <c r="Q32" s="550"/>
    </row>
    <row r="33" spans="1:17" ht="76.5" customHeight="1" collapsed="1">
      <c r="A33" s="547"/>
      <c r="B33" s="167" t="s">
        <v>216</v>
      </c>
      <c r="C33" s="1403" t="s">
        <v>217</v>
      </c>
      <c r="D33" s="557">
        <f>SUM(D34:D48)</f>
        <v>299</v>
      </c>
      <c r="E33" s="557">
        <f>SUM(E34:E48)</f>
        <v>240</v>
      </c>
      <c r="F33" s="557"/>
      <c r="G33" s="163">
        <f>SUM(G34:G48)</f>
        <v>222</v>
      </c>
      <c r="H33" s="163">
        <f>SUM(H34:H48)</f>
        <v>136</v>
      </c>
      <c r="I33" s="163">
        <f>SUM(I34:I48)</f>
        <v>527.568</v>
      </c>
      <c r="J33" s="557">
        <f>SUM(J34:J48)</f>
        <v>264.284</v>
      </c>
      <c r="K33" s="557">
        <f>SUM(K34:K48)</f>
        <v>263.284</v>
      </c>
      <c r="L33" s="163">
        <f aca="true" t="shared" si="2" ref="L33:Q33">SUM(L34:L48)</f>
        <v>153.09751199999997</v>
      </c>
      <c r="M33" s="557">
        <f t="shared" si="2"/>
        <v>76.54875599999998</v>
      </c>
      <c r="N33" s="557">
        <f t="shared" si="2"/>
        <v>76.54875599999998</v>
      </c>
      <c r="O33" s="163">
        <f t="shared" si="2"/>
        <v>162.13026520799997</v>
      </c>
      <c r="P33" s="557">
        <f t="shared" si="2"/>
        <v>81.06513260399998</v>
      </c>
      <c r="Q33" s="557">
        <f t="shared" si="2"/>
        <v>81.06513260399998</v>
      </c>
    </row>
    <row r="34" spans="1:17" ht="13.5" outlineLevel="1">
      <c r="A34" s="547"/>
      <c r="B34" s="167"/>
      <c r="C34" s="558" t="s">
        <v>1032</v>
      </c>
      <c r="D34" s="557"/>
      <c r="E34" s="557"/>
      <c r="F34" s="557"/>
      <c r="G34" s="557"/>
      <c r="H34" s="557"/>
      <c r="I34" s="550"/>
      <c r="J34" s="550"/>
      <c r="K34" s="550"/>
      <c r="L34" s="550"/>
      <c r="M34" s="550"/>
      <c r="N34" s="550"/>
      <c r="O34" s="550"/>
      <c r="P34" s="550"/>
      <c r="Q34" s="550"/>
    </row>
    <row r="35" spans="1:17" ht="13.5" outlineLevel="1">
      <c r="A35" s="547"/>
      <c r="B35" s="167" t="s">
        <v>218</v>
      </c>
      <c r="C35" s="1410" t="s">
        <v>1068</v>
      </c>
      <c r="D35" s="557">
        <v>141</v>
      </c>
      <c r="E35" s="557">
        <v>94</v>
      </c>
      <c r="F35" s="557"/>
      <c r="G35" s="557"/>
      <c r="H35" s="557"/>
      <c r="I35" s="550"/>
      <c r="J35" s="550"/>
      <c r="K35" s="550">
        <f>G35*1.057/2</f>
        <v>0</v>
      </c>
      <c r="L35" s="550">
        <f>M35+N35</f>
        <v>0</v>
      </c>
      <c r="M35" s="550">
        <f>J35*1.048</f>
        <v>0</v>
      </c>
      <c r="N35" s="550">
        <f>K35*1.048</f>
        <v>0</v>
      </c>
      <c r="O35" s="550">
        <f>P35+Q35</f>
        <v>0</v>
      </c>
      <c r="P35" s="550">
        <f>M35*1.048</f>
        <v>0</v>
      </c>
      <c r="Q35" s="550">
        <f>N35*1.048</f>
        <v>0</v>
      </c>
    </row>
    <row r="36" spans="1:17" ht="13.5" outlineLevel="1">
      <c r="A36" s="554"/>
      <c r="B36" s="167" t="s">
        <v>219</v>
      </c>
      <c r="C36" s="1410" t="s">
        <v>1069</v>
      </c>
      <c r="D36" s="557">
        <v>158</v>
      </c>
      <c r="E36" s="557">
        <v>146</v>
      </c>
      <c r="F36" s="557"/>
      <c r="G36" s="557">
        <v>86</v>
      </c>
      <c r="H36" s="557"/>
      <c r="I36" s="550"/>
      <c r="J36" s="550"/>
      <c r="K36" s="550">
        <v>0</v>
      </c>
      <c r="L36" s="550">
        <v>0</v>
      </c>
      <c r="M36" s="550">
        <v>0</v>
      </c>
      <c r="N36" s="550">
        <v>0</v>
      </c>
      <c r="O36" s="550">
        <v>0</v>
      </c>
      <c r="P36" s="550">
        <v>0</v>
      </c>
      <c r="Q36" s="550">
        <v>0</v>
      </c>
    </row>
    <row r="37" spans="1:17" ht="13.5" outlineLevel="1">
      <c r="A37" s="554"/>
      <c r="B37" s="167" t="s">
        <v>220</v>
      </c>
      <c r="C37" s="1410" t="s">
        <v>221</v>
      </c>
      <c r="D37" s="557"/>
      <c r="E37" s="557"/>
      <c r="F37" s="557"/>
      <c r="G37" s="557">
        <v>136</v>
      </c>
      <c r="H37" s="557">
        <v>136</v>
      </c>
      <c r="I37" s="550">
        <f>H37*1.063</f>
        <v>144.56799999999998</v>
      </c>
      <c r="J37" s="550">
        <f>I37/2</f>
        <v>72.28399999999999</v>
      </c>
      <c r="K37" s="550">
        <f>I37/2</f>
        <v>72.28399999999999</v>
      </c>
      <c r="L37" s="550">
        <f>M37+N37</f>
        <v>153.09751199999997</v>
      </c>
      <c r="M37" s="550">
        <f>J37*1.059</f>
        <v>76.54875599999998</v>
      </c>
      <c r="N37" s="550">
        <f>K37*1.059</f>
        <v>76.54875599999998</v>
      </c>
      <c r="O37" s="550">
        <f>P37+Q37</f>
        <v>162.13026520799997</v>
      </c>
      <c r="P37" s="550">
        <f>M37*1.059</f>
        <v>81.06513260399998</v>
      </c>
      <c r="Q37" s="550">
        <f>N37*1.059</f>
        <v>81.06513260399998</v>
      </c>
    </row>
    <row r="38" spans="1:17" ht="13.5" outlineLevel="1">
      <c r="A38" s="554"/>
      <c r="B38" s="167" t="s">
        <v>222</v>
      </c>
      <c r="C38" s="1410" t="s">
        <v>235</v>
      </c>
      <c r="D38" s="557"/>
      <c r="E38" s="557"/>
      <c r="F38" s="557"/>
      <c r="G38" s="557"/>
      <c r="H38" s="557"/>
      <c r="I38" s="550">
        <f>J38+K38</f>
        <v>110</v>
      </c>
      <c r="J38" s="550">
        <v>55</v>
      </c>
      <c r="K38" s="550">
        <v>55</v>
      </c>
      <c r="L38" s="550"/>
      <c r="M38" s="550"/>
      <c r="N38" s="550"/>
      <c r="O38" s="550"/>
      <c r="P38" s="550"/>
      <c r="Q38" s="550"/>
    </row>
    <row r="39" spans="1:17" ht="15" customHeight="1" outlineLevel="1">
      <c r="A39" s="554"/>
      <c r="B39" s="167" t="s">
        <v>223</v>
      </c>
      <c r="C39" s="1411" t="s">
        <v>234</v>
      </c>
      <c r="D39" s="557"/>
      <c r="E39" s="557"/>
      <c r="F39" s="557"/>
      <c r="G39" s="557"/>
      <c r="H39" s="557"/>
      <c r="I39" s="550">
        <f>J39+K39</f>
        <v>210</v>
      </c>
      <c r="J39" s="550">
        <v>105</v>
      </c>
      <c r="K39" s="550">
        <v>105</v>
      </c>
      <c r="L39" s="550"/>
      <c r="M39" s="550"/>
      <c r="N39" s="550"/>
      <c r="O39" s="550"/>
      <c r="P39" s="550"/>
      <c r="Q39" s="550"/>
    </row>
    <row r="40" spans="1:17" ht="13.5" outlineLevel="1">
      <c r="A40" s="554"/>
      <c r="B40" s="167" t="s">
        <v>224</v>
      </c>
      <c r="C40" s="1410" t="s">
        <v>1428</v>
      </c>
      <c r="D40" s="557"/>
      <c r="E40" s="557"/>
      <c r="F40" s="557"/>
      <c r="G40" s="557"/>
      <c r="H40" s="557"/>
      <c r="I40" s="550">
        <f>J40+K40</f>
        <v>63</v>
      </c>
      <c r="J40" s="550">
        <v>32</v>
      </c>
      <c r="K40" s="550">
        <v>31</v>
      </c>
      <c r="L40" s="550"/>
      <c r="M40" s="550"/>
      <c r="N40" s="550"/>
      <c r="O40" s="550"/>
      <c r="P40" s="550"/>
      <c r="Q40" s="550"/>
    </row>
    <row r="41" spans="1:17" ht="28.5" customHeight="1" hidden="1" outlineLevel="1">
      <c r="A41" s="554"/>
      <c r="B41" s="167" t="s">
        <v>225</v>
      </c>
      <c r="C41" s="1411" t="s">
        <v>233</v>
      </c>
      <c r="D41" s="557"/>
      <c r="E41" s="557"/>
      <c r="F41" s="557"/>
      <c r="G41" s="557"/>
      <c r="H41" s="557"/>
      <c r="I41" s="550"/>
      <c r="J41" s="550"/>
      <c r="K41" s="550"/>
      <c r="L41" s="550"/>
      <c r="M41" s="550"/>
      <c r="N41" s="550"/>
      <c r="O41" s="550"/>
      <c r="P41" s="550"/>
      <c r="Q41" s="550"/>
    </row>
    <row r="42" spans="1:17" ht="13.5" hidden="1" outlineLevel="1">
      <c r="A42" s="554"/>
      <c r="B42" s="167" t="s">
        <v>226</v>
      </c>
      <c r="C42" s="1410" t="s">
        <v>229</v>
      </c>
      <c r="D42" s="557"/>
      <c r="E42" s="557"/>
      <c r="F42" s="557"/>
      <c r="G42" s="557"/>
      <c r="H42" s="557"/>
      <c r="I42" s="550"/>
      <c r="J42" s="550"/>
      <c r="K42" s="550"/>
      <c r="L42" s="550"/>
      <c r="M42" s="550"/>
      <c r="N42" s="550"/>
      <c r="O42" s="550"/>
      <c r="P42" s="550"/>
      <c r="Q42" s="550"/>
    </row>
    <row r="43" spans="1:17" ht="13.5" hidden="1" outlineLevel="1">
      <c r="A43" s="554"/>
      <c r="B43" s="167" t="s">
        <v>227</v>
      </c>
      <c r="C43" s="1410" t="s">
        <v>231</v>
      </c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P43" s="550"/>
      <c r="Q43" s="550"/>
    </row>
    <row r="44" spans="1:17" ht="28.5" customHeight="1" hidden="1" outlineLevel="1">
      <c r="A44" s="554"/>
      <c r="B44" s="167" t="s">
        <v>228</v>
      </c>
      <c r="C44" s="1411" t="s">
        <v>233</v>
      </c>
      <c r="D44" s="557"/>
      <c r="E44" s="557"/>
      <c r="F44" s="557"/>
      <c r="G44" s="557"/>
      <c r="H44" s="557"/>
      <c r="I44" s="550"/>
      <c r="J44" s="550"/>
      <c r="K44" s="550"/>
      <c r="L44" s="550"/>
      <c r="M44" s="550"/>
      <c r="N44" s="550"/>
      <c r="O44" s="550"/>
      <c r="P44" s="550"/>
      <c r="Q44" s="550"/>
    </row>
    <row r="45" spans="1:17" ht="13.5" hidden="1" outlineLevel="1">
      <c r="A45" s="554"/>
      <c r="B45" s="167" t="s">
        <v>230</v>
      </c>
      <c r="C45" s="560"/>
      <c r="D45" s="557"/>
      <c r="E45" s="557"/>
      <c r="F45" s="557"/>
      <c r="G45" s="557"/>
      <c r="H45" s="557"/>
      <c r="I45" s="550"/>
      <c r="J45" s="550"/>
      <c r="K45" s="550"/>
      <c r="L45" s="550"/>
      <c r="M45" s="550"/>
      <c r="N45" s="550"/>
      <c r="O45" s="550"/>
      <c r="P45" s="550"/>
      <c r="Q45" s="550"/>
    </row>
    <row r="46" spans="1:17" ht="13.5" hidden="1" outlineLevel="1">
      <c r="A46" s="554"/>
      <c r="B46" s="167" t="s">
        <v>232</v>
      </c>
      <c r="C46" s="561"/>
      <c r="D46" s="557"/>
      <c r="E46" s="557"/>
      <c r="F46" s="557"/>
      <c r="G46" s="557"/>
      <c r="H46" s="557"/>
      <c r="I46" s="550"/>
      <c r="J46" s="550"/>
      <c r="K46" s="550"/>
      <c r="L46" s="550"/>
      <c r="M46" s="550"/>
      <c r="N46" s="550"/>
      <c r="O46" s="550"/>
      <c r="P46" s="550"/>
      <c r="Q46" s="550"/>
    </row>
    <row r="47" spans="1:17" ht="13.5" hidden="1" outlineLevel="1">
      <c r="A47" s="554"/>
      <c r="B47" s="167" t="s">
        <v>220</v>
      </c>
      <c r="C47" s="560"/>
      <c r="D47" s="557"/>
      <c r="E47" s="557"/>
      <c r="F47" s="557"/>
      <c r="G47" s="557"/>
      <c r="H47" s="557"/>
      <c r="I47" s="550"/>
      <c r="J47" s="550"/>
      <c r="K47" s="550"/>
      <c r="L47" s="550"/>
      <c r="M47" s="550"/>
      <c r="N47" s="550"/>
      <c r="O47" s="550"/>
      <c r="P47" s="550"/>
      <c r="Q47" s="550"/>
    </row>
    <row r="48" spans="1:17" ht="16.5" customHeight="1" hidden="1" outlineLevel="1">
      <c r="A48" s="554"/>
      <c r="B48" s="167" t="s">
        <v>222</v>
      </c>
      <c r="C48" s="561"/>
      <c r="D48" s="557"/>
      <c r="E48" s="557"/>
      <c r="F48" s="557"/>
      <c r="G48" s="557"/>
      <c r="H48" s="557"/>
      <c r="I48" s="550"/>
      <c r="J48" s="550"/>
      <c r="K48" s="550"/>
      <c r="L48" s="550"/>
      <c r="M48" s="550"/>
      <c r="N48" s="550"/>
      <c r="O48" s="550"/>
      <c r="P48" s="550"/>
      <c r="Q48" s="550"/>
    </row>
    <row r="49" spans="1:17" ht="110.25" customHeight="1" collapsed="1">
      <c r="A49" s="547"/>
      <c r="B49" s="167" t="s">
        <v>236</v>
      </c>
      <c r="C49" s="1403" t="s">
        <v>237</v>
      </c>
      <c r="D49" s="557">
        <f>SUM(D50:D72,D77:D78)</f>
        <v>254</v>
      </c>
      <c r="E49" s="557">
        <f aca="true" t="shared" si="3" ref="E49:K49">SUM(E50:E72,E77:E78)</f>
        <v>282</v>
      </c>
      <c r="F49" s="557"/>
      <c r="G49" s="163">
        <f t="shared" si="3"/>
        <v>510</v>
      </c>
      <c r="H49" s="163">
        <f>SUM(H50:H72,H77:H78)</f>
        <v>540</v>
      </c>
      <c r="I49" s="163">
        <f t="shared" si="3"/>
        <v>552.35</v>
      </c>
      <c r="J49" s="163">
        <f t="shared" si="3"/>
        <v>309.12800000000004</v>
      </c>
      <c r="K49" s="163">
        <f t="shared" si="3"/>
        <v>243.22200000000004</v>
      </c>
      <c r="L49" s="163">
        <f aca="true" t="shared" si="4" ref="L49:Q49">SUM(L50:L72,L77:L78)</f>
        <v>556.61049</v>
      </c>
      <c r="M49" s="163">
        <f t="shared" si="4"/>
        <v>313.20247200000006</v>
      </c>
      <c r="N49" s="163">
        <f t="shared" si="4"/>
        <v>243.40801800000003</v>
      </c>
      <c r="O49" s="163">
        <f t="shared" si="4"/>
        <v>665.576903982</v>
      </c>
      <c r="P49" s="163">
        <f t="shared" si="4"/>
        <v>385.629615384</v>
      </c>
      <c r="Q49" s="163">
        <f t="shared" si="4"/>
        <v>279.947288598</v>
      </c>
    </row>
    <row r="50" spans="1:17" ht="13.5" outlineLevel="1">
      <c r="A50" s="547"/>
      <c r="B50" s="167"/>
      <c r="C50" s="558" t="s">
        <v>1032</v>
      </c>
      <c r="D50" s="557"/>
      <c r="E50" s="557"/>
      <c r="F50" s="557"/>
      <c r="G50" s="557"/>
      <c r="H50" s="557"/>
      <c r="I50" s="550"/>
      <c r="J50" s="550"/>
      <c r="K50" s="550"/>
      <c r="L50" s="550"/>
      <c r="M50" s="550"/>
      <c r="N50" s="550"/>
      <c r="O50" s="550"/>
      <c r="P50" s="550"/>
      <c r="Q50" s="550"/>
    </row>
    <row r="51" spans="1:17" ht="13.5" outlineLevel="1">
      <c r="A51" s="554"/>
      <c r="B51" s="167" t="s">
        <v>238</v>
      </c>
      <c r="C51" s="1409" t="s">
        <v>765</v>
      </c>
      <c r="D51" s="557">
        <v>18</v>
      </c>
      <c r="E51" s="557">
        <v>56</v>
      </c>
      <c r="F51" s="550"/>
      <c r="G51" s="557">
        <v>40</v>
      </c>
      <c r="H51" s="557">
        <f>G51</f>
        <v>40</v>
      </c>
      <c r="I51" s="550">
        <f aca="true" t="shared" si="5" ref="I51:I77">J51+K51</f>
        <v>42.519999999999996</v>
      </c>
      <c r="J51" s="550">
        <f>20*1.063</f>
        <v>21.259999999999998</v>
      </c>
      <c r="K51" s="550">
        <f>20*1.063</f>
        <v>21.259999999999998</v>
      </c>
      <c r="L51" s="550">
        <f aca="true" t="shared" si="6" ref="L51:L77">M51+N51</f>
        <v>45.028679999999994</v>
      </c>
      <c r="M51" s="550">
        <f>K51*1.059</f>
        <v>22.514339999999997</v>
      </c>
      <c r="N51" s="550">
        <f>K51*1.059</f>
        <v>22.514339999999997</v>
      </c>
      <c r="O51" s="550">
        <f aca="true" t="shared" si="7" ref="O51:O77">P51+Q51</f>
        <v>47.68537211999999</v>
      </c>
      <c r="P51" s="550">
        <f>M51*1.059</f>
        <v>23.842686059999995</v>
      </c>
      <c r="Q51" s="550">
        <f>N51*1.059</f>
        <v>23.842686059999995</v>
      </c>
    </row>
    <row r="52" spans="1:17" ht="13.5" outlineLevel="1">
      <c r="A52" s="554"/>
      <c r="B52" s="167" t="s">
        <v>766</v>
      </c>
      <c r="C52" s="1409" t="s">
        <v>767</v>
      </c>
      <c r="D52" s="557">
        <v>45</v>
      </c>
      <c r="E52" s="557">
        <v>30</v>
      </c>
      <c r="F52" s="550"/>
      <c r="G52" s="557">
        <v>32</v>
      </c>
      <c r="H52" s="557">
        <f aca="true" t="shared" si="8" ref="H52:H58">G52</f>
        <v>32</v>
      </c>
      <c r="I52" s="550">
        <f t="shared" si="5"/>
        <v>34.016</v>
      </c>
      <c r="J52" s="550">
        <f>G52*1.063/2</f>
        <v>17.008</v>
      </c>
      <c r="K52" s="550">
        <f>G52*1.063/2</f>
        <v>17.008</v>
      </c>
      <c r="L52" s="550">
        <f t="shared" si="6"/>
        <v>0</v>
      </c>
      <c r="M52" s="550">
        <v>0</v>
      </c>
      <c r="N52" s="550"/>
      <c r="O52" s="550">
        <f t="shared" si="7"/>
        <v>36.022943999999995</v>
      </c>
      <c r="P52" s="550">
        <f>J52*1.059</f>
        <v>18.011471999999998</v>
      </c>
      <c r="Q52" s="550">
        <f>K52*1.059</f>
        <v>18.011471999999998</v>
      </c>
    </row>
    <row r="53" spans="1:17" ht="13.5" outlineLevel="1">
      <c r="A53" s="554"/>
      <c r="B53" s="167" t="s">
        <v>768</v>
      </c>
      <c r="C53" s="1409" t="s">
        <v>769</v>
      </c>
      <c r="D53" s="557">
        <v>5</v>
      </c>
      <c r="E53" s="557">
        <v>8</v>
      </c>
      <c r="F53" s="550"/>
      <c r="G53" s="557">
        <v>8</v>
      </c>
      <c r="H53" s="557">
        <f t="shared" si="8"/>
        <v>8</v>
      </c>
      <c r="I53" s="550">
        <f t="shared" si="5"/>
        <v>8.504</v>
      </c>
      <c r="J53" s="550">
        <f>G53*1.063/2</f>
        <v>4.252</v>
      </c>
      <c r="K53" s="550">
        <f>G53*1.063/2</f>
        <v>4.252</v>
      </c>
      <c r="L53" s="550">
        <f t="shared" si="6"/>
        <v>9.005735999999999</v>
      </c>
      <c r="M53" s="550">
        <f>K53*1.059</f>
        <v>4.502867999999999</v>
      </c>
      <c r="N53" s="550">
        <f>K53*1.059</f>
        <v>4.502867999999999</v>
      </c>
      <c r="O53" s="550">
        <f t="shared" si="7"/>
        <v>9.537074423999998</v>
      </c>
      <c r="P53" s="550">
        <f>M53*1.059</f>
        <v>4.768537211999999</v>
      </c>
      <c r="Q53" s="550">
        <f>N53*1.059</f>
        <v>4.768537211999999</v>
      </c>
    </row>
    <row r="54" spans="1:17" ht="13.5" outlineLevel="1">
      <c r="A54" s="554"/>
      <c r="B54" s="167" t="s">
        <v>770</v>
      </c>
      <c r="C54" s="1409" t="s">
        <v>771</v>
      </c>
      <c r="D54" s="557">
        <v>4</v>
      </c>
      <c r="E54" s="557">
        <v>3</v>
      </c>
      <c r="F54" s="557"/>
      <c r="G54" s="557">
        <v>4</v>
      </c>
      <c r="H54" s="557">
        <f t="shared" si="8"/>
        <v>4</v>
      </c>
      <c r="I54" s="550">
        <f t="shared" si="5"/>
        <v>4.252</v>
      </c>
      <c r="J54" s="550">
        <f>G54*1.063/2</f>
        <v>2.126</v>
      </c>
      <c r="K54" s="550">
        <f>G54*1.063/2</f>
        <v>2.126</v>
      </c>
      <c r="L54" s="550">
        <f t="shared" si="6"/>
        <v>4.502867999999999</v>
      </c>
      <c r="M54" s="550">
        <f>J54*1.059</f>
        <v>2.2514339999999997</v>
      </c>
      <c r="N54" s="550">
        <f>K54*1.059</f>
        <v>2.2514339999999997</v>
      </c>
      <c r="O54" s="550">
        <f t="shared" si="7"/>
        <v>4.768537211999999</v>
      </c>
      <c r="P54" s="550">
        <f>M54*1.059</f>
        <v>2.3842686059999996</v>
      </c>
      <c r="Q54" s="550">
        <f>N54*1.059</f>
        <v>2.3842686059999996</v>
      </c>
    </row>
    <row r="55" spans="1:17" ht="13.5" outlineLevel="1">
      <c r="A55" s="554"/>
      <c r="B55" s="167" t="s">
        <v>772</v>
      </c>
      <c r="C55" s="1409" t="s">
        <v>773</v>
      </c>
      <c r="D55" s="557"/>
      <c r="E55" s="557"/>
      <c r="F55" s="557"/>
      <c r="G55" s="557"/>
      <c r="H55" s="557">
        <f t="shared" si="8"/>
        <v>0</v>
      </c>
      <c r="I55" s="550">
        <f t="shared" si="5"/>
        <v>0</v>
      </c>
      <c r="J55" s="550">
        <f>G55*1.045/2</f>
        <v>0</v>
      </c>
      <c r="K55" s="550">
        <f>G55*1.045/2</f>
        <v>0</v>
      </c>
      <c r="L55" s="550">
        <f t="shared" si="6"/>
        <v>0</v>
      </c>
      <c r="M55" s="550">
        <f aca="true" t="shared" si="9" ref="M55:M77">K55*1.042</f>
        <v>0</v>
      </c>
      <c r="N55" s="550">
        <f aca="true" t="shared" si="10" ref="N55:N77">K55*1.042</f>
        <v>0</v>
      </c>
      <c r="O55" s="550">
        <f t="shared" si="7"/>
        <v>0</v>
      </c>
      <c r="P55" s="550">
        <f aca="true" t="shared" si="11" ref="P55:P77">M55*1.042</f>
        <v>0</v>
      </c>
      <c r="Q55" s="550">
        <f aca="true" t="shared" si="12" ref="Q55:Q77">N55*1.042</f>
        <v>0</v>
      </c>
    </row>
    <row r="56" spans="1:17" ht="13.5" outlineLevel="1">
      <c r="A56" s="554"/>
      <c r="B56" s="167" t="s">
        <v>774</v>
      </c>
      <c r="C56" s="1409" t="s">
        <v>775</v>
      </c>
      <c r="D56" s="557">
        <v>120</v>
      </c>
      <c r="E56" s="557">
        <v>120</v>
      </c>
      <c r="F56" s="557"/>
      <c r="G56" s="557">
        <v>120</v>
      </c>
      <c r="H56" s="557">
        <f t="shared" si="8"/>
        <v>120</v>
      </c>
      <c r="I56" s="550">
        <f>J56+K56</f>
        <v>127.56</v>
      </c>
      <c r="J56" s="550">
        <f>90*1.063</f>
        <v>95.67</v>
      </c>
      <c r="K56" s="550">
        <f>30*1.063</f>
        <v>31.889999999999997</v>
      </c>
      <c r="L56" s="550">
        <f>M56+N56</f>
        <v>135.08603999999997</v>
      </c>
      <c r="M56" s="550">
        <f>J56*1.059</f>
        <v>101.31452999999999</v>
      </c>
      <c r="N56" s="550">
        <f>K56*1.059</f>
        <v>33.77150999999999</v>
      </c>
      <c r="O56" s="550">
        <f>P56+Q56</f>
        <v>143.05611635999998</v>
      </c>
      <c r="P56" s="550">
        <f>M56*1.059</f>
        <v>107.29208726999998</v>
      </c>
      <c r="Q56" s="550">
        <f>N56*1.059</f>
        <v>35.76402908999999</v>
      </c>
    </row>
    <row r="57" spans="1:17" ht="13.5" outlineLevel="1">
      <c r="A57" s="554"/>
      <c r="B57" s="167" t="s">
        <v>776</v>
      </c>
      <c r="C57" s="1409" t="s">
        <v>777</v>
      </c>
      <c r="D57" s="557">
        <v>14</v>
      </c>
      <c r="E57" s="557">
        <v>14</v>
      </c>
      <c r="F57" s="557"/>
      <c r="G57" s="557">
        <v>14</v>
      </c>
      <c r="H57" s="557">
        <f t="shared" si="8"/>
        <v>14</v>
      </c>
      <c r="I57" s="550">
        <f t="shared" si="5"/>
        <v>14.882</v>
      </c>
      <c r="J57" s="550">
        <f>8*1.063</f>
        <v>8.504</v>
      </c>
      <c r="K57" s="550">
        <f>6*1.063</f>
        <v>6.378</v>
      </c>
      <c r="L57" s="550">
        <f t="shared" si="6"/>
        <v>15.760037999999998</v>
      </c>
      <c r="M57" s="550">
        <f>J57*1.059</f>
        <v>9.005735999999999</v>
      </c>
      <c r="N57" s="550">
        <f>K57*1.059</f>
        <v>6.754302</v>
      </c>
      <c r="O57" s="550">
        <f t="shared" si="7"/>
        <v>16.689880241999997</v>
      </c>
      <c r="P57" s="550">
        <f>M57*1.059</f>
        <v>9.537074423999998</v>
      </c>
      <c r="Q57" s="550">
        <f>N57*1.059</f>
        <v>7.152805818</v>
      </c>
    </row>
    <row r="58" spans="1:17" ht="27" outlineLevel="1">
      <c r="A58" s="554"/>
      <c r="B58" s="167" t="s">
        <v>778</v>
      </c>
      <c r="C58" s="1409" t="s">
        <v>1301</v>
      </c>
      <c r="D58" s="557">
        <v>48</v>
      </c>
      <c r="E58" s="557">
        <v>51</v>
      </c>
      <c r="F58" s="557"/>
      <c r="G58" s="557">
        <v>292</v>
      </c>
      <c r="H58" s="557">
        <f t="shared" si="8"/>
        <v>292</v>
      </c>
      <c r="I58" s="550">
        <f>G58*1.098</f>
        <v>320.61600000000004</v>
      </c>
      <c r="J58" s="550">
        <f>I58/2</f>
        <v>160.30800000000002</v>
      </c>
      <c r="K58" s="550">
        <f>I58/2</f>
        <v>160.30800000000002</v>
      </c>
      <c r="L58" s="550">
        <f>I58*1.083</f>
        <v>347.22712800000005</v>
      </c>
      <c r="M58" s="550">
        <f>L58/2</f>
        <v>173.61356400000003</v>
      </c>
      <c r="N58" s="550">
        <f>L58/2</f>
        <v>173.61356400000003</v>
      </c>
      <c r="O58" s="550">
        <f>L58*1.083</f>
        <v>376.046979624</v>
      </c>
      <c r="P58" s="550">
        <f>O58/2</f>
        <v>188.023489812</v>
      </c>
      <c r="Q58" s="550">
        <f>O58/2</f>
        <v>188.023489812</v>
      </c>
    </row>
    <row r="59" spans="1:17" ht="21" customHeight="1" outlineLevel="1">
      <c r="A59" s="554"/>
      <c r="B59" s="167" t="s">
        <v>779</v>
      </c>
      <c r="C59" s="1409" t="s">
        <v>780</v>
      </c>
      <c r="D59" s="557"/>
      <c r="E59" s="557"/>
      <c r="F59" s="550"/>
      <c r="G59" s="557"/>
      <c r="H59" s="1463"/>
      <c r="I59" s="550"/>
      <c r="J59" s="550"/>
      <c r="K59" s="550"/>
      <c r="L59" s="550"/>
      <c r="M59" s="550"/>
      <c r="N59" s="550"/>
      <c r="O59" s="550"/>
      <c r="P59" s="550"/>
      <c r="Q59" s="550"/>
    </row>
    <row r="60" spans="1:17" ht="27" outlineLevel="1">
      <c r="A60" s="554"/>
      <c r="B60" s="167" t="s">
        <v>781</v>
      </c>
      <c r="C60" s="1409" t="s">
        <v>784</v>
      </c>
      <c r="D60" s="557"/>
      <c r="E60" s="557"/>
      <c r="F60" s="557"/>
      <c r="G60" s="557"/>
      <c r="H60" s="557"/>
      <c r="I60" s="550">
        <f t="shared" si="5"/>
        <v>0</v>
      </c>
      <c r="J60" s="550"/>
      <c r="K60" s="550"/>
      <c r="L60" s="550">
        <f t="shared" si="6"/>
        <v>0</v>
      </c>
      <c r="M60" s="550">
        <f t="shared" si="9"/>
        <v>0</v>
      </c>
      <c r="N60" s="550">
        <f t="shared" si="10"/>
        <v>0</v>
      </c>
      <c r="O60" s="550">
        <f t="shared" si="7"/>
        <v>0</v>
      </c>
      <c r="P60" s="550">
        <f t="shared" si="11"/>
        <v>0</v>
      </c>
      <c r="Q60" s="550">
        <f t="shared" si="12"/>
        <v>0</v>
      </c>
    </row>
    <row r="61" spans="1:18" ht="13.5" outlineLevel="1">
      <c r="A61" s="554"/>
      <c r="B61" s="167" t="s">
        <v>782</v>
      </c>
      <c r="C61" s="1409" t="s">
        <v>786</v>
      </c>
      <c r="D61" s="557"/>
      <c r="E61" s="557"/>
      <c r="F61" s="557"/>
      <c r="G61" s="557"/>
      <c r="H61" s="557"/>
      <c r="I61" s="550">
        <f t="shared" si="5"/>
        <v>0</v>
      </c>
      <c r="J61" s="550"/>
      <c r="K61" s="550"/>
      <c r="L61" s="550">
        <f t="shared" si="6"/>
        <v>0</v>
      </c>
      <c r="M61" s="550">
        <f t="shared" si="9"/>
        <v>0</v>
      </c>
      <c r="N61" s="550">
        <f t="shared" si="10"/>
        <v>0</v>
      </c>
      <c r="O61" s="550">
        <f t="shared" si="7"/>
        <v>31.77</v>
      </c>
      <c r="P61" s="550">
        <f>30*1.059</f>
        <v>31.77</v>
      </c>
      <c r="Q61" s="550">
        <f t="shared" si="12"/>
        <v>0</v>
      </c>
      <c r="R61" s="1" t="s">
        <v>1366</v>
      </c>
    </row>
    <row r="62" spans="1:17" ht="13.5" outlineLevel="1">
      <c r="A62" s="554"/>
      <c r="B62" s="167" t="s">
        <v>783</v>
      </c>
      <c r="C62" s="1409" t="s">
        <v>1362</v>
      </c>
      <c r="D62" s="557"/>
      <c r="E62" s="557"/>
      <c r="F62" s="557"/>
      <c r="G62" s="557"/>
      <c r="H62" s="557">
        <v>30</v>
      </c>
      <c r="I62" s="550">
        <f t="shared" si="5"/>
        <v>0</v>
      </c>
      <c r="J62" s="550">
        <v>0</v>
      </c>
      <c r="K62" s="550">
        <v>0</v>
      </c>
      <c r="L62" s="550">
        <f t="shared" si="6"/>
        <v>0</v>
      </c>
      <c r="M62" s="550">
        <f>J62*1.059</f>
        <v>0</v>
      </c>
      <c r="N62" s="550">
        <f t="shared" si="10"/>
        <v>0</v>
      </c>
      <c r="O62" s="550">
        <f t="shared" si="7"/>
        <v>0</v>
      </c>
      <c r="P62" s="550">
        <f>M62*1.059</f>
        <v>0</v>
      </c>
      <c r="Q62" s="550">
        <f t="shared" si="12"/>
        <v>0</v>
      </c>
    </row>
    <row r="63" spans="1:17" ht="13.5" hidden="1" outlineLevel="1">
      <c r="A63" s="554"/>
      <c r="B63" s="167" t="s">
        <v>785</v>
      </c>
      <c r="C63" s="1409"/>
      <c r="D63" s="557"/>
      <c r="E63" s="557"/>
      <c r="F63" s="550"/>
      <c r="G63" s="557"/>
      <c r="H63" s="557"/>
      <c r="I63" s="550"/>
      <c r="J63" s="550"/>
      <c r="K63" s="550"/>
      <c r="L63" s="550"/>
      <c r="M63" s="550"/>
      <c r="N63" s="550"/>
      <c r="O63" s="550"/>
      <c r="P63" s="550"/>
      <c r="Q63" s="550"/>
    </row>
    <row r="64" spans="1:17" ht="13.5" hidden="1" outlineLevel="1">
      <c r="A64" s="554"/>
      <c r="B64" s="167" t="s">
        <v>787</v>
      </c>
      <c r="C64" s="1409"/>
      <c r="D64" s="557"/>
      <c r="E64" s="557"/>
      <c r="F64" s="557"/>
      <c r="G64" s="557"/>
      <c r="H64" s="557"/>
      <c r="I64" s="550"/>
      <c r="J64" s="550"/>
      <c r="K64" s="550"/>
      <c r="L64" s="550"/>
      <c r="M64" s="550"/>
      <c r="N64" s="550"/>
      <c r="O64" s="550"/>
      <c r="P64" s="550"/>
      <c r="Q64" s="550"/>
    </row>
    <row r="65" spans="1:17" ht="13.5" hidden="1" outlineLevel="1">
      <c r="A65" s="554"/>
      <c r="B65" s="167" t="s">
        <v>788</v>
      </c>
      <c r="C65" s="1409"/>
      <c r="D65" s="557"/>
      <c r="E65" s="557"/>
      <c r="F65" s="557"/>
      <c r="G65" s="557"/>
      <c r="H65" s="557"/>
      <c r="I65" s="550"/>
      <c r="J65" s="550"/>
      <c r="K65" s="550"/>
      <c r="L65" s="550"/>
      <c r="M65" s="550"/>
      <c r="N65" s="550"/>
      <c r="O65" s="550"/>
      <c r="P65" s="550"/>
      <c r="Q65" s="550"/>
    </row>
    <row r="66" spans="1:17" ht="17.25" customHeight="1" hidden="1" outlineLevel="1">
      <c r="A66" s="554"/>
      <c r="B66" s="167" t="s">
        <v>789</v>
      </c>
      <c r="C66" s="1462"/>
      <c r="D66" s="557"/>
      <c r="E66" s="557"/>
      <c r="F66" s="557"/>
      <c r="G66" s="557"/>
      <c r="H66" s="557"/>
      <c r="I66" s="550">
        <f t="shared" si="5"/>
        <v>0</v>
      </c>
      <c r="J66" s="550"/>
      <c r="K66" s="550"/>
      <c r="L66" s="550">
        <f t="shared" si="6"/>
        <v>0</v>
      </c>
      <c r="M66" s="550">
        <f t="shared" si="9"/>
        <v>0</v>
      </c>
      <c r="N66" s="550">
        <f t="shared" si="10"/>
        <v>0</v>
      </c>
      <c r="O66" s="550">
        <f t="shared" si="7"/>
        <v>0</v>
      </c>
      <c r="P66" s="550">
        <f t="shared" si="11"/>
        <v>0</v>
      </c>
      <c r="Q66" s="550">
        <f t="shared" si="12"/>
        <v>0</v>
      </c>
    </row>
    <row r="67" spans="1:17" ht="13.5" hidden="1" outlineLevel="1">
      <c r="A67" s="554"/>
      <c r="B67" s="167" t="s">
        <v>1358</v>
      </c>
      <c r="C67" s="1409"/>
      <c r="D67" s="557"/>
      <c r="E67" s="557"/>
      <c r="F67" s="557"/>
      <c r="G67" s="557"/>
      <c r="H67" s="557"/>
      <c r="I67" s="550">
        <f t="shared" si="5"/>
        <v>0</v>
      </c>
      <c r="J67" s="550"/>
      <c r="K67" s="550"/>
      <c r="L67" s="550">
        <f t="shared" si="6"/>
        <v>0</v>
      </c>
      <c r="M67" s="550">
        <f t="shared" si="9"/>
        <v>0</v>
      </c>
      <c r="N67" s="550">
        <f t="shared" si="10"/>
        <v>0</v>
      </c>
      <c r="O67" s="550">
        <f t="shared" si="7"/>
        <v>0</v>
      </c>
      <c r="P67" s="550">
        <f t="shared" si="11"/>
        <v>0</v>
      </c>
      <c r="Q67" s="550">
        <f t="shared" si="12"/>
        <v>0</v>
      </c>
    </row>
    <row r="68" spans="1:17" ht="13.5" hidden="1" outlineLevel="1">
      <c r="A68" s="554"/>
      <c r="B68" s="167" t="s">
        <v>1359</v>
      </c>
      <c r="C68" s="1409"/>
      <c r="D68" s="557"/>
      <c r="E68" s="557"/>
      <c r="F68" s="557"/>
      <c r="G68" s="557"/>
      <c r="H68" s="557"/>
      <c r="I68" s="550">
        <f t="shared" si="5"/>
        <v>0</v>
      </c>
      <c r="J68" s="550"/>
      <c r="K68" s="550"/>
      <c r="L68" s="550">
        <f t="shared" si="6"/>
        <v>0</v>
      </c>
      <c r="M68" s="550">
        <f t="shared" si="9"/>
        <v>0</v>
      </c>
      <c r="N68" s="550">
        <f t="shared" si="10"/>
        <v>0</v>
      </c>
      <c r="O68" s="550">
        <f t="shared" si="7"/>
        <v>0</v>
      </c>
      <c r="P68" s="550">
        <f t="shared" si="11"/>
        <v>0</v>
      </c>
      <c r="Q68" s="550">
        <f t="shared" si="12"/>
        <v>0</v>
      </c>
    </row>
    <row r="69" spans="1:17" ht="13.5" hidden="1" outlineLevel="1">
      <c r="A69" s="554"/>
      <c r="B69" s="167" t="s">
        <v>1360</v>
      </c>
      <c r="C69" s="1409"/>
      <c r="D69" s="557"/>
      <c r="E69" s="557"/>
      <c r="F69" s="557"/>
      <c r="G69" s="557"/>
      <c r="H69" s="557"/>
      <c r="I69" s="550">
        <f t="shared" si="5"/>
        <v>0</v>
      </c>
      <c r="J69" s="550"/>
      <c r="K69" s="550"/>
      <c r="L69" s="550">
        <f t="shared" si="6"/>
        <v>0</v>
      </c>
      <c r="M69" s="550">
        <f t="shared" si="9"/>
        <v>0</v>
      </c>
      <c r="N69" s="550">
        <f t="shared" si="10"/>
        <v>0</v>
      </c>
      <c r="O69" s="550">
        <f t="shared" si="7"/>
        <v>0</v>
      </c>
      <c r="P69" s="550">
        <f t="shared" si="11"/>
        <v>0</v>
      </c>
      <c r="Q69" s="550">
        <f t="shared" si="12"/>
        <v>0</v>
      </c>
    </row>
    <row r="70" spans="1:17" ht="13.5" hidden="1" outlineLevel="1">
      <c r="A70" s="554"/>
      <c r="B70" s="167" t="s">
        <v>1361</v>
      </c>
      <c r="C70" s="1409"/>
      <c r="D70" s="557"/>
      <c r="E70" s="557"/>
      <c r="F70" s="557"/>
      <c r="G70" s="557"/>
      <c r="H70" s="557"/>
      <c r="I70" s="550">
        <f t="shared" si="5"/>
        <v>0</v>
      </c>
      <c r="J70" s="550"/>
      <c r="K70" s="550"/>
      <c r="L70" s="550">
        <f t="shared" si="6"/>
        <v>0</v>
      </c>
      <c r="M70" s="550">
        <f t="shared" si="9"/>
        <v>0</v>
      </c>
      <c r="N70" s="550">
        <f t="shared" si="10"/>
        <v>0</v>
      </c>
      <c r="O70" s="550">
        <f t="shared" si="7"/>
        <v>0</v>
      </c>
      <c r="P70" s="550">
        <f t="shared" si="11"/>
        <v>0</v>
      </c>
      <c r="Q70" s="550">
        <f t="shared" si="12"/>
        <v>0</v>
      </c>
    </row>
    <row r="71" spans="1:17" ht="13.5" hidden="1" outlineLevel="1">
      <c r="A71" s="554"/>
      <c r="B71" s="167" t="s">
        <v>1363</v>
      </c>
      <c r="C71" s="1409"/>
      <c r="D71" s="557"/>
      <c r="E71" s="557"/>
      <c r="F71" s="557"/>
      <c r="G71" s="557"/>
      <c r="H71" s="557"/>
      <c r="I71" s="550">
        <f t="shared" si="5"/>
        <v>0</v>
      </c>
      <c r="J71" s="550"/>
      <c r="K71" s="550"/>
      <c r="L71" s="550">
        <f t="shared" si="6"/>
        <v>0</v>
      </c>
      <c r="M71" s="550">
        <f t="shared" si="9"/>
        <v>0</v>
      </c>
      <c r="N71" s="550">
        <f t="shared" si="10"/>
        <v>0</v>
      </c>
      <c r="O71" s="550">
        <f t="shared" si="7"/>
        <v>0</v>
      </c>
      <c r="P71" s="550">
        <f t="shared" si="11"/>
        <v>0</v>
      </c>
      <c r="Q71" s="550">
        <f t="shared" si="12"/>
        <v>0</v>
      </c>
    </row>
    <row r="72" spans="1:17" ht="18.75" customHeight="1" hidden="1" outlineLevel="1">
      <c r="A72" s="554"/>
      <c r="B72" s="167" t="s">
        <v>1364</v>
      </c>
      <c r="C72" s="560" t="s">
        <v>1374</v>
      </c>
      <c r="D72" s="557"/>
      <c r="E72" s="557"/>
      <c r="F72" s="557"/>
      <c r="G72" s="557"/>
      <c r="H72" s="557"/>
      <c r="I72" s="550">
        <f t="shared" si="5"/>
        <v>0</v>
      </c>
      <c r="J72" s="550"/>
      <c r="K72" s="550"/>
      <c r="L72" s="550">
        <f t="shared" si="6"/>
        <v>0</v>
      </c>
      <c r="M72" s="550">
        <f t="shared" si="9"/>
        <v>0</v>
      </c>
      <c r="N72" s="550">
        <f t="shared" si="10"/>
        <v>0</v>
      </c>
      <c r="O72" s="550">
        <f t="shared" si="7"/>
        <v>0</v>
      </c>
      <c r="P72" s="550">
        <f t="shared" si="11"/>
        <v>0</v>
      </c>
      <c r="Q72" s="550">
        <f t="shared" si="12"/>
        <v>0</v>
      </c>
    </row>
    <row r="73" spans="1:17" ht="13.5" hidden="1" outlineLevel="2">
      <c r="A73" s="554"/>
      <c r="B73" s="30"/>
      <c r="C73" s="1412" t="s">
        <v>1375</v>
      </c>
      <c r="D73" s="562"/>
      <c r="E73" s="562"/>
      <c r="F73" s="562"/>
      <c r="G73" s="562"/>
      <c r="H73" s="562"/>
      <c r="I73" s="550">
        <f t="shared" si="5"/>
        <v>0</v>
      </c>
      <c r="J73" s="563"/>
      <c r="K73" s="563"/>
      <c r="L73" s="550">
        <f t="shared" si="6"/>
        <v>0</v>
      </c>
      <c r="M73" s="550">
        <f t="shared" si="9"/>
        <v>0</v>
      </c>
      <c r="N73" s="550">
        <f t="shared" si="10"/>
        <v>0</v>
      </c>
      <c r="O73" s="550">
        <f t="shared" si="7"/>
        <v>0</v>
      </c>
      <c r="P73" s="550">
        <f t="shared" si="11"/>
        <v>0</v>
      </c>
      <c r="Q73" s="550">
        <f t="shared" si="12"/>
        <v>0</v>
      </c>
    </row>
    <row r="74" spans="1:17" ht="13.5" hidden="1" outlineLevel="2">
      <c r="A74" s="554"/>
      <c r="B74" s="30"/>
      <c r="C74" s="1412" t="s">
        <v>1376</v>
      </c>
      <c r="D74" s="562"/>
      <c r="E74" s="562"/>
      <c r="F74" s="562"/>
      <c r="G74" s="562"/>
      <c r="H74" s="562"/>
      <c r="I74" s="550">
        <f t="shared" si="5"/>
        <v>0</v>
      </c>
      <c r="J74" s="563"/>
      <c r="K74" s="563"/>
      <c r="L74" s="550">
        <f t="shared" si="6"/>
        <v>0</v>
      </c>
      <c r="M74" s="550">
        <f t="shared" si="9"/>
        <v>0</v>
      </c>
      <c r="N74" s="550">
        <f t="shared" si="10"/>
        <v>0</v>
      </c>
      <c r="O74" s="550">
        <f t="shared" si="7"/>
        <v>0</v>
      </c>
      <c r="P74" s="550">
        <f t="shared" si="11"/>
        <v>0</v>
      </c>
      <c r="Q74" s="550">
        <f t="shared" si="12"/>
        <v>0</v>
      </c>
    </row>
    <row r="75" spans="1:17" ht="13.5" hidden="1" outlineLevel="2">
      <c r="A75" s="564"/>
      <c r="B75" s="30"/>
      <c r="C75" s="1412" t="s">
        <v>1377</v>
      </c>
      <c r="D75" s="562"/>
      <c r="E75" s="562"/>
      <c r="F75" s="562"/>
      <c r="G75" s="562"/>
      <c r="H75" s="562"/>
      <c r="I75" s="550">
        <f t="shared" si="5"/>
        <v>0</v>
      </c>
      <c r="J75" s="563"/>
      <c r="K75" s="563"/>
      <c r="L75" s="550">
        <f t="shared" si="6"/>
        <v>0</v>
      </c>
      <c r="M75" s="550">
        <f t="shared" si="9"/>
        <v>0</v>
      </c>
      <c r="N75" s="550">
        <f t="shared" si="10"/>
        <v>0</v>
      </c>
      <c r="O75" s="550">
        <f t="shared" si="7"/>
        <v>0</v>
      </c>
      <c r="P75" s="550">
        <f t="shared" si="11"/>
        <v>0</v>
      </c>
      <c r="Q75" s="550">
        <f t="shared" si="12"/>
        <v>0</v>
      </c>
    </row>
    <row r="76" spans="1:17" ht="13.5" hidden="1" outlineLevel="2">
      <c r="A76" s="564"/>
      <c r="B76" s="30"/>
      <c r="C76" s="1412" t="s">
        <v>1378</v>
      </c>
      <c r="D76" s="562"/>
      <c r="E76" s="562"/>
      <c r="F76" s="562"/>
      <c r="G76" s="562"/>
      <c r="H76" s="562"/>
      <c r="I76" s="550">
        <f t="shared" si="5"/>
        <v>0</v>
      </c>
      <c r="J76" s="563"/>
      <c r="K76" s="563"/>
      <c r="L76" s="550">
        <f t="shared" si="6"/>
        <v>0</v>
      </c>
      <c r="M76" s="550">
        <f t="shared" si="9"/>
        <v>0</v>
      </c>
      <c r="N76" s="550">
        <f t="shared" si="10"/>
        <v>0</v>
      </c>
      <c r="O76" s="550">
        <f t="shared" si="7"/>
        <v>0</v>
      </c>
      <c r="P76" s="550">
        <f t="shared" si="11"/>
        <v>0</v>
      </c>
      <c r="Q76" s="550">
        <f t="shared" si="12"/>
        <v>0</v>
      </c>
    </row>
    <row r="77" spans="1:17" ht="13.5" outlineLevel="1" collapsed="1">
      <c r="A77" s="564"/>
      <c r="B77" s="167" t="s">
        <v>781</v>
      </c>
      <c r="C77" s="560" t="s">
        <v>1379</v>
      </c>
      <c r="D77" s="557"/>
      <c r="E77" s="557"/>
      <c r="F77" s="557"/>
      <c r="G77" s="557"/>
      <c r="H77" s="557"/>
      <c r="I77" s="550">
        <f t="shared" si="5"/>
        <v>0</v>
      </c>
      <c r="J77" s="550"/>
      <c r="K77" s="550"/>
      <c r="L77" s="550">
        <f t="shared" si="6"/>
        <v>0</v>
      </c>
      <c r="M77" s="550">
        <f t="shared" si="9"/>
        <v>0</v>
      </c>
      <c r="N77" s="550">
        <f t="shared" si="10"/>
        <v>0</v>
      </c>
      <c r="O77" s="550">
        <f t="shared" si="7"/>
        <v>0</v>
      </c>
      <c r="P77" s="550">
        <f t="shared" si="11"/>
        <v>0</v>
      </c>
      <c r="Q77" s="550">
        <f t="shared" si="12"/>
        <v>0</v>
      </c>
    </row>
    <row r="78" spans="1:17" ht="13.5" outlineLevel="1">
      <c r="A78" s="554"/>
      <c r="B78" s="167"/>
      <c r="C78" s="560" t="s">
        <v>1380</v>
      </c>
      <c r="D78" s="557"/>
      <c r="E78" s="557"/>
      <c r="F78" s="557"/>
      <c r="G78" s="557"/>
      <c r="H78" s="557"/>
      <c r="I78" s="553"/>
      <c r="J78" s="550"/>
      <c r="K78" s="550"/>
      <c r="L78" s="553"/>
      <c r="M78" s="550"/>
      <c r="N78" s="550"/>
      <c r="O78" s="553"/>
      <c r="P78" s="550"/>
      <c r="Q78" s="550"/>
    </row>
    <row r="79" spans="1:17" s="565" customFormat="1" ht="96">
      <c r="A79" s="547"/>
      <c r="B79" s="167" t="s">
        <v>1381</v>
      </c>
      <c r="C79" s="1404" t="s">
        <v>1382</v>
      </c>
      <c r="D79" s="557"/>
      <c r="E79" s="557"/>
      <c r="F79" s="557"/>
      <c r="G79" s="557"/>
      <c r="H79" s="557"/>
      <c r="I79" s="550"/>
      <c r="J79" s="550"/>
      <c r="K79" s="550"/>
      <c r="L79" s="550"/>
      <c r="M79" s="550"/>
      <c r="N79" s="550"/>
      <c r="O79" s="550"/>
      <c r="P79" s="550"/>
      <c r="Q79" s="550"/>
    </row>
    <row r="80" spans="1:17" ht="27">
      <c r="A80" s="547"/>
      <c r="B80" s="167" t="s">
        <v>1383</v>
      </c>
      <c r="C80" s="1404" t="s">
        <v>335</v>
      </c>
      <c r="D80" s="557">
        <v>161</v>
      </c>
      <c r="E80" s="557">
        <v>161</v>
      </c>
      <c r="F80" s="557"/>
      <c r="G80" s="163">
        <v>162</v>
      </c>
      <c r="H80" s="569">
        <v>162</v>
      </c>
      <c r="I80" s="569">
        <v>162</v>
      </c>
      <c r="J80" s="569">
        <v>95</v>
      </c>
      <c r="K80" s="569">
        <v>67</v>
      </c>
      <c r="L80" s="569">
        <v>162</v>
      </c>
      <c r="M80" s="569">
        <v>95</v>
      </c>
      <c r="N80" s="569">
        <v>67</v>
      </c>
      <c r="O80" s="569">
        <v>162</v>
      </c>
      <c r="P80" s="569">
        <v>95</v>
      </c>
      <c r="Q80" s="569">
        <v>67</v>
      </c>
    </row>
    <row r="81" spans="1:17" ht="13.5">
      <c r="A81" s="547"/>
      <c r="B81" s="167" t="s">
        <v>336</v>
      </c>
      <c r="C81" s="1403" t="s">
        <v>337</v>
      </c>
      <c r="D81" s="557"/>
      <c r="E81" s="557"/>
      <c r="F81" s="557"/>
      <c r="G81" s="163">
        <v>56</v>
      </c>
      <c r="H81" s="163">
        <v>56</v>
      </c>
      <c r="I81" s="569">
        <f>J81+K81</f>
        <v>59.528</v>
      </c>
      <c r="J81" s="569">
        <f>H81*1.063/2</f>
        <v>29.764</v>
      </c>
      <c r="K81" s="569">
        <f>H81*1.063/2</f>
        <v>29.764</v>
      </c>
      <c r="L81" s="569">
        <f>M81+N81</f>
        <v>63.04015199999999</v>
      </c>
      <c r="M81" s="569">
        <f>J81*1.059</f>
        <v>31.520075999999996</v>
      </c>
      <c r="N81" s="569">
        <f>K81*1.059</f>
        <v>31.520075999999996</v>
      </c>
      <c r="O81" s="569">
        <f>P81+Q81</f>
        <v>66.75952096799999</v>
      </c>
      <c r="P81" s="569">
        <f>M81*1.059</f>
        <v>33.379760483999995</v>
      </c>
      <c r="Q81" s="569">
        <f>N81*1.059</f>
        <v>33.379760483999995</v>
      </c>
    </row>
    <row r="82" spans="1:18" ht="13.5">
      <c r="A82" s="547"/>
      <c r="B82" s="167" t="s">
        <v>338</v>
      </c>
      <c r="C82" s="1403" t="s">
        <v>339</v>
      </c>
      <c r="D82" s="557"/>
      <c r="E82" s="557"/>
      <c r="F82" s="557"/>
      <c r="G82" s="557"/>
      <c r="H82" s="163">
        <v>30</v>
      </c>
      <c r="I82" s="569">
        <f>J82+K82</f>
        <v>31.889999999999997</v>
      </c>
      <c r="J82" s="569">
        <f>H82*1.063</f>
        <v>31.889999999999997</v>
      </c>
      <c r="K82" s="569">
        <v>0</v>
      </c>
      <c r="L82" s="569">
        <f>M82+N82</f>
        <v>33.77150999999999</v>
      </c>
      <c r="M82" s="569">
        <f>J82*1.059</f>
        <v>33.77150999999999</v>
      </c>
      <c r="N82" s="569">
        <v>0</v>
      </c>
      <c r="O82" s="569">
        <f>P82+Q82</f>
        <v>35.76402908999999</v>
      </c>
      <c r="P82" s="569">
        <f>M82*1.059</f>
        <v>35.76402908999999</v>
      </c>
      <c r="Q82" s="569">
        <v>0</v>
      </c>
      <c r="R82" s="1" t="s">
        <v>1365</v>
      </c>
    </row>
    <row r="83" spans="1:17" s="565" customFormat="1" ht="54.75">
      <c r="A83" s="564"/>
      <c r="B83" s="167" t="s">
        <v>340</v>
      </c>
      <c r="C83" s="1404" t="s">
        <v>341</v>
      </c>
      <c r="D83" s="557"/>
      <c r="E83" s="557"/>
      <c r="F83" s="557"/>
      <c r="G83" s="557"/>
      <c r="H83" s="557"/>
      <c r="I83" s="550"/>
      <c r="J83" s="550"/>
      <c r="K83" s="550"/>
      <c r="L83" s="550"/>
      <c r="M83" s="550"/>
      <c r="N83" s="550"/>
      <c r="O83" s="550"/>
      <c r="P83" s="550"/>
      <c r="Q83" s="550"/>
    </row>
    <row r="84" spans="1:17" ht="41.25">
      <c r="A84" s="554"/>
      <c r="B84" s="167" t="s">
        <v>342</v>
      </c>
      <c r="C84" s="1404" t="s">
        <v>343</v>
      </c>
      <c r="D84" s="557">
        <v>0</v>
      </c>
      <c r="E84" s="557">
        <v>0</v>
      </c>
      <c r="F84" s="557"/>
      <c r="G84" s="557">
        <v>0</v>
      </c>
      <c r="H84" s="557">
        <v>0</v>
      </c>
      <c r="I84" s="550">
        <v>0</v>
      </c>
      <c r="J84" s="550">
        <v>0</v>
      </c>
      <c r="K84" s="550">
        <v>0</v>
      </c>
      <c r="L84" s="550">
        <v>0</v>
      </c>
      <c r="M84" s="550">
        <v>0</v>
      </c>
      <c r="N84" s="550">
        <v>0</v>
      </c>
      <c r="O84" s="550">
        <v>0</v>
      </c>
      <c r="P84" s="550">
        <v>0</v>
      </c>
      <c r="Q84" s="550">
        <v>0</v>
      </c>
    </row>
    <row r="85" spans="1:17" ht="13.5" hidden="1">
      <c r="A85" s="554"/>
      <c r="B85" s="167" t="s">
        <v>344</v>
      </c>
      <c r="C85" s="566" t="s">
        <v>345</v>
      </c>
      <c r="D85" s="557"/>
      <c r="E85" s="557"/>
      <c r="F85" s="557"/>
      <c r="G85" s="557"/>
      <c r="H85" s="557"/>
      <c r="I85" s="550"/>
      <c r="J85" s="550"/>
      <c r="K85" s="550"/>
      <c r="L85" s="550"/>
      <c r="M85" s="550"/>
      <c r="N85" s="550"/>
      <c r="O85" s="550"/>
      <c r="P85" s="550"/>
      <c r="Q85" s="550"/>
    </row>
    <row r="86" spans="1:17" ht="13.5" hidden="1">
      <c r="A86" s="554"/>
      <c r="B86" s="167" t="s">
        <v>346</v>
      </c>
      <c r="C86" s="566" t="s">
        <v>347</v>
      </c>
      <c r="D86" s="557"/>
      <c r="E86" s="557"/>
      <c r="F86" s="557"/>
      <c r="G86" s="557"/>
      <c r="H86" s="557"/>
      <c r="I86" s="550"/>
      <c r="J86" s="550"/>
      <c r="K86" s="550"/>
      <c r="L86" s="550"/>
      <c r="M86" s="550"/>
      <c r="N86" s="550"/>
      <c r="O86" s="550"/>
      <c r="P86" s="550"/>
      <c r="Q86" s="550"/>
    </row>
    <row r="87" spans="1:17" ht="13.5" hidden="1">
      <c r="A87" s="554"/>
      <c r="B87" s="167" t="s">
        <v>348</v>
      </c>
      <c r="C87" s="566" t="s">
        <v>349</v>
      </c>
      <c r="D87" s="557"/>
      <c r="E87" s="557"/>
      <c r="F87" s="557"/>
      <c r="G87" s="557"/>
      <c r="H87" s="557"/>
      <c r="I87" s="550"/>
      <c r="J87" s="550"/>
      <c r="K87" s="550"/>
      <c r="L87" s="550"/>
      <c r="M87" s="550"/>
      <c r="N87" s="550"/>
      <c r="O87" s="550"/>
      <c r="P87" s="550"/>
      <c r="Q87" s="550"/>
    </row>
    <row r="88" spans="1:17" ht="13.5" hidden="1">
      <c r="A88" s="547"/>
      <c r="B88" s="167" t="s">
        <v>350</v>
      </c>
      <c r="C88" s="566" t="s">
        <v>351</v>
      </c>
      <c r="D88" s="557"/>
      <c r="E88" s="557"/>
      <c r="F88" s="557"/>
      <c r="G88" s="557"/>
      <c r="H88" s="557"/>
      <c r="I88" s="550"/>
      <c r="J88" s="550"/>
      <c r="K88" s="550"/>
      <c r="L88" s="550"/>
      <c r="M88" s="550"/>
      <c r="N88" s="550"/>
      <c r="O88" s="550"/>
      <c r="P88" s="550"/>
      <c r="Q88" s="550"/>
    </row>
    <row r="89" spans="1:17" ht="13.5" hidden="1">
      <c r="A89" s="547"/>
      <c r="B89" s="167" t="s">
        <v>352</v>
      </c>
      <c r="C89" s="566" t="s">
        <v>353</v>
      </c>
      <c r="D89" s="557"/>
      <c r="E89" s="557"/>
      <c r="F89" s="557"/>
      <c r="G89" s="557"/>
      <c r="H89" s="557"/>
      <c r="I89" s="550"/>
      <c r="J89" s="550"/>
      <c r="K89" s="550"/>
      <c r="L89" s="550"/>
      <c r="M89" s="550"/>
      <c r="N89" s="550"/>
      <c r="O89" s="550"/>
      <c r="P89" s="550"/>
      <c r="Q89" s="550"/>
    </row>
    <row r="90" spans="1:17" ht="13.5" hidden="1" outlineLevel="1">
      <c r="A90" s="547"/>
      <c r="B90" s="167" t="s">
        <v>354</v>
      </c>
      <c r="C90" s="567"/>
      <c r="D90" s="557"/>
      <c r="E90" s="557"/>
      <c r="F90" s="557"/>
      <c r="G90" s="557"/>
      <c r="H90" s="557"/>
      <c r="I90" s="550"/>
      <c r="J90" s="550"/>
      <c r="K90" s="550"/>
      <c r="L90" s="550"/>
      <c r="M90" s="550"/>
      <c r="N90" s="550"/>
      <c r="O90" s="550"/>
      <c r="P90" s="550"/>
      <c r="Q90" s="550"/>
    </row>
    <row r="91" spans="1:17" ht="13.5" hidden="1" outlineLevel="1">
      <c r="A91" s="547"/>
      <c r="B91" s="167" t="s">
        <v>355</v>
      </c>
      <c r="C91" s="567"/>
      <c r="D91" s="557"/>
      <c r="E91" s="557"/>
      <c r="F91" s="557"/>
      <c r="G91" s="557"/>
      <c r="H91" s="557"/>
      <c r="I91" s="550"/>
      <c r="J91" s="550"/>
      <c r="K91" s="550"/>
      <c r="L91" s="550"/>
      <c r="M91" s="550"/>
      <c r="N91" s="550"/>
      <c r="O91" s="550"/>
      <c r="P91" s="550"/>
      <c r="Q91" s="550"/>
    </row>
    <row r="92" spans="1:17" ht="13.5" hidden="1" outlineLevel="1">
      <c r="A92" s="547"/>
      <c r="B92" s="167" t="s">
        <v>356</v>
      </c>
      <c r="C92" s="567"/>
      <c r="D92" s="557"/>
      <c r="E92" s="557"/>
      <c r="F92" s="557"/>
      <c r="G92" s="557"/>
      <c r="H92" s="557"/>
      <c r="I92" s="550"/>
      <c r="J92" s="550"/>
      <c r="K92" s="550"/>
      <c r="L92" s="550"/>
      <c r="M92" s="550"/>
      <c r="N92" s="550"/>
      <c r="O92" s="550"/>
      <c r="P92" s="550"/>
      <c r="Q92" s="550"/>
    </row>
    <row r="93" spans="1:17" ht="13.5" hidden="1" outlineLevel="1">
      <c r="A93" s="547"/>
      <c r="B93" s="167" t="s">
        <v>357</v>
      </c>
      <c r="C93" s="567"/>
      <c r="D93" s="557"/>
      <c r="E93" s="557"/>
      <c r="F93" s="557"/>
      <c r="G93" s="557"/>
      <c r="H93" s="557"/>
      <c r="I93" s="550"/>
      <c r="J93" s="550"/>
      <c r="K93" s="550"/>
      <c r="L93" s="550"/>
      <c r="M93" s="550"/>
      <c r="N93" s="550"/>
      <c r="O93" s="550"/>
      <c r="P93" s="550"/>
      <c r="Q93" s="550"/>
    </row>
    <row r="94" spans="1:17" ht="13.5" hidden="1" outlineLevel="1">
      <c r="A94" s="547"/>
      <c r="B94" s="167" t="s">
        <v>358</v>
      </c>
      <c r="C94" s="567"/>
      <c r="D94" s="557"/>
      <c r="E94" s="557"/>
      <c r="F94" s="557"/>
      <c r="G94" s="557"/>
      <c r="H94" s="557"/>
      <c r="I94" s="550"/>
      <c r="J94" s="550"/>
      <c r="K94" s="550"/>
      <c r="L94" s="550"/>
      <c r="M94" s="550"/>
      <c r="N94" s="550"/>
      <c r="O94" s="550"/>
      <c r="P94" s="550"/>
      <c r="Q94" s="550"/>
    </row>
    <row r="95" spans="1:17" ht="13.5" hidden="1" outlineLevel="1">
      <c r="A95" s="547"/>
      <c r="B95" s="167" t="s">
        <v>359</v>
      </c>
      <c r="C95" s="567"/>
      <c r="D95" s="557"/>
      <c r="E95" s="557"/>
      <c r="F95" s="557"/>
      <c r="G95" s="557"/>
      <c r="H95" s="557"/>
      <c r="I95" s="550"/>
      <c r="J95" s="550"/>
      <c r="K95" s="550"/>
      <c r="L95" s="550"/>
      <c r="M95" s="550"/>
      <c r="N95" s="550"/>
      <c r="O95" s="550"/>
      <c r="P95" s="550"/>
      <c r="Q95" s="550"/>
    </row>
    <row r="96" spans="1:17" ht="13.5" hidden="1" outlineLevel="1">
      <c r="A96" s="547"/>
      <c r="B96" s="167" t="s">
        <v>360</v>
      </c>
      <c r="C96" s="567"/>
      <c r="D96" s="557"/>
      <c r="E96" s="557"/>
      <c r="F96" s="557"/>
      <c r="G96" s="557"/>
      <c r="H96" s="557"/>
      <c r="I96" s="550"/>
      <c r="J96" s="550"/>
      <c r="K96" s="550"/>
      <c r="L96" s="550"/>
      <c r="M96" s="550"/>
      <c r="N96" s="550"/>
      <c r="O96" s="550"/>
      <c r="P96" s="550"/>
      <c r="Q96" s="550"/>
    </row>
    <row r="97" spans="1:17" ht="13.5" hidden="1" outlineLevel="1">
      <c r="A97" s="547"/>
      <c r="B97" s="167" t="s">
        <v>361</v>
      </c>
      <c r="C97" s="567"/>
      <c r="D97" s="557"/>
      <c r="E97" s="557"/>
      <c r="F97" s="557"/>
      <c r="G97" s="557"/>
      <c r="H97" s="557"/>
      <c r="I97" s="550"/>
      <c r="J97" s="550"/>
      <c r="K97" s="550"/>
      <c r="L97" s="550"/>
      <c r="M97" s="550"/>
      <c r="N97" s="550"/>
      <c r="O97" s="550"/>
      <c r="P97" s="550"/>
      <c r="Q97" s="550"/>
    </row>
    <row r="98" spans="1:17" ht="13.5" collapsed="1">
      <c r="A98" s="547"/>
      <c r="B98" s="161" t="s">
        <v>362</v>
      </c>
      <c r="C98" s="568" t="s">
        <v>363</v>
      </c>
      <c r="D98" s="163">
        <f>SUM(D99:D102)</f>
        <v>47</v>
      </c>
      <c r="E98" s="163">
        <f>SUM(E99:E102)</f>
        <v>58</v>
      </c>
      <c r="F98" s="163"/>
      <c r="G98" s="163">
        <f>SUM(G99:G102)</f>
        <v>55</v>
      </c>
      <c r="H98" s="163">
        <f aca="true" t="shared" si="13" ref="H98:Q98">SUM(H99:H102)</f>
        <v>55</v>
      </c>
      <c r="I98" s="163">
        <f t="shared" si="13"/>
        <v>58.464999999999996</v>
      </c>
      <c r="J98" s="163">
        <f t="shared" si="13"/>
        <v>29.232499999999998</v>
      </c>
      <c r="K98" s="163">
        <f t="shared" si="13"/>
        <v>29.232499999999998</v>
      </c>
      <c r="L98" s="163">
        <f t="shared" si="13"/>
        <v>61.91443499999999</v>
      </c>
      <c r="M98" s="163">
        <f t="shared" si="13"/>
        <v>30.957217499999995</v>
      </c>
      <c r="N98" s="163">
        <f t="shared" si="13"/>
        <v>30.957217499999995</v>
      </c>
      <c r="O98" s="163">
        <f t="shared" si="13"/>
        <v>65.56738666499999</v>
      </c>
      <c r="P98" s="163">
        <f t="shared" si="13"/>
        <v>32.78369333249999</v>
      </c>
      <c r="Q98" s="163">
        <f t="shared" si="13"/>
        <v>32.78369333249999</v>
      </c>
    </row>
    <row r="99" spans="1:17" ht="41.25">
      <c r="A99" s="547"/>
      <c r="B99" s="167" t="s">
        <v>1011</v>
      </c>
      <c r="C99" s="1404" t="s">
        <v>364</v>
      </c>
      <c r="D99" s="557"/>
      <c r="E99" s="557"/>
      <c r="F99" s="557"/>
      <c r="G99" s="557"/>
      <c r="H99" s="557"/>
      <c r="I99" s="550"/>
      <c r="J99" s="550"/>
      <c r="K99" s="550"/>
      <c r="L99" s="550"/>
      <c r="M99" s="550"/>
      <c r="N99" s="550"/>
      <c r="O99" s="550"/>
      <c r="P99" s="550"/>
      <c r="Q99" s="550"/>
    </row>
    <row r="100" spans="1:17" ht="13.5">
      <c r="A100" s="547"/>
      <c r="B100" s="167" t="s">
        <v>686</v>
      </c>
      <c r="C100" s="1404" t="s">
        <v>365</v>
      </c>
      <c r="D100" s="557"/>
      <c r="E100" s="557"/>
      <c r="F100" s="557"/>
      <c r="G100" s="557"/>
      <c r="H100" s="557"/>
      <c r="I100" s="550"/>
      <c r="J100" s="550">
        <f>G100*1.045/2</f>
        <v>0</v>
      </c>
      <c r="K100" s="550">
        <f>H100*1.045/2</f>
        <v>0</v>
      </c>
      <c r="L100" s="550">
        <f>M100+N100</f>
        <v>0</v>
      </c>
      <c r="M100" s="550">
        <f>J100*1.042</f>
        <v>0</v>
      </c>
      <c r="N100" s="550">
        <f>K100*1.042</f>
        <v>0</v>
      </c>
      <c r="O100" s="550">
        <f>P100+Q100</f>
        <v>0</v>
      </c>
      <c r="P100" s="550">
        <f>M100*1.042</f>
        <v>0</v>
      </c>
      <c r="Q100" s="550">
        <f>N100*1.042</f>
        <v>0</v>
      </c>
    </row>
    <row r="101" spans="1:17" ht="69">
      <c r="A101" s="547"/>
      <c r="B101" s="167" t="s">
        <v>1003</v>
      </c>
      <c r="C101" s="1403" t="s">
        <v>366</v>
      </c>
      <c r="D101" s="557"/>
      <c r="E101" s="557"/>
      <c r="F101" s="557"/>
      <c r="G101" s="557"/>
      <c r="H101" s="557"/>
      <c r="I101" s="550"/>
      <c r="J101" s="550"/>
      <c r="K101" s="550"/>
      <c r="L101" s="550"/>
      <c r="M101" s="550"/>
      <c r="N101" s="550"/>
      <c r="O101" s="550"/>
      <c r="P101" s="550"/>
      <c r="Q101" s="550"/>
    </row>
    <row r="102" spans="1:17" ht="27">
      <c r="A102" s="547"/>
      <c r="B102" s="167" t="s">
        <v>861</v>
      </c>
      <c r="C102" s="1404" t="s">
        <v>246</v>
      </c>
      <c r="D102" s="557">
        <f>SUM(D103:D108)</f>
        <v>47</v>
      </c>
      <c r="E102" s="557">
        <f>SUM(E103:E108)</f>
        <v>58</v>
      </c>
      <c r="F102" s="557"/>
      <c r="G102" s="163">
        <f>G103</f>
        <v>55</v>
      </c>
      <c r="H102" s="163">
        <f>SUM(H103:H108)</f>
        <v>55</v>
      </c>
      <c r="I102" s="569">
        <f>I103</f>
        <v>58.464999999999996</v>
      </c>
      <c r="J102" s="569">
        <f aca="true" t="shared" si="14" ref="J102:Q102">J103</f>
        <v>29.232499999999998</v>
      </c>
      <c r="K102" s="569">
        <f t="shared" si="14"/>
        <v>29.232499999999998</v>
      </c>
      <c r="L102" s="569">
        <f t="shared" si="14"/>
        <v>61.91443499999999</v>
      </c>
      <c r="M102" s="569">
        <f t="shared" si="14"/>
        <v>30.957217499999995</v>
      </c>
      <c r="N102" s="569">
        <f t="shared" si="14"/>
        <v>30.957217499999995</v>
      </c>
      <c r="O102" s="569">
        <f t="shared" si="14"/>
        <v>65.56738666499999</v>
      </c>
      <c r="P102" s="569">
        <f t="shared" si="14"/>
        <v>32.78369333249999</v>
      </c>
      <c r="Q102" s="569">
        <f t="shared" si="14"/>
        <v>32.78369333249999</v>
      </c>
    </row>
    <row r="103" spans="1:17" ht="13.5">
      <c r="A103" s="547"/>
      <c r="B103" s="167" t="s">
        <v>247</v>
      </c>
      <c r="C103" s="1405" t="s">
        <v>248</v>
      </c>
      <c r="D103" s="557">
        <v>47</v>
      </c>
      <c r="E103" s="557">
        <v>58</v>
      </c>
      <c r="F103" s="557"/>
      <c r="G103" s="557">
        <v>55</v>
      </c>
      <c r="H103" s="557">
        <v>55</v>
      </c>
      <c r="I103" s="550">
        <f>J103+K103</f>
        <v>58.464999999999996</v>
      </c>
      <c r="J103" s="550">
        <f>G103*1.063/2</f>
        <v>29.232499999999998</v>
      </c>
      <c r="K103" s="550">
        <f>G103*1.063/2</f>
        <v>29.232499999999998</v>
      </c>
      <c r="L103" s="550">
        <f>M103+N103</f>
        <v>61.91443499999999</v>
      </c>
      <c r="M103" s="550">
        <f>J103*1.059</f>
        <v>30.957217499999995</v>
      </c>
      <c r="N103" s="550">
        <f>K103*1.059</f>
        <v>30.957217499999995</v>
      </c>
      <c r="O103" s="550">
        <f>P103+Q103</f>
        <v>65.56738666499999</v>
      </c>
      <c r="P103" s="550">
        <f>M103*1.059</f>
        <v>32.78369333249999</v>
      </c>
      <c r="Q103" s="550">
        <f>N103*1.059</f>
        <v>32.78369333249999</v>
      </c>
    </row>
    <row r="104" spans="1:17" ht="13.5">
      <c r="A104" s="547"/>
      <c r="B104" s="167" t="s">
        <v>249</v>
      </c>
      <c r="C104" s="1405" t="s">
        <v>250</v>
      </c>
      <c r="D104" s="557"/>
      <c r="E104" s="557"/>
      <c r="F104" s="557"/>
      <c r="G104" s="557"/>
      <c r="H104" s="557"/>
      <c r="I104" s="550"/>
      <c r="J104" s="550"/>
      <c r="K104" s="550"/>
      <c r="L104" s="550"/>
      <c r="M104" s="550"/>
      <c r="N104" s="550"/>
      <c r="O104" s="550"/>
      <c r="P104" s="550"/>
      <c r="Q104" s="550"/>
    </row>
    <row r="105" spans="1:17" ht="27">
      <c r="A105" s="547"/>
      <c r="B105" s="167" t="s">
        <v>251</v>
      </c>
      <c r="C105" s="1405" t="s">
        <v>252</v>
      </c>
      <c r="D105" s="557"/>
      <c r="E105" s="557"/>
      <c r="F105" s="557"/>
      <c r="G105" s="557"/>
      <c r="H105" s="557"/>
      <c r="I105" s="550"/>
      <c r="J105" s="550"/>
      <c r="K105" s="550"/>
      <c r="L105" s="550"/>
      <c r="M105" s="550"/>
      <c r="N105" s="550"/>
      <c r="O105" s="550"/>
      <c r="P105" s="550"/>
      <c r="Q105" s="550"/>
    </row>
    <row r="106" spans="1:17" ht="27">
      <c r="A106" s="547"/>
      <c r="B106" s="167" t="s">
        <v>253</v>
      </c>
      <c r="C106" s="1405" t="s">
        <v>254</v>
      </c>
      <c r="D106" s="557"/>
      <c r="E106" s="557"/>
      <c r="F106" s="557"/>
      <c r="G106" s="557"/>
      <c r="H106" s="557"/>
      <c r="I106" s="550"/>
      <c r="J106" s="550"/>
      <c r="K106" s="550"/>
      <c r="L106" s="550"/>
      <c r="M106" s="550"/>
      <c r="N106" s="550"/>
      <c r="O106" s="550"/>
      <c r="P106" s="550"/>
      <c r="Q106" s="550"/>
    </row>
    <row r="107" spans="1:17" ht="13.5">
      <c r="A107" s="547"/>
      <c r="B107" s="167" t="s">
        <v>255</v>
      </c>
      <c r="C107" s="1405" t="s">
        <v>256</v>
      </c>
      <c r="D107" s="557"/>
      <c r="E107" s="557"/>
      <c r="F107" s="557"/>
      <c r="G107" s="557"/>
      <c r="H107" s="557"/>
      <c r="I107" s="550"/>
      <c r="J107" s="550"/>
      <c r="K107" s="550"/>
      <c r="L107" s="550"/>
      <c r="M107" s="550"/>
      <c r="N107" s="550"/>
      <c r="O107" s="550"/>
      <c r="P107" s="550"/>
      <c r="Q107" s="550"/>
    </row>
    <row r="108" spans="1:17" ht="13.5">
      <c r="A108" s="547"/>
      <c r="B108" s="167" t="s">
        <v>257</v>
      </c>
      <c r="C108" s="1405" t="s">
        <v>258</v>
      </c>
      <c r="D108" s="557"/>
      <c r="E108" s="557"/>
      <c r="F108" s="557"/>
      <c r="G108" s="557"/>
      <c r="H108" s="557"/>
      <c r="I108" s="550"/>
      <c r="J108" s="550"/>
      <c r="K108" s="550"/>
      <c r="L108" s="550"/>
      <c r="M108" s="550"/>
      <c r="N108" s="550"/>
      <c r="O108" s="550"/>
      <c r="P108" s="550"/>
      <c r="Q108" s="550"/>
    </row>
    <row r="109" spans="1:17" ht="27">
      <c r="A109" s="547"/>
      <c r="B109" s="161" t="s">
        <v>259</v>
      </c>
      <c r="C109" s="1406" t="s">
        <v>1392</v>
      </c>
      <c r="D109" s="163"/>
      <c r="E109" s="163"/>
      <c r="F109" s="163"/>
      <c r="G109" s="163">
        <f>SUM(G110:G113)</f>
        <v>0</v>
      </c>
      <c r="H109" s="163">
        <f>SUM(H110:H113)</f>
        <v>0</v>
      </c>
      <c r="I109" s="569">
        <f aca="true" t="shared" si="15" ref="I109:Q109">I110+I111+I112+I113</f>
        <v>0</v>
      </c>
      <c r="J109" s="569">
        <f t="shared" si="15"/>
        <v>0</v>
      </c>
      <c r="K109" s="569">
        <f t="shared" si="15"/>
        <v>0</v>
      </c>
      <c r="L109" s="569">
        <f t="shared" si="15"/>
        <v>0</v>
      </c>
      <c r="M109" s="569">
        <f t="shared" si="15"/>
        <v>0</v>
      </c>
      <c r="N109" s="569">
        <f t="shared" si="15"/>
        <v>0</v>
      </c>
      <c r="O109" s="569">
        <f t="shared" si="15"/>
        <v>0</v>
      </c>
      <c r="P109" s="569">
        <f t="shared" si="15"/>
        <v>0</v>
      </c>
      <c r="Q109" s="569">
        <f t="shared" si="15"/>
        <v>0</v>
      </c>
    </row>
    <row r="110" spans="1:17" ht="27">
      <c r="A110" s="547"/>
      <c r="B110" s="167" t="s">
        <v>1014</v>
      </c>
      <c r="C110" s="1407" t="s">
        <v>1393</v>
      </c>
      <c r="D110" s="557"/>
      <c r="E110" s="557"/>
      <c r="F110" s="557"/>
      <c r="G110" s="557"/>
      <c r="H110" s="557"/>
      <c r="I110" s="550"/>
      <c r="J110" s="550"/>
      <c r="K110" s="550"/>
      <c r="L110" s="550"/>
      <c r="M110" s="550"/>
      <c r="N110" s="550"/>
      <c r="O110" s="550"/>
      <c r="P110" s="550"/>
      <c r="Q110" s="550"/>
    </row>
    <row r="111" spans="1:17" ht="43.5" customHeight="1">
      <c r="A111" s="547"/>
      <c r="B111" s="167" t="s">
        <v>1015</v>
      </c>
      <c r="C111" s="1407" t="s">
        <v>1394</v>
      </c>
      <c r="D111" s="557"/>
      <c r="E111" s="557"/>
      <c r="F111" s="557"/>
      <c r="G111" s="557"/>
      <c r="H111" s="557"/>
      <c r="I111" s="550"/>
      <c r="J111" s="550"/>
      <c r="K111" s="550"/>
      <c r="L111" s="550"/>
      <c r="M111" s="550"/>
      <c r="N111" s="550"/>
      <c r="O111" s="550"/>
      <c r="P111" s="550"/>
      <c r="Q111" s="550"/>
    </row>
    <row r="112" spans="1:17" ht="13.5">
      <c r="A112" s="547"/>
      <c r="B112" s="167" t="s">
        <v>1306</v>
      </c>
      <c r="C112" s="1407" t="s">
        <v>1395</v>
      </c>
      <c r="D112" s="557"/>
      <c r="E112" s="557"/>
      <c r="F112" s="557"/>
      <c r="G112" s="557"/>
      <c r="H112" s="557"/>
      <c r="I112" s="550"/>
      <c r="J112" s="550"/>
      <c r="K112" s="550"/>
      <c r="L112" s="550"/>
      <c r="M112" s="550"/>
      <c r="N112" s="550"/>
      <c r="O112" s="550"/>
      <c r="P112" s="550"/>
      <c r="Q112" s="550"/>
    </row>
    <row r="113" spans="1:17" ht="13.5">
      <c r="A113" s="547"/>
      <c r="B113" s="167" t="s">
        <v>636</v>
      </c>
      <c r="C113" s="1407" t="s">
        <v>1396</v>
      </c>
      <c r="D113" s="557"/>
      <c r="E113" s="557"/>
      <c r="F113" s="557"/>
      <c r="G113" s="557"/>
      <c r="H113" s="557"/>
      <c r="I113" s="550"/>
      <c r="J113" s="550"/>
      <c r="K113" s="550"/>
      <c r="L113" s="550"/>
      <c r="M113" s="550"/>
      <c r="N113" s="550"/>
      <c r="O113" s="550"/>
      <c r="P113" s="550"/>
      <c r="Q113" s="550"/>
    </row>
    <row r="114" spans="1:17" s="570" customFormat="1" ht="13.5">
      <c r="A114" s="547"/>
      <c r="B114" s="161" t="s">
        <v>1397</v>
      </c>
      <c r="C114" s="1408" t="s">
        <v>1398</v>
      </c>
      <c r="D114" s="163">
        <v>100</v>
      </c>
      <c r="E114" s="163">
        <v>107</v>
      </c>
      <c r="F114" s="163"/>
      <c r="G114" s="163">
        <v>100</v>
      </c>
      <c r="H114" s="163">
        <v>100</v>
      </c>
      <c r="I114" s="163">
        <f>J114+K114</f>
        <v>100</v>
      </c>
      <c r="J114" s="163">
        <v>50</v>
      </c>
      <c r="K114" s="569">
        <v>50</v>
      </c>
      <c r="L114" s="163">
        <f>M114+N114</f>
        <v>100</v>
      </c>
      <c r="M114" s="163">
        <v>50</v>
      </c>
      <c r="N114" s="569">
        <v>50</v>
      </c>
      <c r="O114" s="163">
        <f>P114+Q114</f>
        <v>100</v>
      </c>
      <c r="P114" s="163">
        <v>50</v>
      </c>
      <c r="Q114" s="569">
        <v>50</v>
      </c>
    </row>
    <row r="115" spans="1:17" ht="27">
      <c r="A115" s="547"/>
      <c r="B115" s="161" t="s">
        <v>1399</v>
      </c>
      <c r="C115" s="1408" t="s">
        <v>1400</v>
      </c>
      <c r="D115" s="557"/>
      <c r="E115" s="557"/>
      <c r="F115" s="557"/>
      <c r="G115" s="557"/>
      <c r="H115" s="557"/>
      <c r="I115" s="550"/>
      <c r="J115" s="550"/>
      <c r="K115" s="550"/>
      <c r="L115" s="550"/>
      <c r="M115" s="550"/>
      <c r="N115" s="550"/>
      <c r="O115" s="550"/>
      <c r="P115" s="550"/>
      <c r="Q115" s="550"/>
    </row>
    <row r="116" spans="1:17" ht="13.5">
      <c r="A116" s="547"/>
      <c r="B116" s="571" t="s">
        <v>1401</v>
      </c>
      <c r="C116" s="572" t="s">
        <v>1402</v>
      </c>
      <c r="D116" s="574" t="e">
        <f>D118+D119</f>
        <v>#REF!</v>
      </c>
      <c r="E116" s="574" t="e">
        <f>E11+E98+E109+E114+E115</f>
        <v>#REF!</v>
      </c>
      <c r="F116" s="573"/>
      <c r="G116" s="1465">
        <f aca="true" t="shared" si="16" ref="G116:Q116">G11+G98+G109+G114+G115</f>
        <v>24603.787425174192</v>
      </c>
      <c r="H116" s="1465">
        <f t="shared" si="16"/>
        <v>26966.59036099008</v>
      </c>
      <c r="I116" s="1465">
        <f t="shared" si="16"/>
        <v>27722.953039569107</v>
      </c>
      <c r="J116" s="1465">
        <f t="shared" si="16"/>
        <v>15395.963640113854</v>
      </c>
      <c r="K116" s="1465">
        <f t="shared" si="16"/>
        <v>12104.158430124124</v>
      </c>
      <c r="L116" s="1465">
        <f t="shared" si="16"/>
        <v>29219.643089790075</v>
      </c>
      <c r="M116" s="1465">
        <f t="shared" si="16"/>
        <v>16441.907361359674</v>
      </c>
      <c r="N116" s="1465">
        <f t="shared" si="16"/>
        <v>12535.884957749078</v>
      </c>
      <c r="O116" s="1465">
        <f t="shared" si="16"/>
        <v>31061.084183753494</v>
      </c>
      <c r="P116" s="1465">
        <f t="shared" si="16"/>
        <v>17478.30507910418</v>
      </c>
      <c r="Q116" s="1465">
        <f t="shared" si="16"/>
        <v>13325.82686582689</v>
      </c>
    </row>
    <row r="117" spans="1:17" ht="15" customHeight="1">
      <c r="A117" s="547"/>
      <c r="B117" s="167" t="s">
        <v>1510</v>
      </c>
      <c r="C117" s="556" t="s">
        <v>852</v>
      </c>
      <c r="D117" s="557"/>
      <c r="E117" s="557"/>
      <c r="F117" s="557"/>
      <c r="G117" s="557"/>
      <c r="H117" s="557"/>
      <c r="I117" s="550"/>
      <c r="J117" s="550"/>
      <c r="K117" s="550"/>
      <c r="L117" s="550"/>
      <c r="M117" s="550"/>
      <c r="N117" s="550"/>
      <c r="O117" s="550"/>
      <c r="P117" s="550"/>
      <c r="Q117" s="550"/>
    </row>
    <row r="118" spans="1:17" ht="13.5">
      <c r="A118" s="547"/>
      <c r="B118" s="167" t="s">
        <v>1511</v>
      </c>
      <c r="C118" s="556" t="s">
        <v>143</v>
      </c>
      <c r="D118" s="550" t="e">
        <f>D11+D98+D114</f>
        <v>#REF!</v>
      </c>
      <c r="E118" s="550" t="e">
        <f>E116-E119</f>
        <v>#REF!</v>
      </c>
      <c r="F118" s="557"/>
      <c r="G118" s="569">
        <f>G116-G119-G120</f>
        <v>24370.978158774193</v>
      </c>
      <c r="H118" s="569">
        <f>H116-H119</f>
        <v>26733.781094590082</v>
      </c>
      <c r="I118" s="569">
        <f aca="true" t="shared" si="17" ref="I118:Q118">I116-I119-I120</f>
        <v>27468.155954769107</v>
      </c>
      <c r="J118" s="569">
        <f t="shared" si="17"/>
        <v>15243.239040113855</v>
      </c>
      <c r="K118" s="569">
        <f t="shared" si="17"/>
        <v>12002.085945324123</v>
      </c>
      <c r="L118" s="569">
        <f t="shared" si="17"/>
        <v>28946.657961956476</v>
      </c>
      <c r="M118" s="569">
        <f t="shared" si="17"/>
        <v>16279.102937759673</v>
      </c>
      <c r="N118" s="569">
        <f t="shared" si="17"/>
        <v>12425.704253515478</v>
      </c>
      <c r="O118" s="569">
        <f t="shared" si="17"/>
        <v>30769.80905235504</v>
      </c>
      <c r="P118" s="569">
        <f t="shared" si="17"/>
        <v>17304.592759122977</v>
      </c>
      <c r="Q118" s="569">
        <f t="shared" si="17"/>
        <v>13208.26405440964</v>
      </c>
    </row>
    <row r="119" spans="1:17" ht="13.5">
      <c r="A119" s="547"/>
      <c r="B119" s="548" t="s">
        <v>1512</v>
      </c>
      <c r="C119" s="549" t="s">
        <v>1757</v>
      </c>
      <c r="D119" s="550">
        <v>104</v>
      </c>
      <c r="E119" s="550" t="e">
        <f>'4.8'!H15</f>
        <v>#REF!</v>
      </c>
      <c r="F119" s="550"/>
      <c r="G119" s="550">
        <f>'4.8'!E28</f>
        <v>232.8092664</v>
      </c>
      <c r="H119" s="550">
        <f>'4.8'!H28</f>
        <v>232.8092664</v>
      </c>
      <c r="I119" s="550">
        <f>'4.8'!E41</f>
        <v>254.7970848</v>
      </c>
      <c r="J119" s="550">
        <f>'4.8'!H41</f>
        <v>152.7246</v>
      </c>
      <c r="K119" s="550">
        <f>'4.8'!K41</f>
        <v>102.0724848</v>
      </c>
      <c r="L119" s="550">
        <f>'4.8'!E53</f>
        <v>272.98512783359996</v>
      </c>
      <c r="M119" s="550">
        <f>'4.8'!H53</f>
        <v>162.80442359999998</v>
      </c>
      <c r="N119" s="550">
        <f>'4.8'!K53</f>
        <v>110.1807042336</v>
      </c>
      <c r="O119" s="550">
        <f>'4.8'!E65</f>
        <v>291.2751313984512</v>
      </c>
      <c r="P119" s="550">
        <f>'4.8'!H65</f>
        <v>173.71231998119998</v>
      </c>
      <c r="Q119" s="550">
        <f>'4.8'!K65</f>
        <v>117.5628114172512</v>
      </c>
    </row>
    <row r="120" spans="1:17" ht="14.25" thickBot="1">
      <c r="A120" s="547"/>
      <c r="B120" s="167" t="s">
        <v>1513</v>
      </c>
      <c r="C120" s="549" t="s">
        <v>1070</v>
      </c>
      <c r="D120" s="557"/>
      <c r="E120" s="557"/>
      <c r="F120" s="557"/>
      <c r="G120" s="557">
        <f>'4.8'!E29</f>
        <v>0</v>
      </c>
      <c r="H120" s="557">
        <f>'4.8'!H29</f>
        <v>0</v>
      </c>
      <c r="I120" s="550">
        <f>'4.8'!E42</f>
        <v>0</v>
      </c>
      <c r="J120" s="550">
        <f>'4.8'!H42</f>
        <v>0</v>
      </c>
      <c r="K120" s="550">
        <f>'4.8'!K42</f>
        <v>0</v>
      </c>
      <c r="L120" s="550">
        <f>M120+N120</f>
        <v>0</v>
      </c>
      <c r="M120" s="550">
        <f>'4.8'!H54</f>
        <v>0</v>
      </c>
      <c r="N120" s="550">
        <f>'4.8'!K54</f>
        <v>0</v>
      </c>
      <c r="O120" s="550">
        <f>P120+Q120</f>
        <v>0</v>
      </c>
      <c r="P120" s="550">
        <f>'4.8'!H66</f>
        <v>0</v>
      </c>
      <c r="Q120" s="550">
        <f>'4.8'!K66</f>
        <v>0</v>
      </c>
    </row>
    <row r="121" spans="1:2" ht="14.25" hidden="1" outlineLevel="1" thickBot="1">
      <c r="A121" s="547"/>
      <c r="B121" s="113" t="s">
        <v>35</v>
      </c>
    </row>
    <row r="122" spans="1:100" ht="47.25" customHeight="1" hidden="1" outlineLevel="1">
      <c r="A122" s="547"/>
      <c r="B122" s="116" t="s">
        <v>637</v>
      </c>
      <c r="C122" s="1951" t="s">
        <v>1738</v>
      </c>
      <c r="D122" s="1951"/>
      <c r="E122" s="1951"/>
      <c r="F122" s="1951"/>
      <c r="G122" s="1951"/>
      <c r="H122" s="1951"/>
      <c r="I122" s="1951"/>
      <c r="J122" s="1951"/>
      <c r="K122" s="1951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</row>
    <row r="123" spans="1:100" ht="47.25" customHeight="1" hidden="1" outlineLevel="1">
      <c r="A123" s="547"/>
      <c r="B123" s="116" t="s">
        <v>639</v>
      </c>
      <c r="C123" s="1951" t="s">
        <v>1739</v>
      </c>
      <c r="D123" s="1951"/>
      <c r="E123" s="1951"/>
      <c r="F123" s="1951"/>
      <c r="G123" s="1951"/>
      <c r="H123" s="1951"/>
      <c r="I123" s="1951"/>
      <c r="J123" s="1951"/>
      <c r="K123" s="1951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</row>
    <row r="124" spans="1:100" ht="31.5" customHeight="1" hidden="1" outlineLevel="1">
      <c r="A124" s="547"/>
      <c r="B124" s="116" t="s">
        <v>640</v>
      </c>
      <c r="C124" s="1951" t="s">
        <v>824</v>
      </c>
      <c r="D124" s="1951"/>
      <c r="E124" s="1951"/>
      <c r="F124" s="1951"/>
      <c r="G124" s="1951"/>
      <c r="H124" s="1951"/>
      <c r="I124" s="1951"/>
      <c r="J124" s="1951"/>
      <c r="K124" s="1951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/>
      <c r="CU124" s="130"/>
      <c r="CV124" s="130"/>
    </row>
    <row r="125" spans="1:17" ht="14.25" collapsed="1" thickBot="1">
      <c r="A125" s="547"/>
      <c r="C125" s="575" t="s">
        <v>825</v>
      </c>
      <c r="D125" s="576">
        <f>'4.1'!D30</f>
        <v>1.613</v>
      </c>
      <c r="E125" s="576">
        <f>'4.1'!L30</f>
        <v>1.445</v>
      </c>
      <c r="F125" s="576"/>
      <c r="G125" s="577">
        <f>'4.1'!T30</f>
        <v>2.367</v>
      </c>
      <c r="H125" s="577">
        <f>'4.1'!AB30</f>
        <v>2.367</v>
      </c>
      <c r="I125" s="578">
        <f>'4.1'!AJ30</f>
        <v>2.367</v>
      </c>
      <c r="J125" s="579">
        <f>'4.1'!AR30</f>
        <v>1.458</v>
      </c>
      <c r="K125" s="721">
        <f>'4.1'!AZ30</f>
        <v>0.9089999999999999</v>
      </c>
      <c r="L125" s="723">
        <f>'4.1'!BM30</f>
        <v>2.367</v>
      </c>
      <c r="M125" s="724">
        <f>'4.1'!BU30</f>
        <v>1.458</v>
      </c>
      <c r="N125" s="724">
        <f>'4.1'!CC30</f>
        <v>0.9089999999999999</v>
      </c>
      <c r="O125" s="724">
        <f>'4.1'!CP30</f>
        <v>2.367</v>
      </c>
      <c r="P125" s="724">
        <f>'4.1'!CX30</f>
        <v>1.458</v>
      </c>
      <c r="Q125" s="725">
        <f>'4.1'!DF30</f>
        <v>0.9089999999999999</v>
      </c>
    </row>
    <row r="126" spans="1:17" ht="14.25" thickBot="1">
      <c r="A126" s="547"/>
      <c r="C126" s="575" t="s">
        <v>826</v>
      </c>
      <c r="D126" s="722">
        <v>11572.77</v>
      </c>
      <c r="E126" s="722" t="e">
        <f>E118/E125</f>
        <v>#REF!</v>
      </c>
      <c r="F126" s="580"/>
      <c r="G126" s="581">
        <f>G118/G125</f>
        <v>10296.146243673085</v>
      </c>
      <c r="H126" s="581">
        <f>H118/H125</f>
        <v>11294.373086011865</v>
      </c>
      <c r="I126" s="581">
        <f>I118/I125</f>
        <v>11604.628624744026</v>
      </c>
      <c r="J126" s="581">
        <f>J118/J125</f>
        <v>10454.89646098344</v>
      </c>
      <c r="K126" s="581">
        <f>K118/K125</f>
        <v>13203.614901346671</v>
      </c>
      <c r="L126" s="581">
        <f aca="true" t="shared" si="18" ref="L126:Q126">L118/L125</f>
        <v>12229.259806487738</v>
      </c>
      <c r="M126" s="581">
        <f t="shared" si="18"/>
        <v>11165.365526584139</v>
      </c>
      <c r="N126" s="581">
        <f t="shared" si="18"/>
        <v>13669.64164303133</v>
      </c>
      <c r="O126" s="581">
        <f t="shared" si="18"/>
        <v>12999.496853550925</v>
      </c>
      <c r="P126" s="581">
        <f t="shared" si="18"/>
        <v>11868.71931352742</v>
      </c>
      <c r="Q126" s="731">
        <f t="shared" si="18"/>
        <v>14530.543514202025</v>
      </c>
    </row>
    <row r="127" ht="13.5">
      <c r="A127" s="547"/>
    </row>
    <row r="128" ht="13.5">
      <c r="A128" s="547"/>
    </row>
    <row r="129" spans="1:3" ht="13.5">
      <c r="A129" s="547"/>
      <c r="C129" s="1" t="str">
        <f>'[1]4.1'!B37</f>
        <v>Генеральный директор ____________________С.Г. Бобряшов</v>
      </c>
    </row>
    <row r="130" spans="1:11" ht="15" customHeight="1">
      <c r="A130" s="547"/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1:11" ht="13.5">
      <c r="A131" s="547"/>
      <c r="D131" s="540"/>
      <c r="E131" s="540"/>
      <c r="F131" s="540"/>
      <c r="G131" s="540"/>
      <c r="H131" s="540"/>
      <c r="I131" s="540"/>
      <c r="J131" s="540"/>
      <c r="K131" s="540"/>
    </row>
    <row r="132" spans="1:11" ht="13.5">
      <c r="A132" s="547"/>
      <c r="D132" s="582"/>
      <c r="E132" s="582"/>
      <c r="F132" s="582"/>
      <c r="G132" s="582"/>
      <c r="H132" s="582"/>
      <c r="I132" s="582"/>
      <c r="J132" s="582"/>
      <c r="K132" s="582"/>
    </row>
    <row r="133" spans="1:11" ht="13.5">
      <c r="A133" s="547"/>
      <c r="D133" s="583"/>
      <c r="E133" s="583"/>
      <c r="F133" s="583"/>
      <c r="G133" s="583"/>
      <c r="H133" s="583"/>
      <c r="I133" s="583"/>
      <c r="J133" s="583"/>
      <c r="K133" s="583"/>
    </row>
    <row r="134" spans="1:11" ht="13.5">
      <c r="A134" s="547"/>
      <c r="D134" s="583"/>
      <c r="E134" s="583"/>
      <c r="F134" s="583"/>
      <c r="G134" s="583"/>
      <c r="H134" s="583"/>
      <c r="I134" s="583"/>
      <c r="J134" s="583"/>
      <c r="K134" s="583"/>
    </row>
    <row r="135" spans="1:11" ht="13.5">
      <c r="A135" s="547"/>
      <c r="C135" s="7"/>
      <c r="D135" s="584"/>
      <c r="E135" s="584"/>
      <c r="F135" s="584"/>
      <c r="G135" s="584"/>
      <c r="H135" s="584"/>
      <c r="I135" s="584"/>
      <c r="J135" s="584"/>
      <c r="K135" s="584"/>
    </row>
    <row r="136" spans="1:11" ht="13.5">
      <c r="A136" s="547"/>
      <c r="D136" s="583"/>
      <c r="E136" s="583"/>
      <c r="F136" s="583"/>
      <c r="G136" s="583"/>
      <c r="H136" s="583"/>
      <c r="I136" s="583"/>
      <c r="J136" s="583"/>
      <c r="K136" s="583"/>
    </row>
    <row r="137" spans="1:11" ht="13.5">
      <c r="A137" s="547"/>
      <c r="D137" s="583"/>
      <c r="E137" s="583"/>
      <c r="F137" s="583"/>
      <c r="G137" s="583"/>
      <c r="H137" s="583"/>
      <c r="I137" s="583"/>
      <c r="J137" s="583"/>
      <c r="K137" s="583"/>
    </row>
    <row r="138" ht="13.5">
      <c r="A138" s="547"/>
    </row>
    <row r="139" ht="13.5">
      <c r="A139" s="547"/>
    </row>
    <row r="140" spans="1:11" ht="13.5">
      <c r="A140" s="547"/>
      <c r="C140" s="585"/>
      <c r="D140" s="586"/>
      <c r="E140" s="586"/>
      <c r="F140" s="586"/>
      <c r="G140" s="586"/>
      <c r="H140" s="586"/>
      <c r="I140" s="586"/>
      <c r="J140" s="586"/>
      <c r="K140" s="586"/>
    </row>
    <row r="141" spans="1:11" ht="13.5">
      <c r="A141" s="547"/>
      <c r="C141" s="541"/>
      <c r="D141" s="585"/>
      <c r="E141" s="585"/>
      <c r="F141" s="585"/>
      <c r="G141" s="541"/>
      <c r="H141" s="541"/>
      <c r="I141" s="541"/>
      <c r="J141" s="541"/>
      <c r="K141" s="541"/>
    </row>
    <row r="142" spans="1:14" ht="13.5">
      <c r="A142" s="547"/>
      <c r="D142" s="540"/>
      <c r="E142" s="540"/>
      <c r="F142" s="540"/>
      <c r="G142" s="540"/>
      <c r="H142" s="540"/>
      <c r="I142" s="540"/>
      <c r="J142" s="540"/>
      <c r="K142" s="540"/>
      <c r="N142" s="184"/>
    </row>
    <row r="143" ht="13.5">
      <c r="A143" s="547"/>
    </row>
    <row r="144" spans="1:9" ht="13.5">
      <c r="A144" s="547"/>
      <c r="I144" s="184"/>
    </row>
    <row r="145" ht="13.5">
      <c r="A145" s="547"/>
    </row>
  </sheetData>
  <sheetProtection/>
  <autoFilter ref="A10:K120"/>
  <mergeCells count="16">
    <mergeCell ref="R24:U24"/>
    <mergeCell ref="L8:N8"/>
    <mergeCell ref="O8:Q8"/>
    <mergeCell ref="I7:Q7"/>
    <mergeCell ref="B5:K5"/>
    <mergeCell ref="I8:K8"/>
    <mergeCell ref="G8:G9"/>
    <mergeCell ref="H8:H9"/>
    <mergeCell ref="D7:H7"/>
    <mergeCell ref="C123:K123"/>
    <mergeCell ref="C124:K124"/>
    <mergeCell ref="B7:B9"/>
    <mergeCell ref="C7:C9"/>
    <mergeCell ref="D8:D9"/>
    <mergeCell ref="E8:E9"/>
    <mergeCell ref="C122:K122"/>
  </mergeCells>
  <printOptions/>
  <pageMargins left="0.7874015748031497" right="0.1968503937007874" top="0.3937007874015748" bottom="0.4330708661417323" header="0.31496062992125984" footer="0.31496062992125984"/>
  <pageSetup horizontalDpi="600" verticalDpi="6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EryshevaIV</dc:creator>
  <cp:keywords/>
  <dc:description/>
  <cp:lastModifiedBy>1</cp:lastModifiedBy>
  <cp:lastPrinted>2016-05-13T06:29:59Z</cp:lastPrinted>
  <dcterms:created xsi:type="dcterms:W3CDTF">2010-08-04T06:03:56Z</dcterms:created>
  <dcterms:modified xsi:type="dcterms:W3CDTF">2016-05-15T22:50:19Z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