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0" windowWidth="19416" windowHeight="11016" tabRatio="856" activeTab="6"/>
  </bookViews>
  <sheets>
    <sheet name="Реестр" sheetId="1" r:id="rId1"/>
    <sheet name="Произв прогр" sheetId="2" r:id="rId2"/>
    <sheet name="3.1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 Смета" sheetId="9" r:id="rId9"/>
    <sheet name="Амортизация по лизингу" sheetId="10" state="hidden" r:id="rId10"/>
    <sheet name="4.11" sheetId="11" state="hidden" r:id="rId11"/>
    <sheet name="4.12" sheetId="12" state="hidden" r:id="rId12"/>
    <sheet name="4.13" sheetId="13" state="hidden" r:id="rId13"/>
    <sheet name="4.14" sheetId="14" state="hidden" r:id="rId14"/>
    <sheet name="4.15" sheetId="15" state="hidden" r:id="rId15"/>
    <sheet name="6.1" sheetId="16" state="hidden" r:id="rId16"/>
    <sheet name="6.2" sheetId="17" state="hidden" r:id="rId17"/>
    <sheet name="6.3" sheetId="18" state="hidden" r:id="rId18"/>
    <sheet name="4.7 " sheetId="19" r:id="rId19"/>
    <sheet name="4.7 расшиф.-ээ" sheetId="20" r:id="rId20"/>
    <sheet name="4.8" sheetId="21" r:id="rId21"/>
    <sheet name="4.9 " sheetId="22" r:id="rId22"/>
    <sheet name="Расшиф. 4.9" sheetId="23" r:id="rId23"/>
    <sheet name="Амортизация" sheetId="24" r:id="rId24"/>
    <sheet name="4.12-1" sheetId="25" r:id="rId25"/>
    <sheet name="5.1" sheetId="26" r:id="rId26"/>
    <sheet name="5.2" sheetId="27" r:id="rId27"/>
    <sheet name="5.3" sheetId="28" r:id="rId28"/>
    <sheet name="5.4" sheetId="29" r:id="rId29"/>
    <sheet name="5.5" sheetId="30" r:id="rId30"/>
    <sheet name="5.6" sheetId="31" r:id="rId31"/>
    <sheet name="5.7" sheetId="32" r:id="rId32"/>
    <sheet name="5.9" sheetId="33" r:id="rId33"/>
    <sheet name="6.5" sheetId="34" state="hidden" r:id="rId34"/>
    <sheet name="6.4" sheetId="35" r:id="rId35"/>
    <sheet name="6.6" sheetId="36" r:id="rId36"/>
    <sheet name="6.7" sheetId="37" r:id="rId37"/>
    <sheet name="6.8" sheetId="38" r:id="rId38"/>
    <sheet name="перечень строений" sheetId="39" r:id="rId39"/>
    <sheet name="Расчет гвс (закрытая)" sheetId="40" r:id="rId40"/>
    <sheet name="Расчет гвс (открытая)" sheetId="41" r:id="rId41"/>
    <sheet name="Т-график" sheetId="42" r:id="rId42"/>
    <sheet name="i-d" sheetId="43" r:id="rId43"/>
  </sheets>
  <externalReferences>
    <externalReference r:id="rId46"/>
    <externalReference r:id="rId47"/>
    <externalReference r:id="rId48"/>
    <externalReference r:id="rId49"/>
    <externalReference r:id="rId50"/>
  </externalReferences>
  <definedNames>
    <definedName name="_Hlk275146613" localSheetId="41">'Т-график'!$M$4</definedName>
    <definedName name="_xlfn.SUMIFS" hidden="1">#NAME?</definedName>
    <definedName name="_xlnm._FilterDatabase" localSheetId="6" hidden="1">'4.4'!$A$8:$J$159</definedName>
    <definedName name="_xlnm._FilterDatabase" localSheetId="8" hidden="1">'4.6 Смета'!$A$10:$K$120</definedName>
    <definedName name="_xlnm.Print_Titles" localSheetId="6">'4.4'!$6:$9</definedName>
    <definedName name="_xlnm.Print_Titles" localSheetId="18">'4.7 '!$6:$10</definedName>
    <definedName name="_xlnm.Print_Area" localSheetId="2">'3.1'!$A$1:$F$63</definedName>
    <definedName name="_xlnm.Print_Area" localSheetId="3">'4.1'!$B$2:$DH$40</definedName>
    <definedName name="_xlnm.Print_Area" localSheetId="10">'4.11'!$A$1:$K$43</definedName>
    <definedName name="_xlnm.Print_Area" localSheetId="11">'4.12'!$A$1:$G$21</definedName>
    <definedName name="_xlnm.Print_Area" localSheetId="12">'4.13'!$A$1:$G$21</definedName>
    <definedName name="_xlnm.Print_Area" localSheetId="13">'4.14'!$A$1:$G$23</definedName>
    <definedName name="_xlnm.Print_Area" localSheetId="14">'4.15'!$A$1:$H$26</definedName>
    <definedName name="_xlnm.Print_Area" localSheetId="4">'4.2'!$B$2:$AS$34</definedName>
    <definedName name="_xlnm.Print_Area" localSheetId="5">'4.3'!$A$1:$AZ$33</definedName>
    <definedName name="_xlnm.Print_Area" localSheetId="6">'4.4'!$A$1:$P$163</definedName>
    <definedName name="_xlnm.Print_Area" localSheetId="7">'4.5'!$B$2:$S$50</definedName>
    <definedName name="_xlnm.Print_Area" localSheetId="8">'4.6 Смета'!$A$1:$Q$145</definedName>
    <definedName name="_xlnm.Print_Area" localSheetId="18">'4.7 '!$A$1:$J$98</definedName>
    <definedName name="_xlnm.Print_Area" localSheetId="20">'4.8'!$A$1:$K$69</definedName>
    <definedName name="_xlnm.Print_Area" localSheetId="21">'4.9 '!$B$1:$Q$81</definedName>
    <definedName name="_xlnm.Print_Area" localSheetId="28">'5.4'!$A$1:$H$17</definedName>
    <definedName name="_xlnm.Print_Area" localSheetId="29">'5.5'!$A$1:$I$38</definedName>
    <definedName name="_xlnm.Print_Area" localSheetId="30">'5.6'!$A$1:$H$39</definedName>
    <definedName name="_xlnm.Print_Area" localSheetId="32">'5.9'!$A$1:$I$36</definedName>
    <definedName name="_xlnm.Print_Area" localSheetId="15">'6.1'!$A$1:$K$42</definedName>
    <definedName name="_xlnm.Print_Area" localSheetId="16">'6.2'!$A$1:$U$44</definedName>
    <definedName name="_xlnm.Print_Area" localSheetId="17">'6.3'!$A$1:$AU$48</definedName>
    <definedName name="_xlnm.Print_Area" localSheetId="34">'6.4'!$B$2:$AN$69</definedName>
    <definedName name="_xlnm.Print_Area" localSheetId="33">'6.5'!$A$1:$AL$49</definedName>
    <definedName name="_xlnm.Print_Area" localSheetId="35">'6.6'!$A$1:$P$37</definedName>
    <definedName name="_xlnm.Print_Area" localSheetId="36">'6.7'!$A$2:$P$28</definedName>
    <definedName name="_xlnm.Print_Area" localSheetId="37">'6.8'!$A$1:$P$27</definedName>
    <definedName name="_xlnm.Print_Area" localSheetId="42">'i-d'!$A$1:$H$34</definedName>
    <definedName name="_xlnm.Print_Area" localSheetId="23">'Амортизация'!$A$1:$X$22</definedName>
    <definedName name="_xlnm.Print_Area" localSheetId="9">'Амортизация по лизингу'!$A$1:$W$36</definedName>
    <definedName name="_xlnm.Print_Area" localSheetId="38">'перечень строений'!$A$1:$X$56</definedName>
    <definedName name="_xlnm.Print_Area" localSheetId="22">'Расшиф. 4.9'!$A$1:$AE$45</definedName>
    <definedName name="_xlnm.Print_Area" localSheetId="0">'Реестр'!$A$1:$C$48</definedName>
    <definedName name="_xlnm.Print_Area" localSheetId="41">'Т-график'!$A$1:$N$86</definedName>
  </definedNames>
  <calcPr fullCalcOnLoad="1"/>
</workbook>
</file>

<file path=xl/comments10.xml><?xml version="1.0" encoding="utf-8"?>
<comments xmlns="http://schemas.openxmlformats.org/spreadsheetml/2006/main">
  <authors>
    <author>Шалковская М.Л.</author>
  </authors>
  <commentList>
    <comment ref="H9" authorId="0">
      <text>
        <r>
          <rPr>
            <b/>
            <sz val="10"/>
            <rFont val="Times New Roman"/>
            <family val="1"/>
          </rPr>
          <t xml:space="preserve">Шалковская М.Л.:
</t>
        </r>
        <r>
          <rPr>
            <sz val="10"/>
            <rFont val="Times New Roman"/>
            <family val="1"/>
          </rPr>
          <t>Ввод 01.07.2011г. 
Амортизация 2011г. - ст-ть 2 045*2шт./60мес.*6 мес.=409тыс.руб.; 
Амортизация 2012г. - ст-ть 2 045*2шт./60 мес.*12 мес.=818 тыс.руб.;
Амортизация за 2011г. и за 2012г. = 818+409=1227</t>
        </r>
      </text>
    </comment>
    <comment ref="H10" authorId="0">
      <text>
        <r>
          <rPr>
            <b/>
            <sz val="10"/>
            <rFont val="Times New Roman"/>
            <family val="1"/>
          </rPr>
          <t xml:space="preserve">Шалковская М.Л.:
</t>
        </r>
        <r>
          <rPr>
            <sz val="10"/>
            <rFont val="Times New Roman"/>
            <family val="1"/>
          </rPr>
          <t>Ввод 01.07.2011г. 
Амортизация 2011г. - ст-ть 2 270./60мес.*6 мес.=227 тыс.руб.; 
Амортизация 2012г. - ст-ть 2 270/60 мес.*12 мес.=454 тыс.руб.;
Амортизация за 2011г. и за 2012г. = 454+227=681</t>
        </r>
      </text>
    </comment>
    <comment ref="H11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</t>
        </r>
      </text>
    </comment>
    <comment ref="H12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 </t>
        </r>
      </text>
    </comment>
    <comment ref="H13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15" authorId="0">
      <text>
        <r>
          <rPr>
            <b/>
            <sz val="10"/>
            <rFont val="Times New Roman"/>
            <family val="1"/>
          </rPr>
          <t xml:space="preserve">Шалковская М.Л.:
</t>
        </r>
        <r>
          <rPr>
            <sz val="10"/>
            <rFont val="Times New Roman"/>
            <family val="1"/>
          </rPr>
          <t>Ввод 01.07.2011г. 
Амортизация 2011г. - ст-ть 2 045*2шт./60мес.*6 мес.=409тыс.руб.; 
Амортизация 2012г. - ст-ть 2 045*2шт./60 мес.*12 мес.=818 тыс.руб.;
Амортизация за 2011г. и за 2012г. = 818+409=1227</t>
        </r>
      </text>
    </comment>
    <comment ref="H16" authorId="0">
      <text>
        <r>
          <rPr>
            <b/>
            <sz val="10"/>
            <rFont val="Times New Roman"/>
            <family val="1"/>
          </rPr>
          <t xml:space="preserve">Шалковская М.Л.:
</t>
        </r>
        <r>
          <rPr>
            <sz val="10"/>
            <rFont val="Times New Roman"/>
            <family val="1"/>
          </rPr>
          <t>Ввод 01.07.2011г. 
Амортизация 2011г. - ст-ть 2 270./60мес.*6 мес.=227 тыс.руб.; 
Амортизация 2012г. - ст-ть 2 270/60 мес.*12 мес.=454 тыс.руб.;
Амортизация за 2011г. и за 2012г. = 454+227=681</t>
        </r>
      </text>
    </comment>
    <comment ref="H17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18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0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2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4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5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7" authorId="0">
      <text>
        <r>
          <rPr>
            <b/>
            <sz val="10"/>
            <rFont val="Tahoma"/>
            <family val="2"/>
          </rPr>
          <t>Шалковская М.Л.:</t>
        </r>
        <r>
          <rPr>
            <sz val="10"/>
            <rFont val="Tahoma"/>
            <family val="2"/>
          </rPr>
          <t xml:space="preserve">
Ввод 10.2012
Амортизация 2012г. - ст-ть 9285/60мес.*3 мес.=464.25 тыс.руб.;
</t>
        </r>
      </text>
    </comment>
    <comment ref="H28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  <comment ref="H29" authorId="0">
      <text>
        <r>
          <rPr>
            <b/>
            <sz val="10"/>
            <rFont val="Times New Roman"/>
            <family val="1"/>
          </rPr>
          <t>Шалковская М.Л.:</t>
        </r>
        <r>
          <rPr>
            <sz val="10"/>
            <rFont val="Times New Roman"/>
            <family val="1"/>
          </rPr>
          <t xml:space="preserve">
Ввод 06.2013г.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G23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табл 1.12.-1.ээ свод должен пойти</t>
        </r>
      </text>
    </comment>
    <comment ref="G2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табл 1.12.1 в.с.</t>
        </r>
      </text>
    </comment>
  </commentList>
</comments>
</file>

<file path=xl/comments22.xml><?xml version="1.0" encoding="utf-8"?>
<comments xmlns="http://schemas.openxmlformats.org/spreadsheetml/2006/main">
  <authors>
    <author>fin2</author>
  </authors>
  <commentList>
    <comment ref="C46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1.Ежемесячные компенсационные выплаты
по уходу за ребенком - 50 руб
2. Ежемесячные компенсационные выплаты студентам -50 руб
</t>
        </r>
      </text>
    </comment>
  </commentList>
</comments>
</file>

<file path=xl/comments4.xml><?xml version="1.0" encoding="utf-8"?>
<comments xmlns="http://schemas.openxmlformats.org/spreadsheetml/2006/main">
  <authors>
    <author>fin2</author>
  </authors>
  <commentList>
    <comment ref="C23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В стр. 3 заполняется расход тепловой энергии на хозяйственные нужды только на источнике тепловой энергии.</t>
        </r>
      </text>
    </comment>
    <comment ref="C25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      </r>
      </text>
    </comment>
  </commentList>
</comments>
</file>

<file path=xl/comments5.xml><?xml version="1.0" encoding="utf-8"?>
<comments xmlns="http://schemas.openxmlformats.org/spreadsheetml/2006/main">
  <authors>
    <author>fin2</author>
  </authors>
  <commentList>
    <comment ref="N24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экспертиза потерь</t>
        </r>
      </text>
    </comment>
  </commentList>
</comments>
</file>

<file path=xl/comments7.xml><?xml version="1.0" encoding="utf-8"?>
<comments xmlns="http://schemas.openxmlformats.org/spreadsheetml/2006/main">
  <authors>
    <author>fin2</author>
  </authors>
  <commentList>
    <comment ref="E76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цена топлива с учетом транспортировки.
</t>
        </r>
      </text>
    </comment>
    <comment ref="D76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цена топлива с учетом транспортировки.
</t>
        </r>
      </text>
    </comment>
  </commentList>
</comments>
</file>

<file path=xl/comments9.xml><?xml version="1.0" encoding="utf-8"?>
<comments xmlns="http://schemas.openxmlformats.org/spreadsheetml/2006/main">
  <authors>
    <author>fin2</author>
  </authors>
  <commentList>
    <comment ref="C23" authorId="0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только покупная горячая вода</t>
        </r>
      </text>
    </comment>
  </commentList>
</comments>
</file>

<file path=xl/sharedStrings.xml><?xml version="1.0" encoding="utf-8"?>
<sst xmlns="http://schemas.openxmlformats.org/spreadsheetml/2006/main" count="5077" uniqueCount="1702">
  <si>
    <r>
      <t xml:space="preserve">плановый период:  </t>
    </r>
    <r>
      <rPr>
        <b/>
        <sz val="12"/>
        <rFont val="Arial"/>
        <family val="2"/>
      </rPr>
      <t xml:space="preserve">  </t>
    </r>
    <r>
      <rPr>
        <b/>
        <sz val="12"/>
        <color indexed="21"/>
        <rFont val="Arial"/>
        <family val="2"/>
      </rPr>
      <t>20</t>
    </r>
    <r>
      <rPr>
        <b/>
        <u val="single"/>
        <sz val="12"/>
        <color indexed="21"/>
        <rFont val="Arial"/>
        <family val="2"/>
      </rPr>
      <t>17</t>
    </r>
    <r>
      <rPr>
        <b/>
        <sz val="12"/>
        <color indexed="21"/>
        <rFont val="Arial"/>
        <family val="2"/>
      </rPr>
      <t>-2018</t>
    </r>
  </si>
  <si>
    <t>ООО "Интеко"</t>
  </si>
  <si>
    <t>Норматив (м3/чел/мес) на 2016 г.</t>
  </si>
  <si>
    <t>Всего за 2016 г.</t>
  </si>
  <si>
    <t>Население</t>
  </si>
  <si>
    <t>при открытой системе теплоснабжения:</t>
  </si>
  <si>
    <t>при закрытой системе теплоснабжения:</t>
  </si>
  <si>
    <t>Отпуск ГВС (Гкал)</t>
  </si>
  <si>
    <t>Q</t>
  </si>
  <si>
    <t xml:space="preserve">Отопление </t>
  </si>
  <si>
    <t>S м2</t>
  </si>
  <si>
    <t>Отопление + ГВС (Гкал)</t>
  </si>
  <si>
    <t>________________С.Г. Бобряшов</t>
  </si>
  <si>
    <r>
      <t xml:space="preserve">Ленина 5 </t>
    </r>
    <r>
      <rPr>
        <i/>
        <sz val="12"/>
        <color indexed="8"/>
        <rFont val="Arial Cyr"/>
        <family val="0"/>
      </rPr>
      <t>(Откр.)</t>
    </r>
  </si>
  <si>
    <r>
      <t xml:space="preserve">Ленина 5 </t>
    </r>
    <r>
      <rPr>
        <i/>
        <sz val="12"/>
        <color indexed="8"/>
        <rFont val="Arial"/>
        <family val="2"/>
      </rPr>
      <t>(Откр.)</t>
    </r>
  </si>
  <si>
    <t>Ленина 3 "Б" (Откр.)</t>
  </si>
  <si>
    <t>Утверждено службой 2016 г.</t>
  </si>
  <si>
    <t>Ожидаемые показатели 2016 г.</t>
  </si>
  <si>
    <t>Предложение ТСО 2019 г.</t>
  </si>
  <si>
    <t>План 2019 г.</t>
  </si>
  <si>
    <t xml:space="preserve">собственные нужды </t>
  </si>
  <si>
    <t>с.н.</t>
  </si>
  <si>
    <t>отпуск в сеть</t>
  </si>
  <si>
    <t>в сеть</t>
  </si>
  <si>
    <t>Договор № 3 от 01.01.2013 г.</t>
  </si>
  <si>
    <t xml:space="preserve">Водогр / котел Kiturami KSO - 70 </t>
  </si>
  <si>
    <t>Водогр / котел Kiturami KSO - 50 ( 2 шт.*82 015 руб.)</t>
  </si>
  <si>
    <t>Приборы учета тепловой энергии (3 шт.* 212 685,58)</t>
  </si>
  <si>
    <t>Приборы учета тепловой энергии</t>
  </si>
  <si>
    <t>Договор № 25/04/13 от 25.04.2013 г.</t>
  </si>
  <si>
    <t>Насос Wilo Gronoline-IL  65/170-1,5/4</t>
  </si>
  <si>
    <t>Договор № К-369/1 от 14.01.2013 г.</t>
  </si>
  <si>
    <t xml:space="preserve">Эл/станция + сварочный аппарат </t>
  </si>
  <si>
    <t>Моноблок Aser Aspire Z5761</t>
  </si>
  <si>
    <t>Расходы, связанные с производством и реализацией продукции (услуг), всего</t>
  </si>
  <si>
    <t>расходы на сырье и материалы</t>
  </si>
  <si>
    <t>запчасти</t>
  </si>
  <si>
    <t>материалы, ремонт х/сп</t>
  </si>
  <si>
    <t>материалы на ТО</t>
  </si>
  <si>
    <t>ООО "Интэко"</t>
  </si>
  <si>
    <t>Остаточная стоимость на 01.01.2015г.</t>
  </si>
  <si>
    <t>Остаточная стоимость на 31.12.2016 г.</t>
  </si>
  <si>
    <t>К таблице прилагаются дополнительные материалы, содержащие обоснованный расчет по каждой статье затрат (с указанием плановых (расчетных) цен, экономически обоснованных объемов и применяемых индексов, норм и нормативов расчета) с учетом приложений 4.4, 4.7</t>
  </si>
  <si>
    <t>Полезный отпуск</t>
  </si>
  <si>
    <t>Тариф, руб./Гкал</t>
  </si>
  <si>
    <t>Приложение 4.7</t>
  </si>
  <si>
    <t>Наименование поставщика</t>
  </si>
  <si>
    <t>Объем покупной энергии,
млн. кВт*ч (тыс. Гкал)</t>
  </si>
  <si>
    <t>Расчетная мощность, тыс. кВт (Гкал/ч)</t>
  </si>
  <si>
    <t>Тариф</t>
  </si>
  <si>
    <t>Затраты на покупку, тыс. руб.</t>
  </si>
  <si>
    <t>двухставочный</t>
  </si>
  <si>
    <t>энергии</t>
  </si>
  <si>
    <t>мощности</t>
  </si>
  <si>
    <t>ставка
за мощность</t>
  </si>
  <si>
    <t>ставка
за энергию</t>
  </si>
  <si>
    <t>руб./тыс. кВт*ч (руб./Гкал)</t>
  </si>
  <si>
    <t>руб./МВт в мес. (тыс. руб./
Гкал/ч в мес.)</t>
  </si>
  <si>
    <t>Электрическая энергия, в том числе:</t>
  </si>
  <si>
    <t>оптовый рынок</t>
  </si>
  <si>
    <t>розничный рынок</t>
  </si>
  <si>
    <t>Электростанция (котельная)</t>
  </si>
  <si>
    <t>Вид топлива/ Калорийность топлива, ккал/кг н.т.</t>
  </si>
  <si>
    <t>цена франко станция</t>
  </si>
  <si>
    <t>дальность перевозки</t>
  </si>
  <si>
    <t>тариф на перевозку</t>
  </si>
  <si>
    <t>норматив потерь при перевозке</t>
  </si>
  <si>
    <t>цена франко станция назначения, руб./т.н.т.</t>
  </si>
  <si>
    <t>Утверждено Службой 2013 г.</t>
  </si>
  <si>
    <t>Утверждено Службой 2014 г.</t>
  </si>
  <si>
    <t>на производство электрической энергии</t>
  </si>
  <si>
    <t>прочая продукция</t>
  </si>
  <si>
    <t>n</t>
  </si>
  <si>
    <t>Расходы на приобретение холодной воды и теплоносителя</t>
  </si>
  <si>
    <r>
      <t>Базовый период/Период регулирования:</t>
    </r>
    <r>
      <rPr>
        <b/>
        <sz val="10"/>
        <rFont val="Times New Roman"/>
        <family val="1"/>
      </rPr>
      <t>2016/2017-2018г.г.</t>
    </r>
  </si>
  <si>
    <t>Генеральный директор _________________________ С.Г. Бобряшов</t>
  </si>
  <si>
    <t>Второй год очередного долгосрочного периода регулирования (2018)</t>
  </si>
  <si>
    <t>факт в году i1 по данным регулируемой организации</t>
  </si>
  <si>
    <t>Федерального бюджета</t>
  </si>
  <si>
    <t>2.4</t>
  </si>
  <si>
    <t>Местного бюджета</t>
  </si>
  <si>
    <t>2.5</t>
  </si>
  <si>
    <t>Регионального (республиканского, краевого, областного) бюджета</t>
  </si>
  <si>
    <t>2.6</t>
  </si>
  <si>
    <t>Прочих</t>
  </si>
  <si>
    <t>2.7</t>
  </si>
  <si>
    <r>
      <t>гр. 8 = (4/5 * гр. 8 + 3/5 * гр. 7 + 2/5 * гр. 6)|</t>
    </r>
    <r>
      <rPr>
        <vertAlign val="subscript"/>
        <sz val="9"/>
        <rFont val="Times New Roman"/>
        <family val="1"/>
      </rPr>
      <t>стр. 10</t>
    </r>
  </si>
  <si>
    <r>
      <t>гр. 8 = (4/5 * гр. 8 + 3/5 * гр. 7 + 2/5 * гр. 6 + 1/5 * гр. 5)|</t>
    </r>
    <r>
      <rPr>
        <vertAlign val="subscript"/>
        <sz val="9"/>
        <rFont val="Times New Roman"/>
        <family val="1"/>
      </rPr>
      <t>стр. 10</t>
    </r>
  </si>
  <si>
    <t>факт в году i0 по дан-ным регули-руемой организации</t>
  </si>
  <si>
    <t>факт в году i0 + 1 по данным регули-руемой организации</t>
  </si>
  <si>
    <t>n - 1</t>
  </si>
  <si>
    <t>Операционные (подконтрольные) расходы</t>
  </si>
  <si>
    <t>Неподконтрольные расходы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</si>
  <si>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</si>
  <si>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</si>
  <si>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ИТОГО необходимая валовая выручка</t>
  </si>
  <si>
    <t>Товарная выручка</t>
  </si>
  <si>
    <t>Расходы на приобретение (производство) энергетических ресурсов, холодной воды и теплоносителя</t>
  </si>
  <si>
    <t>Корректировка с учетом надежности и качества реализуемых товаров (оказываемых услуг), подлежащая учету в НВВ</t>
  </si>
  <si>
    <t>Корректировка НВВ в связи с изменением (неисполнением) инвестиционной программы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</si>
  <si>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</si>
  <si>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</si>
  <si>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</si>
  <si>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Стр. 4 = (стр. 1.1 * стр. 1.2 + … + стр. n.1 * стр. n.2) / стр. 3.</t>
  </si>
  <si>
    <t>Приложение 6.8</t>
  </si>
  <si>
    <t>I</t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</si>
  <si>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</si>
  <si>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 i0 - первый год долгосрочного периода регулирования, год i1 - последний год долгосрочного периода регулирования.</t>
    </r>
  </si>
  <si>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</si>
  <si>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</si>
  <si>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</si>
  <si>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t>фактически понесенные расходы в году i0 по данным регули-руемой организации</t>
  </si>
  <si>
    <t>фактически понесенные расходы в году i0 + 1 по данным регули-руемой организации</t>
  </si>
  <si>
    <t>фактически понесенные расходы в году i1 по данным ре-гулируемой организации</t>
  </si>
  <si>
    <t>Концессионная плата</t>
  </si>
  <si>
    <t>Расчет экономии от снижения потребления прочих энергоресурсов</t>
  </si>
  <si>
    <t>Приложение 4.14</t>
  </si>
  <si>
    <t>Фактический объем полезного отпуска тепловой энергии</t>
  </si>
  <si>
    <t>Объем полезного отпуска тепловой энергии, учтенный при расчете цен (тарифов) в году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</si>
  <si>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</si>
  <si>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</si>
  <si>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</si>
  <si>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</si>
  <si>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</si>
  <si>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</si>
  <si>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Расчет экономии от снижения потребления прочих энергетических ресурсов, холодной воды, теплоносителя (далее в настоящем приложении - ресурсы), учитываемой в очередном долгосрочном периоде регулирования</t>
  </si>
  <si>
    <t>Фактический объем полезного отпуска соответствующего вида продукции (услуг)</t>
  </si>
  <si>
    <t>Объем полезного отпуска соответствующего вида продукции (услуг), учтенный при установлении тарифов</t>
  </si>
  <si>
    <t>Объем потребления ресурса, учтенный при установлении тарифов</t>
  </si>
  <si>
    <t>Фактический объем потребления ресурса</t>
  </si>
  <si>
    <t>Фактическая стоимость приобретения (производства) единицы ресурса</t>
  </si>
  <si>
    <t>Экономия от снижения потребления ресурсов</t>
  </si>
  <si>
    <t>Прирост экономии от снижения потребления ресурсов</t>
  </si>
  <si>
    <t>Прирост экономии от снижения потребления ресурсов в ценах года i1</t>
  </si>
  <si>
    <t>Экономия от снижения потребления ресурсов, учитываемая в очередном долгосрочном периоде регулирования</t>
  </si>
  <si>
    <t>Приложение 5.7</t>
  </si>
  <si>
    <t>Приложение заполняется,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топлива равна нулю.</t>
  </si>
  <si>
    <t>с.Тиличики</t>
  </si>
  <si>
    <t>с.Корф</t>
  </si>
  <si>
    <t>1.4.1</t>
  </si>
  <si>
    <t>1.4.2</t>
  </si>
  <si>
    <t>2.16</t>
  </si>
  <si>
    <t>2.17</t>
  </si>
  <si>
    <t>Эксперт РСТ Камчатского края</t>
  </si>
  <si>
    <t>Расчет амортизационных отчислений и налога на имущество по договорам финансового лизинга</t>
  </si>
  <si>
    <t xml:space="preserve">Справочно: </t>
  </si>
  <si>
    <t>Наименование договора</t>
  </si>
  <si>
    <t>Примечание</t>
  </si>
  <si>
    <t>Период действия договора, мес.</t>
  </si>
  <si>
    <t>Наименование техники</t>
  </si>
  <si>
    <t>Амортизационная группа</t>
  </si>
  <si>
    <t>Срок полезного использования, мес.</t>
  </si>
  <si>
    <t>Год ввода</t>
  </si>
  <si>
    <t>Балансовая стоимость (тыс. руб.)</t>
  </si>
  <si>
    <t>% амортизации</t>
  </si>
  <si>
    <t>Амортизация (мес.)</t>
  </si>
  <si>
    <t>Амортизация на 2013г.</t>
  </si>
  <si>
    <t>Остаточная стоимость на 01.01.2014г.</t>
  </si>
  <si>
    <t>Амортизация на 2014г.</t>
  </si>
  <si>
    <t>Остаточная стоимость на 31.12.2014г.</t>
  </si>
  <si>
    <t>Процент снижения годовой стоимости налога на имущество с учетом изменения остаточной стоимости основного средства</t>
  </si>
  <si>
    <t>Налог на имущество</t>
  </si>
  <si>
    <t>Сумма амортизационных отчислений с налогом на имущество</t>
  </si>
  <si>
    <t>Предложение ОАО"Корякэнерго" на 2014г.</t>
  </si>
  <si>
    <t>Стр. 6 = стр. 4 - стр. 5.</t>
  </si>
  <si>
    <t>Расчет операционных (подконтрольных) расходов
на каждый год долгосрочного периода регулирования</t>
  </si>
  <si>
    <t>Реестр неподконтрольных расходов</t>
  </si>
  <si>
    <t>Расчет экономии операционных расходов</t>
  </si>
  <si>
    <t>Расчет экономии от снижения потребления топлива, учитываемой в очередном долгосрочном периоде регулирования</t>
  </si>
  <si>
    <t>Лизинг техники ООО "ТаймЛизинг"</t>
  </si>
  <si>
    <t>Самосвал Урал 55571 40</t>
  </si>
  <si>
    <t>2011, июль</t>
  </si>
  <si>
    <t>Бульдозер Shantui SD 13</t>
  </si>
  <si>
    <t>Договор финансового лизинга № 192 - ВЛ-СМот 31.05.2013 г.</t>
  </si>
  <si>
    <t>Бульдозер Shantui SD 16</t>
  </si>
  <si>
    <t>2013, июнь</t>
  </si>
  <si>
    <t>Договор финансового лизинга № 165 - ВЛ-ТС от 31.05.2013 г.</t>
  </si>
  <si>
    <t>Самосвал Урал 58312 А</t>
  </si>
  <si>
    <t>Договор финансового лизинга № 193-ВЛ-СМ от 05.06.2013 г.</t>
  </si>
  <si>
    <t>Фронтальный погрузчик XCMG LW-300F</t>
  </si>
  <si>
    <t>с.Усть-Хайрюзово</t>
  </si>
  <si>
    <t>с. Крутогоровский</t>
  </si>
  <si>
    <t>Договор финансового лизинга № 195 - ВЛ-СМот 05.06.2013 г.</t>
  </si>
  <si>
    <t>Грузовой автомобиль KIA BONGO III</t>
  </si>
  <si>
    <t>с. Хаилино</t>
  </si>
  <si>
    <t>с.Тымлат</t>
  </si>
  <si>
    <t>Коэффициент для расчета по непром. группе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</si>
  <si>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4.4.1 - 4.4.4, 5.6.1 - 5.6.4 заполняются по результатам распределения р</t>
  </si>
  <si>
    <t>Итого заполняется в гр. 5 как сумма граф 4 - 7 строки 4.</t>
  </si>
  <si>
    <t>2.15</t>
  </si>
  <si>
    <t>Расчет регулируемых цен (тарифов) на товары и услуги в сфере теплоснабжения</t>
  </si>
  <si>
    <t>3.1.8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</si>
  <si>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</si>
  <si>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</si>
  <si>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</si>
  <si>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</si>
  <si>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</si>
  <si>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Гр. 10 = гр. 8 / гр. 4.</t>
  </si>
  <si>
    <t>Гр. 11 заполняется только в строках 1, ..., n. Гр. 11 = (гр. 3 - гр. 8) / (гр. 6 * М), где М = 12.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</si>
  <si>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</si>
  <si>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</si>
  <si>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острый и редуцированный пар</t>
  </si>
  <si>
    <t>Покупная теплоэнергия</t>
  </si>
  <si>
    <t>4.1</t>
  </si>
  <si>
    <t>- через изоляцию</t>
  </si>
  <si>
    <t>4.2</t>
  </si>
  <si>
    <t>- с потерями теплоносителя</t>
  </si>
  <si>
    <t>4.3</t>
  </si>
  <si>
    <t>Всего отпущено потребителям</t>
  </si>
  <si>
    <t>Отборный пар</t>
  </si>
  <si>
    <t>Острый и редуцированный пар</t>
  </si>
  <si>
    <t>Итого</t>
  </si>
  <si>
    <t>2.11</t>
  </si>
  <si>
    <t>2.12</t>
  </si>
  <si>
    <t>4.4</t>
  </si>
  <si>
    <t>4.5</t>
  </si>
  <si>
    <t>кг/Гкал</t>
  </si>
  <si>
    <t>руб./Гкал</t>
  </si>
  <si>
    <r>
      <t>1,2 - 2,5 кгс/см</t>
    </r>
    <r>
      <rPr>
        <vertAlign val="superscript"/>
        <sz val="10"/>
        <rFont val="Times New Roman"/>
        <family val="1"/>
      </rPr>
      <t>2</t>
    </r>
  </si>
  <si>
    <r>
      <t>2,5 - 7,0 кгс/см</t>
    </r>
    <r>
      <rPr>
        <vertAlign val="superscript"/>
        <sz val="10"/>
        <rFont val="Times New Roman"/>
        <family val="1"/>
      </rPr>
      <t>2</t>
    </r>
  </si>
  <si>
    <r>
      <t>7,0 - 13,0 кгс/см</t>
    </r>
    <r>
      <rPr>
        <vertAlign val="superscript"/>
        <sz val="10"/>
        <rFont val="Times New Roman"/>
        <family val="1"/>
      </rPr>
      <t>2</t>
    </r>
  </si>
  <si>
    <r>
      <t>&gt; 13 кгс/см</t>
    </r>
    <r>
      <rPr>
        <vertAlign val="superscript"/>
        <sz val="10"/>
        <rFont val="Times New Roman"/>
        <family val="1"/>
      </rPr>
      <t>2</t>
    </r>
  </si>
  <si>
    <t>тыс.Гкал</t>
  </si>
  <si>
    <t>17</t>
  </si>
  <si>
    <t>18</t>
  </si>
  <si>
    <t>19</t>
  </si>
  <si>
    <t>20</t>
  </si>
  <si>
    <t>1.1.2</t>
  </si>
  <si>
    <t>1.1.1</t>
  </si>
  <si>
    <t>1.1.3</t>
  </si>
  <si>
    <t>1.2.1</t>
  </si>
  <si>
    <t>1.2.2</t>
  </si>
  <si>
    <t>1.4</t>
  </si>
  <si>
    <t>1.5</t>
  </si>
  <si>
    <t>1.6</t>
  </si>
  <si>
    <t>1.7</t>
  </si>
  <si>
    <t>1.8</t>
  </si>
  <si>
    <t>3.4</t>
  </si>
  <si>
    <t>1.</t>
  </si>
  <si>
    <t>тыс.руб.</t>
  </si>
  <si>
    <t>2.</t>
  </si>
  <si>
    <t>3.</t>
  </si>
  <si>
    <t>4.</t>
  </si>
  <si>
    <t>5.</t>
  </si>
  <si>
    <t>6.</t>
  </si>
  <si>
    <t>7.</t>
  </si>
  <si>
    <t>8.</t>
  </si>
  <si>
    <t>3.5</t>
  </si>
  <si>
    <t>Водяные тепловые сети</t>
  </si>
  <si>
    <t>Паровые тепловые сети</t>
  </si>
  <si>
    <t>21</t>
  </si>
  <si>
    <t>20.1</t>
  </si>
  <si>
    <t>22</t>
  </si>
  <si>
    <t>Переводной коэффициент</t>
  </si>
  <si>
    <t>№ п/п</t>
  </si>
  <si>
    <t>21.1</t>
  </si>
  <si>
    <t>Предложение ТСО на 2019 г.</t>
  </si>
  <si>
    <t>Графы 3, 4, 7, 8 заполняются без учета договорного объема тепловой энергии, тепловой нагрузки по долгосрочным договорам теплоснабжения, нерегулируемым долгосрочным договорам теплоснабжения, заключаемым в отношении источников тепловой энергии.</t>
  </si>
  <si>
    <t>Строки 1, ..., n заполняются в случае расчета тарифов без дифференциации по виду теплоносителя.</t>
  </si>
  <si>
    <t>Расчет ставки за тепловую энергию двухставочного тарифа на тепловую энергию (мощность), руб./Гкал</t>
  </si>
  <si>
    <t>Расчет ставки за содержание тепловой мощности двухставочного тарифа на тепловую энергию (мощность), тыс.руб./Гкал/ч в мес.</t>
  </si>
  <si>
    <t>Без дифференциации по виду теплоносителя</t>
  </si>
  <si>
    <t>2.1.1.</t>
  </si>
  <si>
    <t>Тарифы на тепловую энергию (мощность), поставляемую потребителям:</t>
  </si>
  <si>
    <t>3.2.1</t>
  </si>
  <si>
    <t>3.2.2</t>
  </si>
  <si>
    <t>то же в % к отпуску тепловой энергии от источника тепловой энергии</t>
  </si>
  <si>
    <t xml:space="preserve"> вода</t>
  </si>
  <si>
    <t>Фактические показатели 2012 г.</t>
  </si>
  <si>
    <t>Утверждено службой 2013 г.</t>
  </si>
  <si>
    <t>Ожидаемые показатели 2013 г.</t>
  </si>
  <si>
    <t>1 полугодие</t>
  </si>
  <si>
    <t>2 полугодие</t>
  </si>
  <si>
    <t>Расчет полезного отпуска теплоносителя</t>
  </si>
  <si>
    <t>Графы строки 6 заполняются расчетным способом: гр. стр. 6 = гр. стр. 1 / гр. стр. 2 * гр. стр. 3 - гр. стр. 4.</t>
  </si>
  <si>
    <t>Необходимо согласовать единицы измерения всех показателей для того, чтобы выразить прирост экономии от снижения потребления энергетического ресурса в тыс. руб.</t>
  </si>
  <si>
    <t>Приложение заполняется,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энергоресурсов равна нулю.</t>
  </si>
  <si>
    <t>Для второго расчетного периода регулирования, тарифы на который рассчитываются с применением настоящих Методических указаний, заполняются столбцы 7 - 8; для третьего расчетного периода регулирования заполняются столбцы 6 - 8; для четвертого расчетного периода регулирования заполняются столбцы 5 - 8; начиная с пятого расчетного периода регулирования заполняются все столбцы.</t>
  </si>
  <si>
    <t xml:space="preserve">Установленная тепловая мощность 4 источника тепловой энергии </t>
  </si>
  <si>
    <t xml:space="preserve">Установленная тепловая мощность 5 источника тепловой энергии 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</si>
  <si>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</si>
  <si>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n+1</t>
  </si>
  <si>
    <t>Приложение 6.2</t>
  </si>
  <si>
    <t>Утверждено службой 2013г.</t>
  </si>
  <si>
    <t>Ожидаемые показатели 2013г.</t>
  </si>
  <si>
    <t>Объем потребления энергетического ресурса, учтенный при установлении цен (тарифов)</t>
  </si>
  <si>
    <t>Фактический объем потребления энергетического ресурса</t>
  </si>
  <si>
    <t>Фактическая стоимость приобретения (производства) единицы энергетического ресурса</t>
  </si>
  <si>
    <t>Экономия от снижения потребления энергетичекого ресурса</t>
  </si>
  <si>
    <t>Приложение 4.15</t>
  </si>
  <si>
    <t>Период регулирования, i</t>
  </si>
  <si>
    <t>Экономия от снижения потребления энергетических ремурсов</t>
  </si>
  <si>
    <t>Эначение индекса потребительских цен</t>
  </si>
  <si>
    <t>Кумулятивное значение индекса потребительских цен</t>
  </si>
  <si>
    <t>Расчет экономии от снижения потребления энергоресурсов, учитываемой при формировании необходимой валовой выручки методом экономически обоснованных расходов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</si>
  <si>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</si>
  <si>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</si>
  <si>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Источник тепловой энергии</t>
  </si>
  <si>
    <t>Необходимая валовая выручка, тыс. руб.</t>
  </si>
  <si>
    <t>Объем отпуска тепловой энергии от источника тепловой энергии, тыс. Гкал</t>
  </si>
  <si>
    <t>Расчет средневзвешенной стоимости оказываемых и (или) приобретаемых услуг по передаче единицы тепловой энергии производится в соответствии с приложением 6.5 к настоящим Методическим указаниям.</t>
  </si>
  <si>
    <t>7,0 - 13,0 кгс/см2</t>
  </si>
  <si>
    <t>&gt; 13,0 кгс/см2</t>
  </si>
  <si>
    <t>острый и редуциро-ванный пар</t>
  </si>
  <si>
    <t>Примечания:</t>
  </si>
  <si>
    <t>Графы 4 и 9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</si>
  <si>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При подключении к тепловой сети после тепловых пунктов (на тепловых пунктах), эксплуатируемых регулируемой орагнизацией</t>
  </si>
  <si>
    <t>5.2.1</t>
  </si>
  <si>
    <t>в т.ч. по нерегулируемым долгосрочным договорам, тыс.Гкал</t>
  </si>
  <si>
    <t>Суммарная договорная (заявленная) тепловая нагрузка потребителей тепловой энергии, Гкал/ч</t>
  </si>
  <si>
    <t>KSO-70</t>
  </si>
  <si>
    <t>Приложение 4.8</t>
  </si>
  <si>
    <t>п. Усть - Камчатск</t>
  </si>
  <si>
    <t>Вид сырья и материалов</t>
  </si>
  <si>
    <t>Фактические показатели 2013 г.</t>
  </si>
  <si>
    <t>Расчетный объем</t>
  </si>
  <si>
    <t>Приложение заполняется начиная со второго расчетного периода регулирования (i = 2), тарифы на который рассчитываются с применением настоящих Методических указаний. В первый расчетный период регулирования экономия от снижения потребления топлива равна нулю.</t>
  </si>
  <si>
    <t>фактически понесенные расходы в году 2015 по данным регулируемой организации</t>
  </si>
  <si>
    <t>Индекс цен на топливо</t>
  </si>
  <si>
    <t>Газ</t>
  </si>
  <si>
    <t>Уголь</t>
  </si>
  <si>
    <t>Индекс цен на транспорт</t>
  </si>
  <si>
    <t>Индекс цен на ремонт</t>
  </si>
  <si>
    <t>Расчет тарифной ставки</t>
  </si>
  <si>
    <t>1 пол. 2015г.</t>
  </si>
  <si>
    <t>2 пол. 2015г.</t>
  </si>
  <si>
    <t>2015г.</t>
  </si>
  <si>
    <t>1 пол. 2016г.</t>
  </si>
  <si>
    <t>2 пол. 2016г.</t>
  </si>
  <si>
    <t>2016г.</t>
  </si>
  <si>
    <r>
      <t xml:space="preserve">Индекс цен производителей </t>
    </r>
    <r>
      <rPr>
        <sz val="10"/>
        <color indexed="8"/>
        <rFont val="Times New Roman"/>
        <family val="1"/>
      </rPr>
      <t>(условно-постоянные расходы)</t>
    </r>
  </si>
  <si>
    <t>1 пол. 2017г.</t>
  </si>
  <si>
    <t>2 пол. 2017г.</t>
  </si>
  <si>
    <t>2017г.</t>
  </si>
  <si>
    <t>2018г.</t>
  </si>
  <si>
    <t>2 пол. 2018г.</t>
  </si>
  <si>
    <t>Тарифы на тепловую энергию (мощность), поставляемую потребителям, рассчитываются как сумма соответствующих составляющих: средневзвешенной стоимости производимой и (или) приобретаемой единицы тепловой энергии (мощности) и средневзвешенной стоимости услуг п</t>
  </si>
  <si>
    <t>Приложение 6.6</t>
  </si>
  <si>
    <t>Расходы на производство воды, вырабатываемой на водоподготовительных установках источника тепловой энергии, в том числе:</t>
  </si>
  <si>
    <t>Стоимость исходной воды</t>
  </si>
  <si>
    <t>Стоимость реагентов, а также фильтрующих и ионообменных материалов, используемых при водоподготовке</t>
  </si>
  <si>
    <t>Расчет на прочие покупаемые энергетические ресурсы</t>
  </si>
  <si>
    <t>Реестр расчетов</t>
  </si>
  <si>
    <t>Наименование расчетов</t>
  </si>
  <si>
    <t>Приложение №</t>
  </si>
  <si>
    <t>Ссылка</t>
  </si>
  <si>
    <t>1,2 - 2,5 кгс/см2</t>
  </si>
  <si>
    <t>2,5 - 7,0 кгс/см2</t>
  </si>
  <si>
    <t>Размер годовой</t>
  </si>
  <si>
    <t>Размер месячный</t>
  </si>
  <si>
    <t>=0,011917*гр.8</t>
  </si>
  <si>
    <t>=2,2%- гр.15</t>
  </si>
  <si>
    <t>=гр.12*гр.16/100</t>
  </si>
  <si>
    <t>с.Пахачи</t>
  </si>
  <si>
    <t>Договор финансового лизинга № 19-ВЛ-СМ-ТС от 06.06.2011 г.</t>
  </si>
  <si>
    <t>Первый год очередного долгосрочного периода регулирования (2017)</t>
  </si>
  <si>
    <t>Второй год очередного долгосрочного периода регулирования (2019)</t>
  </si>
  <si>
    <t>прогноз расходов на год 2017 по данным регулируе-мой орга-низации</t>
  </si>
  <si>
    <t>прогноз рас-ходов на год 2018 по данным ре-гулируемой организации</t>
  </si>
  <si>
    <t>прогноз расходов на год 2019 по данным регулируе-мой орга-низации</t>
  </si>
  <si>
    <t>прогноз расходов на год 2017 по данным регулируемой организации</t>
  </si>
  <si>
    <t>прогноз рас-ходов на год
2018 по данным регулируемой организации</t>
  </si>
  <si>
    <t>прогноз расходов на год 2019 по данным регулируемой организации</t>
  </si>
  <si>
    <t>1.9.1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</si>
  <si>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</si>
  <si>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</si>
  <si>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</si>
  <si>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</si>
  <si>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</si>
  <si>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</si>
  <si>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</si>
  <si>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</si>
  <si>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</si>
  <si>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1 квартал</t>
  </si>
  <si>
    <t>2 квартал</t>
  </si>
  <si>
    <t>3 квартал</t>
  </si>
  <si>
    <t>4 квартал</t>
  </si>
  <si>
    <t>План</t>
  </si>
  <si>
    <t>Факт</t>
  </si>
  <si>
    <t>Откл</t>
  </si>
  <si>
    <t>1-е п/год</t>
  </si>
  <si>
    <t>2-е п/год</t>
  </si>
  <si>
    <t>год</t>
  </si>
  <si>
    <t>№23</t>
  </si>
  <si>
    <t>п. Усть-</t>
  </si>
  <si>
    <t>м-к №26</t>
  </si>
  <si>
    <t>ДТ</t>
  </si>
  <si>
    <t>Гкал</t>
  </si>
  <si>
    <t>выработка</t>
  </si>
  <si>
    <t>Выр.</t>
  </si>
  <si>
    <t>Камчатск</t>
  </si>
  <si>
    <t>1 полугодие 2019 г.</t>
  </si>
  <si>
    <t>2 полугодие 2019 г.</t>
  </si>
  <si>
    <t>Утверждено службой  2016 г.</t>
  </si>
  <si>
    <t>Ожидаемые показатели               2016 г.</t>
  </si>
  <si>
    <t xml:space="preserve">1 полугодие </t>
  </si>
  <si>
    <t xml:space="preserve">2 полугодие </t>
  </si>
  <si>
    <t xml:space="preserve">Всего </t>
  </si>
  <si>
    <t>Предложение ТСО  2019 г.</t>
  </si>
  <si>
    <t>Отпуск  (Гкал)</t>
  </si>
  <si>
    <t>Ожидаемые показатели  2016 г.</t>
  </si>
  <si>
    <t xml:space="preserve">Договор № 231115/3 от 23.11.2015 г.  ООО "Морской Траст" диз.  топлива цена 1 тн - 40 650 руб. </t>
  </si>
  <si>
    <t>Договор № 1702-МТот 23.11.2015 г экспедитор ООО "Морской Траст" доставка топлива цена 1 тн =  3 500 руб., плюс экспедиторские расходы  цена 1 т - 100 руб., свего доставка д/т 1 тн - 3 600</t>
  </si>
  <si>
    <t>ООО "Морской трст" диз топливо с траспортными расходами,  цена 1 тн =  44 250 руб.</t>
  </si>
  <si>
    <t>Предложение ТСО 2017, 2018, 2019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</si>
  <si>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2016/2017-2019 г.г.</t>
    </r>
  </si>
  <si>
    <t>Утверждено Службой 2016 г.</t>
  </si>
  <si>
    <t>поставщик -НН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</si>
  <si>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2016/2017-21019 г.г.</t>
    </r>
  </si>
  <si>
    <t>на производство теплоносителя на нужды горячего водоснабжения (открытая система)</t>
  </si>
  <si>
    <t>прочася продукция (на нужды горячего водоснабжения (закрытая система система)</t>
  </si>
  <si>
    <t>на поизводство тепловой энергии</t>
  </si>
  <si>
    <t>Суммарный полезный отпуск тепловой энергии энергия,
тыс. Гкал</t>
  </si>
  <si>
    <t>Стоимость натурального топлива с учетом перевозки</t>
  </si>
  <si>
    <t>Средства, полученные от реализации ценных бумаг</t>
  </si>
  <si>
    <t>2.8</t>
  </si>
  <si>
    <t>Кредитные средства</t>
  </si>
  <si>
    <t>2.9</t>
  </si>
  <si>
    <t>Итого по пп. 2.1 - 2.8</t>
  </si>
  <si>
    <t>2.10</t>
  </si>
  <si>
    <t>Прибыль (п. 1 - п. 2.9):</t>
  </si>
  <si>
    <t>Всего</t>
  </si>
  <si>
    <t>на производство тепловой энергии</t>
  </si>
  <si>
    <t>8.1</t>
  </si>
  <si>
    <t>1.2</t>
  </si>
  <si>
    <t>1.3</t>
  </si>
  <si>
    <t>3.3</t>
  </si>
  <si>
    <t>%</t>
  </si>
  <si>
    <t>5.1</t>
  </si>
  <si>
    <t>5.2</t>
  </si>
  <si>
    <t>5.3</t>
  </si>
  <si>
    <t>Единицы измерения</t>
  </si>
  <si>
    <t>Гкал/ч</t>
  </si>
  <si>
    <t>отборный пар</t>
  </si>
  <si>
    <t>Количество тепла, необходимого для приготовления одного кубического метра горячей воды³</t>
  </si>
  <si>
    <t>Гкал/м3</t>
  </si>
  <si>
    <t>4. Тарифы на тепловую энергию и холодную воду, без НДС</t>
  </si>
  <si>
    <t>Тариф на тепловую энергию</t>
  </si>
  <si>
    <t>Тариф на тепловую энергию для населения и исполнителей коммунальных услуг для населения</t>
  </si>
  <si>
    <t>Тариф на холодное водоснабжение</t>
  </si>
  <si>
    <t xml:space="preserve"> руб./м3</t>
  </si>
  <si>
    <t>Тариф на холодное водоснабжение для населения и исполнителей коммунальных услуг для населения</t>
  </si>
  <si>
    <t>Тариф на горячую воду для населения и исполнителей коммунальных услуг для населения</t>
  </si>
  <si>
    <t>Примечание:</t>
  </si>
  <si>
    <t xml:space="preserve">           - количество тепла, необходимое для приготовления одного кубического метра горячей воды, определяется по формуле (Гкал/куб. м):</t>
  </si>
  <si>
    <t>где,</t>
  </si>
  <si>
    <t xml:space="preserve">  c - удельная теплоемкость воды,                       Гкал/кг x 1 град. C;</t>
  </si>
  <si>
    <t xml:space="preserve"> - в открытой системе горчего водоснабжения рассчитывается по формуле: </t>
  </si>
  <si>
    <t xml:space="preserve">             - коэффициент, учитывающий потери тепла трубопроводами систем централизованного горячего водоснабжения (СП 41-101-95 "Проектирование тепловых пунктов", приложение 2, табл. 1</t>
  </si>
  <si>
    <t>Электрическая энергия</t>
  </si>
  <si>
    <t>ОАО "Корякэнерго"</t>
  </si>
  <si>
    <t>Показатели 2014 г.</t>
  </si>
  <si>
    <r>
      <t xml:space="preserve">одноставочный </t>
    </r>
    <r>
      <rPr>
        <sz val="10"/>
        <color indexed="12"/>
        <rFont val="Times New Roman"/>
        <family val="1"/>
      </rPr>
      <t xml:space="preserve">НН   </t>
    </r>
    <r>
      <rPr>
        <sz val="10"/>
        <rFont val="Times New Roman"/>
        <family val="1"/>
      </rPr>
      <t xml:space="preserve">                                             </t>
    </r>
  </si>
  <si>
    <t>свыше 13,0 кгс/кв.см</t>
  </si>
  <si>
    <t>В том числе население</t>
  </si>
  <si>
    <r>
      <t xml:space="preserve">Теплоснабжающая организация: </t>
    </r>
    <r>
      <rPr>
        <b/>
        <u val="single"/>
        <sz val="11"/>
        <rFont val="Times New Roman"/>
        <family val="1"/>
      </rPr>
      <t>ООО "Интэко"</t>
    </r>
  </si>
  <si>
    <t>топливо на нетехнологические цели</t>
  </si>
  <si>
    <t>хим.реагенты</t>
  </si>
  <si>
    <t>……</t>
  </si>
  <si>
    <t>расходы на топливо</t>
  </si>
  <si>
    <t>расходы на прочие покупаемые энергетические ресурсы</t>
  </si>
  <si>
    <t>расходы на холодную воду</t>
  </si>
  <si>
    <t>расходы на теплоноситель</t>
  </si>
  <si>
    <t>амортизация основных средств и нематериальных активов</t>
  </si>
  <si>
    <t>оплата труда</t>
  </si>
  <si>
    <t>отчисления на социальные нужды</t>
  </si>
  <si>
    <t>1.9</t>
  </si>
  <si>
    <t>ремонт основных средств выполняемый подрядным способом</t>
  </si>
  <si>
    <t>1.10</t>
  </si>
  <si>
    <t>расходы на оплату услуг, оказываемых организациями, осуществляющими регулируемую деятельность</t>
  </si>
  <si>
    <t>1.11</t>
  </si>
  <si>
    <t>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</si>
  <si>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1.11.1</t>
  </si>
  <si>
    <t>1.11.2</t>
  </si>
  <si>
    <t>1.11.3</t>
  </si>
  <si>
    <t>услуги очистительной техники</t>
  </si>
  <si>
    <t>1.11.4</t>
  </si>
  <si>
    <t>1.11.5</t>
  </si>
  <si>
    <t>1.11.6</t>
  </si>
  <si>
    <t>1.11.7</t>
  </si>
  <si>
    <t>1.11.8</t>
  </si>
  <si>
    <t>1.11.9</t>
  </si>
  <si>
    <t>1.11.10</t>
  </si>
  <si>
    <t>анализ твердого топлива (уголь)</t>
  </si>
  <si>
    <t>1.11.11</t>
  </si>
  <si>
    <t>энергетическое обследование котельных</t>
  </si>
  <si>
    <t>1.11.12</t>
  </si>
  <si>
    <t>установка приборов учета тепловой энергии</t>
  </si>
  <si>
    <t>режимно-наладочные испытания котлов</t>
  </si>
  <si>
    <t>экспертиза НУР и потери в сетях</t>
  </si>
  <si>
    <t>1.12</t>
  </si>
  <si>
    <t>расходы на оплату иных работ и услуг, выполняемых по договорам с организациями, включая расходы на оплату услуг связи, вневедомственной охран, коммунальных услуг, юридических, информациолнных, аудиторских и консультационнвх услуг</t>
  </si>
  <si>
    <t>1.12.1</t>
  </si>
  <si>
    <t>фактически понесенные расходы
в году i1 по данным регулируемой организации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</si>
  <si>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</si>
  <si>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</si>
  <si>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</si>
  <si>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</si>
  <si>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</si>
  <si>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</si>
  <si>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другие обоснованные расходы, в том числе</t>
  </si>
  <si>
    <t>2.4.1</t>
  </si>
  <si>
    <t>расходы на услуги банков</t>
  </si>
  <si>
    <t>2.4.2</t>
  </si>
  <si>
    <t>% за пользование кредитом</t>
  </si>
  <si>
    <t>2.4.3</t>
  </si>
  <si>
    <t>расходы на обслуживание заемных средств</t>
  </si>
  <si>
    <t>2.4.4</t>
  </si>
  <si>
    <t>убытки от списания безнадежной дебиторской задолженности</t>
  </si>
  <si>
    <t>2.4.5</t>
  </si>
  <si>
    <t>судебные издержки</t>
  </si>
  <si>
    <t>2.4.6</t>
  </si>
  <si>
    <r>
      <t>гр. 8 = (4/5 * гр. 7 + 3/5 * гр. 6 + 2/5 * гр. 5)|</t>
    </r>
    <r>
      <rPr>
        <vertAlign val="subscript"/>
        <sz val="11"/>
        <rFont val="Times New Roman"/>
        <family val="1"/>
      </rPr>
      <t>стр. 7</t>
    </r>
  </si>
  <si>
    <t>Если предшествующий долгосрочный период регулирования составляет более 3 лет:</t>
  </si>
  <si>
    <r>
      <t>гр. 8 = (4/5 * гр. 7 + 3/5 * гр. 6 + 2/5 * гр. 5 + 1/5 * гр. 4)|</t>
    </r>
    <r>
      <rPr>
        <vertAlign val="subscript"/>
        <sz val="11"/>
        <rFont val="Times New Roman"/>
        <family val="1"/>
      </rPr>
      <t>стр. 7</t>
    </r>
  </si>
  <si>
    <t>Приложение 5.5</t>
  </si>
  <si>
    <t>Год
i1-1</t>
  </si>
  <si>
    <t>тыс. Гкал</t>
  </si>
  <si>
    <t>Прирост экономии от снижения потребления топлива</t>
  </si>
  <si>
    <t>Значение индекса потребительских цен</t>
  </si>
  <si>
    <t>Прирост экономии от снижения потребления энергетических ресурсов в ценах
года i1</t>
  </si>
  <si>
    <t>Экономия от снижения потребления топлива, учитываемая в очередном долгосрочном периоде регулирования</t>
  </si>
  <si>
    <t>Приложение заполняется для каждого источника тепловой энергии.</t>
  </si>
  <si>
    <t>551-700 мм</t>
  </si>
  <si>
    <t>1.1.5</t>
  </si>
  <si>
    <t xml:space="preserve">701 мм и выше </t>
  </si>
  <si>
    <t>i1 - последний год текущего долгосрочного периода регулирования.</t>
  </si>
  <si>
    <t>Стр. 3 = стр. 1 - стр. 2.</t>
  </si>
  <si>
    <t>В строке 4: гр. 3 = гр. 3 стр. 3</t>
  </si>
  <si>
    <t>гр. 4 = гр. 4 стр. 3 - гр. 3 стр. 3 * (1 + гр. 4 стр. 5)</t>
  </si>
  <si>
    <t>гр. 5 = гр. 5 стр. 3 - гр. 4 стр. 3 * (1 + гр. 5 стр. 5)</t>
  </si>
  <si>
    <t>гр. 6 = гр. 6 стр. 3 - гр. 5 стр. 3 * (1 + гр. 6 стр. 5)</t>
  </si>
  <si>
    <t>гр. 7 = гр. 7 стр. 3 - гр. 6 стр. 3 * (1 + гр. 7 стр. 5)</t>
  </si>
  <si>
    <t>Планируемая (расчетная) цена</t>
  </si>
  <si>
    <t>Расходы на приобретение</t>
  </si>
  <si>
    <t>Источник тепловой энергии (м-к № 23 )</t>
  </si>
  <si>
    <t>Источник тепловой энергии  (м-к № 24 Лазо 2а)</t>
  </si>
  <si>
    <t>Источник тепловой энергии                                      (м-к № 25 Ленина 16)</t>
  </si>
  <si>
    <t xml:space="preserve">Установленная тепловая мощность6 источника тепловой энергии </t>
  </si>
  <si>
    <t>Источник тепловой энергии                                      (м-к № 35 Лесная 50)</t>
  </si>
  <si>
    <t xml:space="preserve">Установленная тепловая мощность7 источника тепловой энергии </t>
  </si>
  <si>
    <t xml:space="preserve">Установленная тепловая мощность8 источника тепловой энергии </t>
  </si>
  <si>
    <t>Примечание: заполняется по каждой системе теплоснабжения, если при установлении цен (тарифов) применяется такая дифференциация.</t>
  </si>
  <si>
    <r>
      <t xml:space="preserve">Теплоснабжающая  организация: </t>
    </r>
    <r>
      <rPr>
        <b/>
        <u val="single"/>
        <sz val="10"/>
        <rFont val="Times New Roman"/>
        <family val="1"/>
      </rPr>
      <t>ООО "ИНТЭКО"</t>
    </r>
  </si>
  <si>
    <t>1.12.17</t>
  </si>
  <si>
    <t>содержание служебного транспорта</t>
  </si>
  <si>
    <t>1.12.18</t>
  </si>
  <si>
    <t>страхование автотранспорта</t>
  </si>
  <si>
    <t>1.12.19</t>
  </si>
  <si>
    <t>расходы на услуги связи</t>
  </si>
  <si>
    <t>1.12.20</t>
  </si>
  <si>
    <t>юридические услуги</t>
  </si>
  <si>
    <t>1.12.21</t>
  </si>
  <si>
    <t>услуги автотранспорта</t>
  </si>
  <si>
    <t>1.12.22</t>
  </si>
  <si>
    <t>обучение 1 раз/год (5 чел)</t>
  </si>
  <si>
    <t>аттестация была март 2014 г.(раз в 5 лет)</t>
  </si>
  <si>
    <t>Договор № 147 от 12.02.2016</t>
  </si>
  <si>
    <t>Автотопливозаправщик УСТ 54537Z (Камаз 43118-46)</t>
  </si>
  <si>
    <t>Генеральный директор                                                    ______________________ С.Г. Бобряшов</t>
  </si>
  <si>
    <t>Тарифная ставка рабочего 1-го разряда</t>
  </si>
  <si>
    <t>руб.</t>
  </si>
  <si>
    <t xml:space="preserve">Дефлятор по заработной </t>
  </si>
  <si>
    <t>Тарифная ставка рабочего 1 разряда с учетом дефлятора</t>
  </si>
  <si>
    <t>Средняя ступень оплаты труда</t>
  </si>
  <si>
    <t>Тарифный коэффициент, соответствующий ступени по оплате труда</t>
  </si>
  <si>
    <t>коммунальные услуги, всего в т.ч.:</t>
  </si>
  <si>
    <t>электроэнергия на хозяйственные нужды</t>
  </si>
  <si>
    <t>вода на хозбытовые нужды</t>
  </si>
  <si>
    <t>теплоснабжение</t>
  </si>
  <si>
    <t>водоотведение</t>
  </si>
  <si>
    <t xml:space="preserve">прочие расходы </t>
  </si>
  <si>
    <t>……..</t>
  </si>
  <si>
    <t>1.13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</si>
  <si>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</si>
  <si>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</si>
  <si>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№ п. п.</t>
  </si>
  <si>
    <t>фактически понесенные расходы в году i0 + 1 по данным регулируемой организации</t>
  </si>
  <si>
    <t>19.3.2</t>
  </si>
  <si>
    <t>19.3.3</t>
  </si>
  <si>
    <t>19.4</t>
  </si>
  <si>
    <t>20.2</t>
  </si>
  <si>
    <t>20.3</t>
  </si>
  <si>
    <t>20.3.1</t>
  </si>
  <si>
    <t>20.3.2</t>
  </si>
  <si>
    <t>20.3.3</t>
  </si>
  <si>
    <t>20.4</t>
  </si>
  <si>
    <t>21.3</t>
  </si>
  <si>
    <t>21.3.1</t>
  </si>
  <si>
    <t>21.3.2</t>
  </si>
  <si>
    <t>21.3.3</t>
  </si>
  <si>
    <t>21.4</t>
  </si>
  <si>
    <t>22.1</t>
  </si>
  <si>
    <t>22.2</t>
  </si>
  <si>
    <t>22.3</t>
  </si>
  <si>
    <t>22.3.1</t>
  </si>
  <si>
    <t>22.3.2</t>
  </si>
  <si>
    <t>22.3.3</t>
  </si>
  <si>
    <t>22.4</t>
  </si>
  <si>
    <t>23.1</t>
  </si>
  <si>
    <t>23.2</t>
  </si>
  <si>
    <t>23.3</t>
  </si>
  <si>
    <t>23.3.1</t>
  </si>
  <si>
    <t>23.3.2</t>
  </si>
  <si>
    <t>23.3.3</t>
  </si>
  <si>
    <t>23.4</t>
  </si>
  <si>
    <t>24</t>
  </si>
  <si>
    <t>24.1</t>
  </si>
  <si>
    <t>24.2</t>
  </si>
  <si>
    <t>24.3</t>
  </si>
  <si>
    <t>24.3.1</t>
  </si>
  <si>
    <t>24.3.2</t>
  </si>
  <si>
    <t>24.3.3</t>
  </si>
  <si>
    <t>24.4</t>
  </si>
  <si>
    <t>24.5</t>
  </si>
  <si>
    <t>25</t>
  </si>
  <si>
    <t>25.1</t>
  </si>
  <si>
    <t>25.2</t>
  </si>
  <si>
    <t>25.3</t>
  </si>
  <si>
    <t>25.3.1</t>
  </si>
  <si>
    <t>25.3.2</t>
  </si>
  <si>
    <t>25.3.3</t>
  </si>
  <si>
    <t>26</t>
  </si>
  <si>
    <t>26.1</t>
  </si>
  <si>
    <t>26.2</t>
  </si>
  <si>
    <t>26.3</t>
  </si>
  <si>
    <t>26.3.1</t>
  </si>
  <si>
    <t>26.3.2</t>
  </si>
  <si>
    <t>26.3.3</t>
  </si>
  <si>
    <t>26.4</t>
  </si>
  <si>
    <t>27</t>
  </si>
  <si>
    <t>27.1</t>
  </si>
  <si>
    <t>27.2</t>
  </si>
  <si>
    <t>27.3</t>
  </si>
  <si>
    <t>27.3.1</t>
  </si>
  <si>
    <t>27.3.2</t>
  </si>
  <si>
    <t>27.3.3</t>
  </si>
  <si>
    <t>27.4</t>
  </si>
  <si>
    <t>28</t>
  </si>
  <si>
    <t>28.1</t>
  </si>
  <si>
    <t>28.2</t>
  </si>
  <si>
    <t>28.3</t>
  </si>
  <si>
    <t>28.3.1</t>
  </si>
  <si>
    <t>28.3.2</t>
  </si>
  <si>
    <t>28.3.3</t>
  </si>
  <si>
    <t>28.4</t>
  </si>
  <si>
    <t>28.5</t>
  </si>
  <si>
    <t>29</t>
  </si>
  <si>
    <t>29.1</t>
  </si>
  <si>
    <t>арендная плата, концессионная плата, лизинговые платежи</t>
  </si>
  <si>
    <t>1.15</t>
  </si>
  <si>
    <t>расходы на служебные командировки</t>
  </si>
  <si>
    <t>1.16</t>
  </si>
  <si>
    <t>расходы на обучение персонала</t>
  </si>
  <si>
    <t>1.17</t>
  </si>
  <si>
    <t>расходы на страхование производственных объектов, учитываемые при определении налоговой базы по налогу на прибыль</t>
  </si>
  <si>
    <t>1.18</t>
  </si>
  <si>
    <t>дргие расходы, связанные с производством и (или) реализацие продукции, в том числе</t>
  </si>
  <si>
    <t>1.18.1</t>
  </si>
  <si>
    <t>налог на имущество организации</t>
  </si>
  <si>
    <t>1.18.2</t>
  </si>
  <si>
    <t>земельный налог</t>
  </si>
  <si>
    <t>1.18.3</t>
  </si>
  <si>
    <t>транспортный налог</t>
  </si>
  <si>
    <t>1.18.4</t>
  </si>
  <si>
    <t>водный налог</t>
  </si>
  <si>
    <t>1.18.5</t>
  </si>
  <si>
    <t xml:space="preserve">прочие налоги </t>
  </si>
  <si>
    <t>1.18.6</t>
  </si>
  <si>
    <t>1.18.7</t>
  </si>
  <si>
    <t>1.18.8</t>
  </si>
  <si>
    <t>1.18.9</t>
  </si>
  <si>
    <t>1.18.10</t>
  </si>
  <si>
    <t>1.18.11</t>
  </si>
  <si>
    <t>1.18.12</t>
  </si>
  <si>
    <t>1.18.13</t>
  </si>
  <si>
    <t>II.</t>
  </si>
  <si>
    <t>Внереализационные расходы, всего</t>
  </si>
  <si>
    <t>расходы на вывод из эксплуатации ( в том числе на консервацию) и вывод из консервации</t>
  </si>
  <si>
    <t>расходы по сомнительным долгам</t>
  </si>
  <si>
    <t>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</si>
  <si>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Графы строки 6 заполняются расчетным способом: гр. стр. 6 = (гр. стр. 5 - гр. стр. 5|предыдущий год) * гр. стр. 4 / 103. Для первого года регулирования: гр. стр. 6 = гр. стр. 5 * гр. стр. 4 / 103.</t>
  </si>
  <si>
    <t>Расчет объема электрической энергии, затраченной на производство и передачу тепловой энергии</t>
  </si>
  <si>
    <t xml:space="preserve">Заместитель генерального директора  </t>
  </si>
  <si>
    <t>по экономике, финансам и сбыту                                                                                         Лукьяненко Е.Ю.</t>
  </si>
  <si>
    <t>Установленная тепловая мощность 2 источника тепловой энергии (кот. Береговая)</t>
  </si>
  <si>
    <t>3.1.3</t>
  </si>
  <si>
    <t>Установленная тепловая мощность 3 источника тепловой энергии (кот. Гаражная)</t>
  </si>
  <si>
    <t>3.1.4</t>
  </si>
  <si>
    <t>Установленная тепловая мощность 4 источника тепловой энергии (кот. Совхозная)</t>
  </si>
  <si>
    <t>3.1.5</t>
  </si>
  <si>
    <t>Установленная тепловая мощность 5 источника тепловой энергии (кот. Центральная)</t>
  </si>
  <si>
    <t>c. Тиличики, с.Корф</t>
  </si>
  <si>
    <t>Расчет баланса топлива</t>
  </si>
  <si>
    <t>Остаток на начало периода</t>
  </si>
  <si>
    <t>Расход натурального топлива</t>
  </si>
  <si>
    <t>Остаток на конец периода</t>
  </si>
  <si>
    <t>всего, тыс. т.н.т.</t>
  </si>
  <si>
    <t>цена, руб./т.н.т.</t>
  </si>
  <si>
    <r>
      <t xml:space="preserve">Теплоснабжающая организация: </t>
    </r>
    <r>
      <rPr>
        <b/>
        <u val="single"/>
        <sz val="10"/>
        <rFont val="Times New Roman"/>
        <family val="1"/>
      </rPr>
      <t>ООО "Интэко"</t>
    </r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</si>
  <si>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2016-2017г.г.</t>
    </r>
  </si>
  <si>
    <r>
      <t xml:space="preserve">Теплоснабжающая организация: </t>
    </r>
    <r>
      <rPr>
        <b/>
        <sz val="12"/>
        <rFont val="Times New Roman"/>
        <family val="1"/>
      </rPr>
      <t>ООО "Интэко"</t>
    </r>
  </si>
  <si>
    <r>
      <t>Базовый период/Период регулирования:</t>
    </r>
    <r>
      <rPr>
        <b/>
        <sz val="10"/>
        <rFont val="Times New Roman"/>
        <family val="1"/>
      </rPr>
      <t>2016-2018 г.г.</t>
    </r>
  </si>
  <si>
    <t>в т.ч. по нерегулируемым договорам,
тыс. Гкал</t>
  </si>
  <si>
    <t>Расчет расхода топлива по электростанциям (котельным)</t>
  </si>
  <si>
    <t>Приложение 4.4</t>
  </si>
  <si>
    <t>2.2.1</t>
  </si>
  <si>
    <t>18.1</t>
  </si>
  <si>
    <t>18.2</t>
  </si>
  <si>
    <t>18.3</t>
  </si>
  <si>
    <t>18.3.1</t>
  </si>
  <si>
    <t>18.3.2</t>
  </si>
  <si>
    <t>18.3.3</t>
  </si>
  <si>
    <t>18.4</t>
  </si>
  <si>
    <t>18.5</t>
  </si>
  <si>
    <t>19.1</t>
  </si>
  <si>
    <t>19.2</t>
  </si>
  <si>
    <t>19.3</t>
  </si>
  <si>
    <t>19.3.1</t>
  </si>
  <si>
    <t>29.3.1</t>
  </si>
  <si>
    <t>29.3.2</t>
  </si>
  <si>
    <t>29.3.3</t>
  </si>
  <si>
    <t>29.4</t>
  </si>
  <si>
    <t>30</t>
  </si>
  <si>
    <t>30.1</t>
  </si>
  <si>
    <t>30.2</t>
  </si>
  <si>
    <t>30.3</t>
  </si>
  <si>
    <t>30.3.1</t>
  </si>
  <si>
    <t>30.3.2</t>
  </si>
  <si>
    <t>30.3.3</t>
  </si>
  <si>
    <t>30.4</t>
  </si>
  <si>
    <t>30.5</t>
  </si>
  <si>
    <t>31</t>
  </si>
  <si>
    <t>31.1</t>
  </si>
  <si>
    <t>31.2</t>
  </si>
  <si>
    <t>31.3</t>
  </si>
  <si>
    <t>31.3.1</t>
  </si>
  <si>
    <t>31.3.2</t>
  </si>
  <si>
    <t>31.3.3</t>
  </si>
  <si>
    <t>31.4</t>
  </si>
  <si>
    <t>31.5</t>
  </si>
  <si>
    <t>32</t>
  </si>
  <si>
    <t>32.1</t>
  </si>
  <si>
    <t>32.2</t>
  </si>
  <si>
    <t>32.3</t>
  </si>
  <si>
    <t>32.3.1</t>
  </si>
  <si>
    <t>32.3.2</t>
  </si>
  <si>
    <t>32.3.3</t>
  </si>
  <si>
    <t>32.4</t>
  </si>
  <si>
    <t>33</t>
  </si>
  <si>
    <t>Выработка электроэнергии, всего</t>
  </si>
  <si>
    <t>Расходы электроэнергиии на собственные нужды:</t>
  </si>
  <si>
    <t>на производство электроэнергии</t>
  </si>
  <si>
    <t xml:space="preserve">то же в % к выработке электроэнергии </t>
  </si>
  <si>
    <t>то же в кВтч/Гкал</t>
  </si>
  <si>
    <t>Отпуск электроэнергии с шин</t>
  </si>
  <si>
    <t>Расход электроэнергии на потери в трансформаторах</t>
  </si>
  <si>
    <t>Расход электроэнергии на производственные и хозяйственные нужды</t>
  </si>
  <si>
    <t>то же в % к отпуску шин</t>
  </si>
  <si>
    <t>Полезный отпуск электроэнергии в сеть</t>
  </si>
  <si>
    <t>Отпуск тепловой энергии, поставляемой с коллекторов источника тепловой энергии</t>
  </si>
  <si>
    <t>Расход теплоэнергии на хозяйственные нжды:</t>
  </si>
  <si>
    <t>Отпуск тепловой энергии от источника тепловой энергии (полезный отпуск)</t>
  </si>
  <si>
    <t xml:space="preserve">Нормативный удельный расход условного топлива на производство тепловой энергии  </t>
  </si>
  <si>
    <t>экономически обоснованные расходы на содержание эксплуатируемых регулируемой организацией тепловых пунктов, тепловых сетей, расположенных после тепловых пунктов, и на оплату потерь в указанных сетях</t>
  </si>
  <si>
    <t>в т.ч. по нерегулируемым долгосрочным договорам, Гкал/ч</t>
  </si>
  <si>
    <t>Расходы на топливо, тыс.руб.</t>
  </si>
  <si>
    <t>Одноставочный тариф, руб/Гкал</t>
  </si>
  <si>
    <t>Ставка за тепловую энергию двухставочного тарифа руб./Гкал</t>
  </si>
  <si>
    <t>Ставка за содержание тепловой мощности двухставочного тарифа, тыс.руб./Гкал/ч в мес.</t>
  </si>
  <si>
    <t>Источник тепловой энергии 1</t>
  </si>
  <si>
    <t>отборный пар от 1,2 до 2,5 кгс/кв.см</t>
  </si>
  <si>
    <t>отборный пар от 2,5 до 7,0 кгс/кв.см</t>
  </si>
  <si>
    <t>отборный пар от 7,0 до 13,0 кгс/кв.см</t>
  </si>
  <si>
    <t>отборный пар свыше 13 кгс/кв.см</t>
  </si>
  <si>
    <t>Источник тепловой энергии n</t>
  </si>
  <si>
    <t>Объем отпуска тепловой энергии в виде пара или воды из тепловых сетей регулируемой организации</t>
  </si>
  <si>
    <t>Усть-Камчатское муниципальное образование</t>
  </si>
  <si>
    <t>Утверждено 2014</t>
  </si>
  <si>
    <t>Утверждено 2015</t>
  </si>
  <si>
    <t>Ожидаемый 2015г.</t>
  </si>
  <si>
    <t>кгс/м3</t>
  </si>
  <si>
    <t>Генеральный директор ___________________________ С.Г. Бобряшов</t>
  </si>
  <si>
    <r>
      <t xml:space="preserve">Коэффициент, учитывающий потери тепла трубопроводами систем централизованного горячего водоснабжения,   </t>
    </r>
    <r>
      <rPr>
        <b/>
        <sz val="9"/>
        <color indexed="60"/>
        <rFont val="Arial Narrow"/>
        <family val="2"/>
      </rPr>
      <t xml:space="preserve">(формула стр.((2.1.1*2.2.1+2.1.2*2.2.2+2.1.3*2.2.3+2.1.4*2.2.4)/2.1) </t>
    </r>
  </si>
  <si>
    <r>
      <t>Средняя за год температура горячей воды¹</t>
    </r>
    <r>
      <rPr>
        <sz val="9"/>
        <color indexed="8"/>
        <rFont val="Arial Narrow"/>
        <family val="2"/>
      </rPr>
      <t>, в том числе</t>
    </r>
  </si>
  <si>
    <r>
      <t>Тариф на горячую воду,</t>
    </r>
    <r>
      <rPr>
        <sz val="9"/>
        <color indexed="8"/>
        <rFont val="Arial Narrow"/>
        <family val="2"/>
      </rPr>
      <t xml:space="preserve">  </t>
    </r>
    <r>
      <rPr>
        <b/>
        <sz val="9"/>
        <color indexed="60"/>
        <rFont val="Arial Narrow"/>
        <family val="2"/>
      </rPr>
      <t>(формула (стр.(4.1*3.4)+стр.4.3)</t>
    </r>
  </si>
  <si>
    <r>
      <t>p – плотность воды при температуре, равной</t>
    </r>
    <r>
      <rPr>
        <i/>
        <sz val="9"/>
        <color indexed="8"/>
        <rFont val="Times New Roman"/>
        <family val="1"/>
      </rPr>
      <t xml:space="preserve"> t</t>
    </r>
    <r>
      <rPr>
        <i/>
        <vertAlign val="superscript"/>
        <sz val="9"/>
        <color indexed="8"/>
        <rFont val="Times New Roman"/>
        <family val="1"/>
      </rPr>
      <t>гвс</t>
    </r>
    <r>
      <rPr>
        <sz val="9"/>
        <color indexed="8"/>
        <rFont val="Times New Roman"/>
        <family val="1"/>
      </rPr>
      <t xml:space="preserve"> при среднем по году давлении воды в трубопроводе;</t>
    </r>
  </si>
  <si>
    <t>Таблица заполняется по системам теплоснабжения, по виду и параметрам теплоносителя,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</t>
  </si>
  <si>
    <t>Прибыль</t>
  </si>
  <si>
    <t>Действующий Т-график (все м-к)</t>
  </si>
  <si>
    <t>Тн</t>
  </si>
  <si>
    <t>Тп</t>
  </si>
  <si>
    <t>То</t>
  </si>
  <si>
    <t>∆Т</t>
  </si>
  <si>
    <t>в т.ч. объем олтпуска тепловой энергии в виде пара или воды из тепловых сетей регулируемой организации потребителям,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</si>
  <si>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Суммарная договорная (заявленная) тепловая нагрузка потребителей</t>
  </si>
  <si>
    <t>2015 г.</t>
  </si>
  <si>
    <t>Договор № 170215/3 от 17.02.2015 г поставщик ООО "Морской Траст"  цена 1 тн =  38 000 руб.</t>
  </si>
  <si>
    <t xml:space="preserve">цена  1 тн д/т  на 2015 год = 38 000 + 3 600 = 41 600 руб. </t>
  </si>
  <si>
    <t>цена  1 тн д/т  на 2016 год = 38 000 х ИЦП 1.034 = 39 292 руб.</t>
  </si>
  <si>
    <t>цена перевозки  1 тн д/т  на 2016 год = 3 600 х ИЦП 1.057 = 3 805 руб.</t>
  </si>
  <si>
    <t>в т.ч. суммарная договорная (заявленная) тепловая нагрузка потребителей,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</si>
  <si>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При отсутствии дифференциации тарифов по схеме подключения теплопотребляющих установок потребителей тепловой энергии к системе теплоснабжения:</t>
  </si>
  <si>
    <t>Одноставочный тариф на услуги по передаче тепловолй энергии</t>
  </si>
  <si>
    <t>Двухставочный тариф на услуги по передаче тепловой энергии:</t>
  </si>
  <si>
    <t>ставка за тепловую энергию</t>
  </si>
  <si>
    <t>ставка за содержание тепловой мощности</t>
  </si>
  <si>
    <t>доставка д/т автотранспортом</t>
  </si>
  <si>
    <t>хранение д/т на складах ГСМ</t>
  </si>
  <si>
    <t>прочая продукция(закрытая)</t>
  </si>
  <si>
    <t>Предложение ТСО  2018 г.</t>
  </si>
  <si>
    <t>Предложение ТСО на 2017 г.</t>
  </si>
  <si>
    <t>Предложение ТСО на 2018 г.</t>
  </si>
  <si>
    <t>Дизельное топливо</t>
  </si>
  <si>
    <t>Дизельное топливо всего</t>
  </si>
  <si>
    <t>Формирование необходимой валовой выручки методом долгосрочной индексации установленных тарифов</t>
  </si>
  <si>
    <t>4.9</t>
  </si>
  <si>
    <t>4.10</t>
  </si>
  <si>
    <t>4.12</t>
  </si>
  <si>
    <t>Определение операционных расходов</t>
  </si>
  <si>
    <t>Расчет операционных (подконтрольных) расходов</t>
  </si>
  <si>
    <t>Реестр расходов энергетических ресурсов, холодной воды и теплоносителя</t>
  </si>
  <si>
    <t>2.18</t>
  </si>
  <si>
    <t>2.19</t>
  </si>
  <si>
    <t>2.20</t>
  </si>
  <si>
    <t>Расчет экономии от снижения потребления прочих энергоресурсов, холодной воды и теплоносителя</t>
  </si>
  <si>
    <t>2.21</t>
  </si>
  <si>
    <t xml:space="preserve">Расчет необходимой валовой выручки методом долгосрочной индексации установленных тарифов </t>
  </si>
  <si>
    <t>5.9</t>
  </si>
  <si>
    <t>2.22</t>
  </si>
  <si>
    <t>2.23</t>
  </si>
  <si>
    <t>6.7</t>
  </si>
  <si>
    <t>6.8</t>
  </si>
  <si>
    <t>Генеральный директор _____________________С.Г. Бобряшов</t>
  </si>
  <si>
    <t>Расходы на оплату других работ и услуг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</si>
  <si>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</si>
  <si>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</si>
  <si>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</si>
  <si>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</si>
  <si>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том числе:</t>
  </si>
  <si>
    <t>10.1</t>
  </si>
  <si>
    <t>10.2</t>
  </si>
  <si>
    <t>ИТОГО базовый уровень операционных расходов</t>
  </si>
  <si>
    <t>В гр. 3 отражаются расходы, учтенные в тарифах регулируемой организации в предшествующем расчетном периоде регулирования.</t>
  </si>
  <si>
    <t>Приложение 5.1</t>
  </si>
  <si>
    <t>№
п. п.</t>
  </si>
  <si>
    <t>Параметры расчета расходов</t>
  </si>
  <si>
    <t>Долгосрочный период
регулирования</t>
  </si>
  <si>
    <t>год i1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</si>
  <si>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</si>
  <si>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</si>
  <si>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</si>
  <si>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
для осуществления регулируемой деятельности</t>
  </si>
  <si>
    <t>у.е.</t>
  </si>
  <si>
    <t>установленная тепловая мощность источника тепловой энергии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</si>
  <si>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</rPr>
      <t>эл</t>
    </r>
    <r>
      <rPr>
        <sz val="11"/>
        <rFont val="Times New Roman"/>
        <family val="1"/>
      </rPr>
      <t>)</t>
    </r>
  </si>
  <si>
    <t>Операционные (подконтрольные)
расходы</t>
  </si>
  <si>
    <t>Приложение 5.2</t>
  </si>
  <si>
    <r>
      <t>_____</t>
    </r>
    <r>
      <rPr>
        <sz val="11"/>
        <rFont val="Times New Roman"/>
        <family val="1"/>
      </rPr>
      <t>Примечания:</t>
    </r>
  </si>
  <si>
    <t>Расход т. у. т., всего</t>
  </si>
  <si>
    <t xml:space="preserve">Нормативный удельный расход условного топлива на производство электроэнергии </t>
  </si>
  <si>
    <t>то же в % к отпуску теплоэнергии</t>
  </si>
  <si>
    <t>др. виды топлива (диз. топливо)</t>
  </si>
  <si>
    <r>
      <t>4. Гр. 12 = гр. 6 * гр. 11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.</t>
    </r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</si>
  <si>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теплоснабжающей, теплосетевой организации, в целом по единой теплоснабжающей организации.</t>
  </si>
  <si>
    <t>Может заполняться с помесячной разбивкой.</t>
  </si>
  <si>
    <t xml:space="preserve">Суммарная договорная (заявленная) тепловая нагрузка по всем догово-рам тепло-снабжения, Гкал/час
</t>
  </si>
  <si>
    <t>в т.ч. по нерегули-руемым договорам, Гкал/час</t>
  </si>
  <si>
    <r>
      <t>на производство теплоносителя на нужды горячего водоснабжения                            (</t>
    </r>
    <r>
      <rPr>
        <b/>
        <sz val="9"/>
        <rFont val="Times New Roman"/>
        <family val="1"/>
      </rPr>
      <t>открытая система</t>
    </r>
    <r>
      <rPr>
        <sz val="9"/>
        <rFont val="Times New Roman"/>
        <family val="1"/>
      </rPr>
      <t>)</t>
    </r>
  </si>
  <si>
    <r>
      <t>на производство теплоносителя на нужды горячего водоснабжения                             (</t>
    </r>
    <r>
      <rPr>
        <b/>
        <sz val="9"/>
        <rFont val="Times New Roman"/>
        <family val="1"/>
      </rPr>
      <t>открытая система</t>
    </r>
    <r>
      <rPr>
        <sz val="9"/>
        <rFont val="Times New Roman"/>
        <family val="1"/>
      </rPr>
      <t>)</t>
    </r>
  </si>
  <si>
    <r>
      <t>прочася продукция (на нужды горячего водоснабжения                                           (</t>
    </r>
    <r>
      <rPr>
        <b/>
        <sz val="9"/>
        <rFont val="Times New Roman"/>
        <family val="1"/>
      </rPr>
      <t>закрытая система система</t>
    </r>
    <r>
      <rPr>
        <sz val="9"/>
        <rFont val="Times New Roman"/>
        <family val="1"/>
      </rPr>
      <t>)</t>
    </r>
  </si>
  <si>
    <t>Амортизация на 2019 г.</t>
  </si>
  <si>
    <t>Остаточная стоимость на 31.12.2019 г.</t>
  </si>
  <si>
    <r>
      <t>Базовый период/Период регулирования:</t>
    </r>
    <r>
      <rPr>
        <b/>
        <sz val="10"/>
        <rFont val="Times New Roman"/>
        <family val="1"/>
      </rPr>
      <t>2016/2017-2019 г.г.</t>
    </r>
  </si>
  <si>
    <t>_________________________С.Г. Бобряшов</t>
  </si>
  <si>
    <t>_______________________________С.Г. Бобряшов</t>
  </si>
  <si>
    <t>прогноз на год 2017 по данным регулируе-мой орга-низации</t>
  </si>
  <si>
    <t>прогноз на год 2018 по данным ре-гулируемой организации</t>
  </si>
  <si>
    <t>прогноз на год 2019 по данным регулируемой организации</t>
  </si>
  <si>
    <r>
      <t xml:space="preserve">Базовый период/Период регулирования  </t>
    </r>
    <r>
      <rPr>
        <b/>
        <sz val="10"/>
        <rFont val="Times New Roman"/>
        <family val="1"/>
      </rPr>
      <t>2016/2017-2019 г.г.</t>
    </r>
  </si>
  <si>
    <t>Базовый период/Период регулирования 2016/2017-2019 г.г.</t>
  </si>
  <si>
    <t>______________________С.Г. Бобряшов</t>
  </si>
  <si>
    <r>
      <t xml:space="preserve">Базовый период/Период регулирования </t>
    </r>
    <r>
      <rPr>
        <b/>
        <sz val="10"/>
        <rFont val="Times New Roman"/>
        <family val="1"/>
      </rPr>
      <t>2016/2017-2019 г.г.</t>
    </r>
  </si>
  <si>
    <t>Утверждено  2014 год</t>
  </si>
  <si>
    <t>Факт 2014 год</t>
  </si>
  <si>
    <t>СВОД по участку теплоснабжения</t>
  </si>
  <si>
    <t>среднее</t>
  </si>
  <si>
    <t>1.5.1</t>
  </si>
  <si>
    <t>в т.ч.кочегары,электрогазосварщики</t>
  </si>
  <si>
    <t>Отчисление</t>
  </si>
  <si>
    <t>______________С.Г. Бобряшов</t>
  </si>
  <si>
    <t>элеохарис</t>
  </si>
  <si>
    <t>Расчет отчислений на социальные нужды на 2016 год</t>
  </si>
  <si>
    <t>Численность, ед.</t>
  </si>
  <si>
    <t>Годовой фонд оплаты труда, тыс.руб.</t>
  </si>
  <si>
    <t>март</t>
  </si>
  <si>
    <t>апрель</t>
  </si>
  <si>
    <t>Информационные услуги</t>
  </si>
  <si>
    <t>Расходы по охране труда</t>
  </si>
  <si>
    <t>Канцелярские товары</t>
  </si>
  <si>
    <t>Почтовые услуги</t>
  </si>
  <si>
    <t>Арендная плата ( УРАЛ-557)</t>
  </si>
  <si>
    <t>Аттестация рабочих мест</t>
  </si>
  <si>
    <t>Страхование автотранспорта</t>
  </si>
  <si>
    <t>5.8</t>
  </si>
  <si>
    <t xml:space="preserve">Период регулирования </t>
  </si>
  <si>
    <t>План 2014 г.</t>
  </si>
  <si>
    <t>План 2014г.</t>
  </si>
  <si>
    <t>Единица измерения</t>
  </si>
  <si>
    <t xml:space="preserve"> Показатели</t>
  </si>
  <si>
    <t>Протяженность тепловых сетей в 2-трубном исчеслении, в том числе:</t>
  </si>
  <si>
    <t>км</t>
  </si>
  <si>
    <t>Надземная (наземная) прокладка</t>
  </si>
  <si>
    <t>50-250 мм</t>
  </si>
  <si>
    <t>251-400 мм</t>
  </si>
  <si>
    <t>401-550 мм</t>
  </si>
  <si>
    <t>1.1.4</t>
  </si>
  <si>
    <t>Подземная прокладка, в том числе:</t>
  </si>
  <si>
    <t>канальная прокладка</t>
  </si>
  <si>
    <t>1.2.1.1</t>
  </si>
  <si>
    <t>1.2.1.2</t>
  </si>
  <si>
    <t>1.2.1.3</t>
  </si>
  <si>
    <t>1.2.1.4</t>
  </si>
  <si>
    <t>1.2.1.5</t>
  </si>
  <si>
    <t>бесканальная прокладка</t>
  </si>
  <si>
    <t>1.2.2.1</t>
  </si>
  <si>
    <t>1.2.2.2</t>
  </si>
  <si>
    <t>1.2.2.3</t>
  </si>
  <si>
    <t>1.2.2.4</t>
  </si>
  <si>
    <t>1.2.2.5</t>
  </si>
  <si>
    <t>Источники тепловой энергии с установленной генерирующей мощностью 25 МВт и более</t>
  </si>
  <si>
    <t xml:space="preserve">Источник тепловой энергии 1 </t>
  </si>
  <si>
    <t>2.1.1</t>
  </si>
  <si>
    <t>Установленная тепловая мощность 1 источника тепловой энергии</t>
  </si>
  <si>
    <t>и т.д.</t>
  </si>
  <si>
    <t>Источники тепловой энергии с установленной генерирующей мощностью менее 25 МВт</t>
  </si>
  <si>
    <t>3.1.1</t>
  </si>
  <si>
    <t>Суммарная установленная мощность источников тепловой энергии</t>
  </si>
  <si>
    <t>в т.ч. ТЭЦ 25 МВт и более</t>
  </si>
  <si>
    <t xml:space="preserve">ТЭЦ менее 25 МВт </t>
  </si>
  <si>
    <t>котельные</t>
  </si>
  <si>
    <t>электробойлерные</t>
  </si>
  <si>
    <t>Расчет полезного отпуска тепловой энергии</t>
  </si>
  <si>
    <t>Приложение 4.1</t>
  </si>
  <si>
    <t>Утверждено службой 2014 г.</t>
  </si>
  <si>
    <t>Отпуск тепловой энергии, поставляемой с коллекторов источника тепловой энергии, всего</t>
  </si>
  <si>
    <t>ТЭЦ 25 МВт и более</t>
  </si>
  <si>
    <t>ТЭЦ менее 25 МВт</t>
  </si>
  <si>
    <t>Расход тепловой энергии на хозяйственные нужды</t>
  </si>
  <si>
    <t>Потери тепловой энергии в сети  (нормативные)*</t>
  </si>
  <si>
    <t>Среднемесячная оплата труда одного работника, руб.</t>
  </si>
  <si>
    <t>Годовые начисления 1 работника, руб.</t>
  </si>
  <si>
    <t>База для ФСС</t>
  </si>
  <si>
    <t>База для ПФ РФ</t>
  </si>
  <si>
    <t>Страховые взносы в ПФ РФ по ставке 22%, на 1 работника, в руб.</t>
  </si>
  <si>
    <t>Страховые взносы в ПФ РФ по ставке 10%, на 1 работника, руб.</t>
  </si>
  <si>
    <t>Страховые взносы в ФСС по ставке 2,9%, на 1 работника, в руб.</t>
  </si>
  <si>
    <t>Страховые взносы в ФОМС по ставке 5,1%, на 1 работника, руб.</t>
  </si>
  <si>
    <t>Соцстрах по несчастным случаям по ставке 0,2%, на 1 работника, в руб.</t>
  </si>
  <si>
    <t>ИТОГО затраты по отчислениям на социальные нужды на всю численность, тыс.руб.</t>
  </si>
  <si>
    <t>Средний % отчислений</t>
  </si>
  <si>
    <t>Общеэксплуатационный персонал (АУП)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</si>
  <si>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2015/2016 г.г.</t>
    </r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</si>
  <si>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Постановление Правительства РФ от 30.11.2013 № 1101; ФЗ РФ № 212-ФЗ от 24.07.2009г. О страховых взносах в пенсионный фонд РФ, фонды социального страхования РФ, федеральный фонд обязательного медицинского страхования
</t>
    </r>
    <r>
      <rPr>
        <b/>
        <sz val="11"/>
        <color indexed="8"/>
        <rFont val="Times New Roman"/>
        <family val="1"/>
      </rPr>
      <t>Примечание:</t>
    </r>
    <r>
      <rPr>
        <sz val="11"/>
        <color indexed="8"/>
        <rFont val="Times New Roman"/>
        <family val="1"/>
      </rPr>
      <t xml:space="preserve"> Предельная велич</t>
    </r>
  </si>
  <si>
    <t>Утверждено  2016 год</t>
  </si>
  <si>
    <t>Ожидаемые 2016 год</t>
  </si>
  <si>
    <t>2.6.1</t>
  </si>
  <si>
    <t>2.7.1</t>
  </si>
  <si>
    <t>2.8.1</t>
  </si>
  <si>
    <t>2.9.1</t>
  </si>
  <si>
    <t>2.12.1</t>
  </si>
  <si>
    <t>Отчисления</t>
  </si>
  <si>
    <t>РАСЧЕТ по статьям:</t>
  </si>
  <si>
    <t>Отчиления на социальные нужды</t>
  </si>
  <si>
    <t>Процент отчислений</t>
  </si>
  <si>
    <t xml:space="preserve">Денежные выплаты социального характера </t>
  </si>
  <si>
    <t>Денежные выплаты на 1 работника</t>
  </si>
  <si>
    <t>Итого по денежным выплатам</t>
  </si>
  <si>
    <r>
      <t>Теплоснабжающая организация:</t>
    </r>
    <r>
      <rPr>
        <b/>
        <sz val="10"/>
        <rFont val="Times New Roman"/>
        <family val="1"/>
      </rPr>
      <t>ООО "Интэко"</t>
    </r>
  </si>
  <si>
    <t>План 2017 год</t>
  </si>
  <si>
    <t>Утверждено службой на 2017</t>
  </si>
  <si>
    <t>Амортизация на 2017 г.</t>
  </si>
  <si>
    <t>Остаточная стоимость на 31.12.2017 г.</t>
  </si>
  <si>
    <t>Амортизация на 2018 г.</t>
  </si>
  <si>
    <t>Остаточная стоимость на 31.12.2018 г.</t>
  </si>
  <si>
    <r>
      <t>Ср. за отоп. Период(-3,7</t>
    </r>
    <r>
      <rPr>
        <b/>
        <sz val="10"/>
        <rFont val="Arial"/>
        <family val="2"/>
      </rPr>
      <t>º</t>
    </r>
    <r>
      <rPr>
        <b/>
        <i/>
        <sz val="10"/>
        <rFont val="Arial"/>
        <family val="2"/>
      </rPr>
      <t>)</t>
    </r>
  </si>
  <si>
    <t>Утверждено
на базовый период</t>
  </si>
  <si>
    <t>Выполнено
в течение базового периода</t>
  </si>
  <si>
    <t>Источник финансирова-ния на базовый период</t>
  </si>
  <si>
    <t>План
на период регулирования</t>
  </si>
  <si>
    <t>Определение операционных (подконтрольных) расходов на первый год долгосрочного периода регулирования (базовый уровень операционных расходов)</t>
  </si>
  <si>
    <t>Наименование расхода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</si>
  <si>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</si>
  <si>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</si>
  <si>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</si>
  <si>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</si>
  <si>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</si>
  <si>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5.4</t>
  </si>
  <si>
    <t>5.5</t>
  </si>
  <si>
    <t>Стоимость инструментов, приспособлений, инвентаря, приборов, лабораторного оборудования и другого имущества, не являющихся амотризирумым имуществом, используемых при водоподготовке</t>
  </si>
  <si>
    <t>Расходы на электрическую энергию (мощность) и тепловую энергию (мощность), используемую при водоподготовке</t>
  </si>
  <si>
    <t>Стоимость транспортировки и очистки сточных вод, возникающих в процессе водоподготовки</t>
  </si>
  <si>
    <t>Расходы на оплату труда персонала, участвующего в процессе водоподготовки</t>
  </si>
  <si>
    <t>Амортизация основных фондов, участвующих в процессе водоподготовки</t>
  </si>
  <si>
    <t>Прочие расходы, относимые на процесс водоподготовки, в том числе:</t>
  </si>
  <si>
    <t>1.8.1</t>
  </si>
  <si>
    <t>Расходы на ремонт основных фондов</t>
  </si>
  <si>
    <t>1.8.2</t>
  </si>
  <si>
    <t>Водный налог (плата за пользование водными объектами)</t>
  </si>
  <si>
    <t>1.8.3</t>
  </si>
  <si>
    <t>Общехозяйственные расходы</t>
  </si>
  <si>
    <t>Объем воды, вырабатываемой на водоподготовительных установках источника тепловой энергии</t>
  </si>
  <si>
    <t>Расходы на приобретение химически очищенной воды у других организаций</t>
  </si>
  <si>
    <t>Объем приобретения химически очищенной воды у других оргинизаций</t>
  </si>
  <si>
    <t>информационные услуги</t>
  </si>
  <si>
    <t>1.12.2</t>
  </si>
  <si>
    <t>расходы по охране труда</t>
  </si>
  <si>
    <t>1.12.3</t>
  </si>
  <si>
    <t>канцелярские товары</t>
  </si>
  <si>
    <t>1.12.4</t>
  </si>
  <si>
    <t>почтовые расходы</t>
  </si>
  <si>
    <t>1.12.5</t>
  </si>
  <si>
    <t>аренда офиса</t>
  </si>
  <si>
    <t>1.12.6</t>
  </si>
  <si>
    <t>аренда топливозаправщика</t>
  </si>
  <si>
    <t>1.12.7</t>
  </si>
  <si>
    <t>аренда а/машины УРАЛ-5557</t>
  </si>
  <si>
    <t>1.12.8</t>
  </si>
  <si>
    <t>1.12.9</t>
  </si>
  <si>
    <t>Обучение по пожарной безопасности</t>
  </si>
  <si>
    <t>1.12.10</t>
  </si>
  <si>
    <t>1.12.11</t>
  </si>
  <si>
    <t>1.12.12</t>
  </si>
  <si>
    <t>расходы на обеспечение пожарной безопасности</t>
  </si>
  <si>
    <t>1.12.13</t>
  </si>
  <si>
    <t>аттестация рабочих мест</t>
  </si>
  <si>
    <t>1.12.14</t>
  </si>
  <si>
    <t>1.12.15</t>
  </si>
  <si>
    <t>1.12.16</t>
  </si>
  <si>
    <t>Расходы на мероприятия, необходимые для доведения воды до установленных законодательством Российской Федерации параметров качества теплоносителя</t>
  </si>
  <si>
    <t>Необходимая валовая выручка, относимая на производство теплоносителя</t>
  </si>
  <si>
    <t>Стоимость 1 куб.м воды, вырабатываемой на водоподготовительных установках источника тепловой энергии и (или) приобретаемой у других организаций</t>
  </si>
  <si>
    <t>руб./куб.м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</si>
  <si>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</si>
  <si>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Таблица заполняется в отношении каждого источника тепловой энергии, которым владеет теплоснабжающая организация, по видам теплоносителя, если при установлении цен (тарифов) применяется такая дифференциация.</t>
  </si>
  <si>
    <t>Стр. 6 = (стр. 1 + стр. 3 + стр. 5)</t>
  </si>
  <si>
    <t>Стр. 7 = стр. 6 / (стр. 2 + стр. 4)</t>
  </si>
  <si>
    <t>Стр. 8 = стр. 7</t>
  </si>
  <si>
    <t>Приложение 6.7</t>
  </si>
  <si>
    <t>Источник тепловой энергии 1, на котором производится теплоноситель</t>
  </si>
  <si>
    <t>Тариф на теплоноситель</t>
  </si>
  <si>
    <r>
      <t>5. Гр. 14 = (гр. 5 + гр. 12) / (гр. 3 + гр. 6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).</t>
    </r>
  </si>
  <si>
    <r>
      <t>6. Гр. 15 = гр. 13 * гр. 14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.</t>
    </r>
  </si>
  <si>
    <r>
      <t>7. Гр. 16 = гр. 3 + гр. 6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 xml:space="preserve"> - гр. 13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.</t>
    </r>
  </si>
  <si>
    <t>8. Гр. 17 = гр. 14.</t>
  </si>
  <si>
    <t>9. Гр. 18 = гр. 5 + гр. 12 - гр. 15.</t>
  </si>
  <si>
    <t>4.6</t>
  </si>
  <si>
    <t>4.7</t>
  </si>
  <si>
    <t>4.8</t>
  </si>
  <si>
    <t>Объем капитальных вложений, в том числе</t>
  </si>
  <si>
    <t>в т.ч за счет переоценки основных средств и нематериальных активов</t>
  </si>
  <si>
    <t>Финансирование капитальных вложений, в том числе:</t>
  </si>
  <si>
    <t>АТЗ (Камаз)</t>
  </si>
  <si>
    <t>Одноставочный компонент на тепловую энергию</t>
  </si>
  <si>
    <t>Двухставочный компонент на тепловую энергию:</t>
  </si>
  <si>
    <t>руб./Гкал/ч в мес.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</si>
  <si>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2016/2017-2018 г.г.</t>
    </r>
  </si>
  <si>
    <t>другие (штрафы,пени)</t>
  </si>
  <si>
    <t>III.</t>
  </si>
  <si>
    <t>Цена натурального топлива</t>
  </si>
  <si>
    <t>Стоимость натурального топлива</t>
  </si>
  <si>
    <t>Стоимость натурального топлива на производство тепловой энергии по видам топлива</t>
  </si>
  <si>
    <t>Индекс роста тарифа ж/д перевозки / тарифа ГРО, ПССУ</t>
  </si>
  <si>
    <t>Тариф ж/д перевозки / тарифа ГРО, ПССУ</t>
  </si>
  <si>
    <t>Стоимость ж/д перевозки</t>
  </si>
  <si>
    <t>Стоимость ж/д перевозки на производство тепловой энергии по видам топлива</t>
  </si>
  <si>
    <t>Генеральный директор ____________________ Бобряшов С.Г.</t>
  </si>
  <si>
    <t>нет предшествующего долгосрочного периода</t>
  </si>
  <si>
    <t>Генеральный директор ______________________ С.Г. Бобряшов</t>
  </si>
  <si>
    <t>Представляется одновременно с копией утвержденной в установленном порядке инвестиционной программы (или проектом инвестиционной программы).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</si>
  <si>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1.3 - 1.6, 2.11 - 2.14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</si>
  <si>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Заполняется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</si>
  <si>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Утверждено на базовый период 2013 г.</t>
  </si>
  <si>
    <t>Выполнено в течении базового периода 2013 г.</t>
  </si>
  <si>
    <t>План на период регулирования 2014 г.</t>
  </si>
  <si>
    <t>Утверждено на  период регулирования 2014 г.</t>
  </si>
  <si>
    <t>Приложение 4.6</t>
  </si>
  <si>
    <t>п. Усть-Камчатск</t>
  </si>
  <si>
    <t>I.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</si>
  <si>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</si>
  <si>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VI.1 - VI.4 заполняются по результатам распределения расходов между теп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</si>
  <si>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</t>
  </si>
  <si>
    <t>Услуги банка</t>
  </si>
  <si>
    <t>Цена условного топлива с учетом перевозки</t>
  </si>
  <si>
    <t>Цена натурального топлива с учетом перевозки</t>
  </si>
  <si>
    <t>Топливная составляющая тарифа</t>
  </si>
  <si>
    <t>25.4</t>
  </si>
  <si>
    <t>млн.кВтч</t>
  </si>
  <si>
    <t>кВтч/Гкал</t>
  </si>
  <si>
    <t>г/кВтч</t>
  </si>
  <si>
    <t>тыс.тут</t>
  </si>
  <si>
    <t>млн.куб.м</t>
  </si>
  <si>
    <t>тыс.тнт</t>
  </si>
  <si>
    <t>руб./тнт</t>
  </si>
  <si>
    <t>руб./тыс. куб.м</t>
  </si>
  <si>
    <t>руб./тут</t>
  </si>
  <si>
    <t>Приложение 4.5</t>
  </si>
  <si>
    <t>Расход условного топлива на производство электроэнергии</t>
  </si>
  <si>
    <t>на производство теплоносителя</t>
  </si>
  <si>
    <t>Приложение 4.11</t>
  </si>
  <si>
    <t>на производственное и научно-техническое развитие</t>
  </si>
  <si>
    <t>на непроизводственное развитие</t>
  </si>
  <si>
    <t>2.13</t>
  </si>
  <si>
    <t>2.14</t>
  </si>
  <si>
    <t>Справка об объектах капитальных вложений</t>
  </si>
  <si>
    <t>Наименование объекта капитальных вложений</t>
  </si>
  <si>
    <t>Источник финансирования на базовый период</t>
  </si>
  <si>
    <t>Источник финансирования на период регулирования</t>
  </si>
  <si>
    <t>Приложение 4.12</t>
  </si>
  <si>
    <t>Расчет экономии от снижения потребления топлива</t>
  </si>
  <si>
    <t>№ п.п.</t>
  </si>
  <si>
    <t>показатели</t>
  </si>
  <si>
    <t>Базовый период регулирования, i-4</t>
  </si>
  <si>
    <t>Базовый период регулирования, i-3</t>
  </si>
  <si>
    <t>Базовый период регулирования, i-2</t>
  </si>
  <si>
    <t>Базовый период регулирования, i-1</t>
  </si>
  <si>
    <t>Фактический норматив удельного расхода топлива</t>
  </si>
  <si>
    <t>Удельный расход топлива, учтенный при расчете тарифов</t>
  </si>
  <si>
    <t>Фактический объем отпуска тепловой энергии, поставляемой с коллекторов источника тепловой энергии</t>
  </si>
  <si>
    <t>Фактическая (расчетная) цена на топливо источника тепловой энергии</t>
  </si>
  <si>
    <t>Экономия от снижения потребления топлива</t>
  </si>
  <si>
    <t>кг у.т./Гкал</t>
  </si>
  <si>
    <t>Для второго расчетного периода регулирования, тарифы на который рассчитываются с применением настоящих Методических указаний, заполняется столбец 7; для третьего расчетного периода регулирования заполняются столбцы 6 - 7; для четвертого расчетного периода регулирования заполняются столбцы 5 - 7; начиная с пятого расчетного периода регулирования заполняются все столбцы.</t>
  </si>
  <si>
    <t>Фактическая (расчетная) цена на топливо в соответствии с приложением 4.5 к настоящим Методическим указаниям.</t>
  </si>
  <si>
    <t>Графы строки 5 заполняются расчетным способом: гр. стр. 5 = (гр. стр. 2 - гр. стр. 1) * гр. стр. 3.</t>
  </si>
  <si>
    <t>Приложение заполняется для каждого вида энергетических ресурсов.</t>
  </si>
  <si>
    <t>К таблице прилагаются дополнительные материалы, содержащие обоснованный расчет по строкам 7, 8, 9, 11.</t>
  </si>
  <si>
    <t>Приложение 5.9</t>
  </si>
  <si>
    <t>Утверждено Службой 2015 г.</t>
  </si>
  <si>
    <t>Фактические показатели 2014 г.</t>
  </si>
  <si>
    <t>Ожидаемые показатели 2015 г.</t>
  </si>
  <si>
    <t>ООО "Морской трст" диз топливо с траспортными расходами,  цена 1 тн =  41 600 руб.</t>
  </si>
  <si>
    <t>нет инвестиционной программы</t>
  </si>
  <si>
    <t>Предложение ТСО 2017 г.</t>
  </si>
  <si>
    <t>Наименование    Усть - Камчатское муниципальное образование</t>
  </si>
  <si>
    <t>Фактические показатели  2014 г.</t>
  </si>
  <si>
    <t>1 полугодие 2017 г.</t>
  </si>
  <si>
    <t>2 полугодие 2017 г.</t>
  </si>
  <si>
    <t>Предложение ТСО 2018 г.</t>
  </si>
  <si>
    <t>1 полугодие 2018 г.</t>
  </si>
  <si>
    <t>2 полугодие 2018 г.</t>
  </si>
  <si>
    <t xml:space="preserve">Расчет амортизационных отчислений и налога на имущество </t>
  </si>
  <si>
    <t>Амортизация, тыс.руб. (мес.)</t>
  </si>
  <si>
    <t>Амортизация на 2015г.</t>
  </si>
  <si>
    <t>Остаточная стоимость на 31.12.2015г.</t>
  </si>
  <si>
    <t>Генеральный директор ___________________ С.Г. Бобряшов</t>
  </si>
  <si>
    <t>Генеральный директор __________________ С.Г. Бобряшов</t>
  </si>
  <si>
    <t>Генеральный директор __________________С.Г. Бобряшов</t>
  </si>
  <si>
    <t>Факт 2014 г.</t>
  </si>
  <si>
    <t>В строке 1 указывается суммарная Экономия, рассчитанная в соответствии с приложением 4.13 и приложением 4.14 к настоящим Методическим указаниям.</t>
  </si>
  <si>
    <t>В строке 3: гр. 4 = (1 + гр. 5) * (1 + гр. 6) * (1 + гр. 7) * (1 + гр. 8) строки 2;</t>
  </si>
  <si>
    <t>гр. 5 = (1 + гр. 6) * (1 + гр. 7) * (1 + гр. 8) строки 2;</t>
  </si>
  <si>
    <t xml:space="preserve">гр. 6 = (1 + гр. 7) * (1 + гр. 8) строки 2; </t>
  </si>
  <si>
    <t>гр. 7 = (1 + гр. 8) строки 2.</t>
  </si>
  <si>
    <t>Гр. стр. 4 = гр. стр. 1 * гр. стр. 3.</t>
  </si>
  <si>
    <t>Фактические показатели 2012г.</t>
  </si>
  <si>
    <t>Необходимая валовая выручка, отнесенная на передачу тепловой энергии, в т.ч.:</t>
  </si>
  <si>
    <t>руб./т у.т.</t>
  </si>
  <si>
    <t>кг у.т.</t>
  </si>
  <si>
    <t xml:space="preserve">Единица измерения </t>
  </si>
  <si>
    <t>Приложение 4.13</t>
  </si>
  <si>
    <t>6.1</t>
  </si>
  <si>
    <t>6.2</t>
  </si>
  <si>
    <t>6.3</t>
  </si>
  <si>
    <t>6.4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</si>
  <si>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 без дифференциации по видам теплоносителя</t>
  </si>
  <si>
    <t>каллендарная разбивкой на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</si>
  <si>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</si>
  <si>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Строки 1, ..., n заполняются в случае расчета тарифов без дифференциации по видам теплоносителя:</t>
  </si>
  <si>
    <t>Расход теплоносителя на хозяйственные (собственные) нужды</t>
  </si>
  <si>
    <t>дрова всего, в том числе:</t>
  </si>
  <si>
    <t xml:space="preserve"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теплоносителя, </t>
  </si>
  <si>
    <r>
      <t xml:space="preserve">       - средняя за год температура </t>
    </r>
    <r>
      <rPr>
        <sz val="9"/>
        <color indexed="60"/>
        <rFont val="Times New Roman"/>
        <family val="1"/>
      </rPr>
      <t>горячей</t>
    </r>
    <r>
      <rPr>
        <sz val="9"/>
        <color indexed="8"/>
        <rFont val="Times New Roman"/>
        <family val="1"/>
      </rPr>
      <t xml:space="preserve"> воды, поступающей потребителям из систем горячего водоснабжения (град. C);</t>
    </r>
  </si>
  <si>
    <r>
      <t xml:space="preserve"> - в закрытой системы </t>
    </r>
    <r>
      <rPr>
        <sz val="9"/>
        <color indexed="60"/>
        <rFont val="Times New Roman"/>
        <family val="1"/>
      </rPr>
      <t>горячего</t>
    </r>
    <r>
      <rPr>
        <sz val="9"/>
        <color indexed="8"/>
        <rFont val="Times New Roman"/>
        <family val="1"/>
      </rPr>
      <t xml:space="preserve"> водоснабжения (ЦГВС) принимается 60 град С;</t>
    </r>
  </si>
  <si>
    <r>
      <t>t</t>
    </r>
    <r>
      <rPr>
        <i/>
        <vertAlign val="superscript"/>
        <sz val="9"/>
        <color indexed="8"/>
        <rFont val="Times New Roman"/>
        <family val="1"/>
      </rPr>
      <t>гвс</t>
    </r>
    <r>
      <rPr>
        <i/>
        <sz val="9"/>
        <color indexed="8"/>
        <rFont val="Times New Roman"/>
        <family val="1"/>
      </rPr>
      <t xml:space="preserve"> =( tпр+(tпр – tпр*Кп))/2</t>
    </r>
  </si>
  <si>
    <r>
      <t xml:space="preserve">            - средняя за год температура </t>
    </r>
    <r>
      <rPr>
        <sz val="9"/>
        <color indexed="62"/>
        <rFont val="Times New Roman"/>
        <family val="1"/>
      </rPr>
      <t>холодной</t>
    </r>
    <r>
      <rPr>
        <sz val="9"/>
        <color indexed="8"/>
        <rFont val="Times New Roman"/>
        <family val="1"/>
      </rPr>
      <t xml:space="preserve"> воды, поступающей потребителям из систем централизованного холодного водоснабжения (град. C);</t>
    </r>
  </si>
  <si>
    <r>
      <t xml:space="preserve">Теплоснабжающая организация:  </t>
    </r>
    <r>
      <rPr>
        <b/>
        <u val="single"/>
        <sz val="10"/>
        <rFont val="Times New Roman"/>
        <family val="1"/>
      </rPr>
      <t>ООО "Интэко""</t>
    </r>
  </si>
  <si>
    <t>Расчет тарифов на горячую воду (закрытая система)</t>
  </si>
  <si>
    <t>Расчет тарифов на горячую воду (открытая система)</t>
  </si>
  <si>
    <t>Итого расход условного топлива на производство тепловой энергии</t>
  </si>
  <si>
    <t>Удельный вес расхода топлива на производство тепловой энергии (п.15/п.16)</t>
  </si>
  <si>
    <t xml:space="preserve">Расход условного топлива </t>
  </si>
  <si>
    <t>уголь всего, в том числе:</t>
  </si>
  <si>
    <t>газ всего, в том числе:</t>
  </si>
  <si>
    <t>газ лимитный</t>
  </si>
  <si>
    <t>газ коммерческий</t>
  </si>
  <si>
    <t>газ сверхлимитный</t>
  </si>
  <si>
    <t>др. виды топлива</t>
  </si>
  <si>
    <t>Доля</t>
  </si>
  <si>
    <t>Индекс роста цен натурального топлива</t>
  </si>
  <si>
    <t>Предложение ТСО  2017 г.</t>
  </si>
  <si>
    <t>Утверждено РСТ Камчатского края на 2014 год</t>
  </si>
  <si>
    <t>в год</t>
  </si>
  <si>
    <t>в месяц</t>
  </si>
  <si>
    <t>Ставка</t>
  </si>
  <si>
    <t>Постановление Правительства Российской Федерации от 3 ноября 1994 г. № 1206 "Об утверждении порядка назначения и выплаты ежемесячных компенсационных выплат отдельным категориям граждан"</t>
  </si>
  <si>
    <t>Производственный персонал</t>
  </si>
  <si>
    <t>Цеховый персонал</t>
  </si>
  <si>
    <t>Общехозяйственный персонал</t>
  </si>
  <si>
    <t>СВОД</t>
  </si>
  <si>
    <t>ВСЕГО ГОД</t>
  </si>
  <si>
    <t>Выплаты в соответствии с порядком назначения и выплаты ежемесячных компенсационных выплат отдельным категориям граждан</t>
  </si>
  <si>
    <t>ИТОГО средства на оплату труда ППП</t>
  </si>
  <si>
    <t>Тп =</t>
  </si>
  <si>
    <t>Расчет тарифа на горячую воду в открытых системах теплоснабжения для теплоснабжающей организации, поставляющей горячую воду с использованием открытой системы теплоснабжения (горячего водоснабжения)</t>
  </si>
  <si>
    <t xml:space="preserve">Расчет амортизационных отчислений на восстановление основных производственных фондов </t>
  </si>
  <si>
    <t>Экономия от снижения потребления энергетических ресурсов в ценах    i-ого периода регулирования</t>
  </si>
  <si>
    <t>всего, т.н.т.</t>
  </si>
  <si>
    <t>-</t>
  </si>
  <si>
    <t xml:space="preserve">Приход натурального топлива </t>
  </si>
  <si>
    <t>Договор финансового лизинга № 4-ВЛ-СМ от 03.10.2012 г.</t>
  </si>
  <si>
    <t>Экскаватор Hitachi ZX240LC-3</t>
  </si>
  <si>
    <t>2012, октябрь</t>
  </si>
  <si>
    <t>Договор аренды имущества № б/н от 01.12.2012 г.</t>
  </si>
  <si>
    <t>Безвозмездный</t>
  </si>
  <si>
    <t>Итого по договорам финансового лизинга</t>
  </si>
  <si>
    <t>Утверждено службой 2015 г.</t>
  </si>
  <si>
    <t>Утверждено службой  2014 г.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</si>
  <si>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в целом по единой теплоснабжающей организации.</t>
  </si>
  <si>
    <t>В стр. 3 заполняется расход тепловой энергии на хозяйственные нужды только на источнике тепловой энергии.</t>
  </si>
  <si>
    <t>План 2017 г.</t>
  </si>
  <si>
    <t>План 2018 г.</t>
  </si>
  <si>
    <t xml:space="preserve">Установленная тепловая мощность 1 источника тепловой энергии </t>
  </si>
  <si>
    <t xml:space="preserve">Установленная тепловая мощность 2 источника тепловой энергии </t>
  </si>
  <si>
    <t xml:space="preserve">Установленная тепловая мощность 3 источника тепловой энергии </t>
  </si>
  <si>
    <t>3.1.6</t>
  </si>
  <si>
    <t>3.1.7</t>
  </si>
  <si>
    <t>KSO-50</t>
  </si>
  <si>
    <t>Ставка за содержание тепловой мощности в стр. 5.2.2 = (стр. 1 - стр. 1.1) / стр. 3 / М + стр. 1.1 / стр. 3.1 / М, где М = 12.</t>
  </si>
  <si>
    <t>Компонент на теплоноситель</t>
  </si>
  <si>
    <t>Тариф на теплоноситель, приготовленный источником тепловой энергии 1</t>
  </si>
  <si>
    <t>1.n</t>
  </si>
  <si>
    <t>ООО "ИНТЭКО"</t>
  </si>
  <si>
    <t>Расчет необходимой валовой выручки методом индексации установленных тарифов</t>
  </si>
  <si>
    <t>Начальник ОЭП                                                                                             Лукьяненко Е.Ю.</t>
  </si>
  <si>
    <t>2014 год</t>
  </si>
  <si>
    <t xml:space="preserve">Расшифровка расчета расходов на оплату труда </t>
  </si>
  <si>
    <t>Генеральный директор ______________________С.Г. Бобряшов</t>
  </si>
  <si>
    <t>Амортизация на 2016 г.</t>
  </si>
  <si>
    <t>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</si>
  <si>
    <t>5.6</t>
  </si>
  <si>
    <t>3.1'!A1</t>
  </si>
  <si>
    <t>4.1'!A1</t>
  </si>
  <si>
    <t>4.2'!A1</t>
  </si>
  <si>
    <t>4.3'!A1</t>
  </si>
  <si>
    <t>4.4'!A1</t>
  </si>
  <si>
    <t>4.5'!A1</t>
  </si>
  <si>
    <t>4.6 Смета'!A1</t>
  </si>
  <si>
    <t>4.7 '!A1</t>
  </si>
  <si>
    <t>4.7 расшиф.-ээ'!A1</t>
  </si>
  <si>
    <t>4.8'!A1</t>
  </si>
  <si>
    <t>4.9 '!A1</t>
  </si>
  <si>
    <t>Амортизация!A1</t>
  </si>
  <si>
    <t>4.12-1'!A1</t>
  </si>
  <si>
    <t>5.1'!A1</t>
  </si>
  <si>
    <t>5.2'!A1</t>
  </si>
  <si>
    <t>5.3'!A1</t>
  </si>
  <si>
    <t>5.4'!A1</t>
  </si>
  <si>
    <t>5.5'!A1</t>
  </si>
  <si>
    <t>5.6'!A1</t>
  </si>
  <si>
    <t>5.7'!A1</t>
  </si>
  <si>
    <t>5.9'!A1</t>
  </si>
  <si>
    <t>6.4'!A1</t>
  </si>
  <si>
    <t>6.6'!A1</t>
  </si>
  <si>
    <t>6.7'!A1</t>
  </si>
  <si>
    <t>6.8'!A1</t>
  </si>
  <si>
    <t>21.2</t>
  </si>
  <si>
    <t>мазут</t>
  </si>
  <si>
    <t>*</t>
  </si>
  <si>
    <r>
      <t>Базовый период/Период регулирования:</t>
    </r>
    <r>
      <rPr>
        <b/>
        <sz val="10"/>
        <rFont val="Times New Roman"/>
        <family val="1"/>
      </rPr>
      <t>2013/2014г.г.</t>
    </r>
  </si>
  <si>
    <t>Приложение 3.1</t>
  </si>
  <si>
    <t>Основные производственные показатели регулируемой организации</t>
  </si>
  <si>
    <t xml:space="preserve">иные расходы </t>
  </si>
  <si>
    <t>приобретен топливозаправщик</t>
  </si>
  <si>
    <t>1 полугодие .</t>
  </si>
  <si>
    <t>Базовый период/Период регулирования: 2016/2017-2019 г.г.</t>
  </si>
  <si>
    <t>2018/2017</t>
  </si>
  <si>
    <t>1 пол. 2018г.</t>
  </si>
  <si>
    <t>вода</t>
  </si>
  <si>
    <t>пар</t>
  </si>
  <si>
    <t xml:space="preserve"> пар</t>
  </si>
  <si>
    <t>Производство теплоносителя, всего</t>
  </si>
  <si>
    <t>Покупной теплоноситель,</t>
  </si>
  <si>
    <t>Нормативные потери при передаче теплоносителя</t>
  </si>
  <si>
    <t>Приложение 4.2</t>
  </si>
  <si>
    <t>Структура полезного отпуска тепловой энергии (мощности)</t>
  </si>
  <si>
    <t>Приложение 4.3</t>
  </si>
  <si>
    <t>Вода</t>
  </si>
  <si>
    <t>от 1,2 до 2,5 кгс/кв.см</t>
  </si>
  <si>
    <t>от 2,5 до 7,0 кгс/кв.см</t>
  </si>
  <si>
    <t>от 7,0 до 13,0 кгс/кв.см</t>
  </si>
  <si>
    <t>энергоресурс(ресурс)</t>
  </si>
  <si>
    <t>операционные (подконтрольные)</t>
  </si>
  <si>
    <t>неподконтрольные</t>
  </si>
  <si>
    <t>тыс. руб./
Гкал/ч в мес.</t>
  </si>
  <si>
    <t>При дифференциации тарифов по схеме подключения теплопотребляющих установок потребителей тепловой энергии к системе теплоснабжения:</t>
  </si>
  <si>
    <t>При подключении к тепловой сети без допольнительного преобразования на тепловых пунктах, эксплуатируемых регулируемой организацией</t>
  </si>
  <si>
    <t>5.1.1</t>
  </si>
  <si>
    <t>5.1.2</t>
  </si>
  <si>
    <t>Договор финансового лизинга № 194-ВЛ-СМ от 05.06.2013 г.</t>
  </si>
  <si>
    <t>Экскаватор погрузчик XCMG WZ30-25</t>
  </si>
  <si>
    <t xml:space="preserve">гр. 5 = (гр. 3 * гр. 5 + ...) / (гр. 3 + ...) по всем регулируемым организациям, по видам теплоносителя (вода или пар), соответственно; </t>
  </si>
  <si>
    <t>гр. 6 = (гр. 4 * гр. 6 + ...) / (гр. 4 + ...) по всем регулируемым организациям;</t>
  </si>
  <si>
    <t>гр. 9 = (гр. 7 * гр. 9 + ...) / (гр. 7 + ...) по всем регулируемым организациям, по видам теплоносителя (вода или пар), соответственно;</t>
  </si>
  <si>
    <t>гр. 10 = (гр. 8 * гр. 10 + ...) / (гр. 8 + ...) по всем регулируемым организациям.</t>
  </si>
  <si>
    <t>Расчет тарифов на тепловую энергию (мощность), поставляемую теплоснабжающим (теплосетевым) организациям с целью компенсации потерь тепловой энергии, производится по всем источникам тепловой энергии, в отношении которых теплоснабжающая (теплосетевая) организация приобретает тепловую энергию (мощность) с целью компенсации потерь в тепловых сетях.</t>
  </si>
  <si>
    <t>Расчет средневзвешенной стоимости производимой и (или) приобретаемой единицы тепловой энергии (мощности) производится в соответствии с приложением 6.3 к настоящим Методическим указаниям.</t>
  </si>
  <si>
    <t>1 полугодие 2016г.</t>
  </si>
  <si>
    <t>2 полугодие 2016г.</t>
  </si>
  <si>
    <t>5.2.2</t>
  </si>
  <si>
    <t>Расчет тарифов на услуги по передаче тепловой энергии, теплоносителя</t>
  </si>
  <si>
    <t>Объем отпуска тепловой энергии от источника тепловой энергии, тыс. Гкал.</t>
  </si>
  <si>
    <t>Суммарная договорная (заявленная) тепловая нагрузка потребителей, Гкал/ч</t>
  </si>
  <si>
    <t>Ставка за тепловую энергию двухставочного тарифа, руб./Гкал</t>
  </si>
  <si>
    <t>Ставка за содержание теплововй мощности двухставочного тарифа, тыс.руб./Гкал/ч в мес.</t>
  </si>
  <si>
    <t>Средневзвешенная стоимость производимой и (или) приобретаемой единицы тепловой энергии (мощности):</t>
  </si>
  <si>
    <t>n+2</t>
  </si>
  <si>
    <t>Тариф на тепловую энергию (мощность), поставляемую теплоснабжающим (теплосетевым) организациям с целью компенсации потерь:</t>
  </si>
  <si>
    <t>n+3</t>
  </si>
  <si>
    <t>Приложение 6.3</t>
  </si>
  <si>
    <t>Расчет средневзвешенной стоимости производимой и (или) приобретаемой единицы тепловой энергии (мощности) и тарифов на тепловую энергию (мощность), поставляемую теплоснабжающим (теплосетевым) организациям с целью компенсации потерь тепловой энергии</t>
  </si>
  <si>
    <t>Расчет тарифов на тепловую энергию (мощность), поставляемую потребителям</t>
  </si>
  <si>
    <t>С дифференциацией по виду теплоносителя:</t>
  </si>
  <si>
    <t>Средневзвешенная стоимость оказываемых и (или) приобретаемых услуг по передаче единицы тепловой энергии:</t>
  </si>
  <si>
    <t>Без дифференциации по схеме подключения теплопотребляющих установок потребителей:</t>
  </si>
  <si>
    <t>2.1.2</t>
  </si>
  <si>
    <t>С дифференциацией по схеме подключения теплопотребляющих установок потребителей: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</si>
  <si>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</si>
  <si>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2.2.2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</si>
  <si>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</si>
  <si>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3.1.2</t>
  </si>
  <si>
    <t>Приложение 6.5</t>
  </si>
  <si>
    <t>Расчет средневзвешенной стоимости оказываемых и (или) приобретаемых услуг при передаче единицы тепловой энергии</t>
  </si>
  <si>
    <t>Объем отпуска тепловой энергии из тепловой сети, тыс. Гкал</t>
  </si>
  <si>
    <t>Одноставочный тариф, руб./Гкал</t>
  </si>
  <si>
    <t>Регулируемая организация 1</t>
  </si>
  <si>
    <t>Регулируемая организация n</t>
  </si>
  <si>
    <t>n+1.1</t>
  </si>
  <si>
    <t>n+1.1.1</t>
  </si>
  <si>
    <t>n+1.1.2</t>
  </si>
  <si>
    <t>n+1.2</t>
  </si>
  <si>
    <t>n+1.2.1</t>
  </si>
  <si>
    <t>n+1.2.2</t>
  </si>
  <si>
    <t>тыс.куб.м</t>
  </si>
  <si>
    <t xml:space="preserve">Смета расходов </t>
  </si>
  <si>
    <t xml:space="preserve">Расчет расходов на оплату труда </t>
  </si>
  <si>
    <t>Расчет тарифа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</si>
  <si>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Расчет тарифа на теплоноситель, поставляемый потребителям</t>
  </si>
  <si>
    <t>Насос Wilo Gronoline-IL  65/170-1,5/4 (2 шт * 56 000 руб)</t>
  </si>
  <si>
    <t>Договор 06/03/2014/2</t>
  </si>
  <si>
    <t xml:space="preserve">Водогр / котел Kiturami KSO - 50 </t>
  </si>
  <si>
    <t>Водогр / котел Kiturami KSO - 70 (3 шт * 92 283,90)</t>
  </si>
  <si>
    <t>Генеральный директор</t>
  </si>
  <si>
    <t>Наименование источника тепловой энергии, хоз. участка</t>
  </si>
  <si>
    <t>Указать основное или резервное</t>
  </si>
  <si>
    <t xml:space="preserve">Мини-котельные    </t>
  </si>
  <si>
    <t>№ 23</t>
  </si>
  <si>
    <t>насос циркуляционный  Wilo РН-401Е</t>
  </si>
  <si>
    <t>основные</t>
  </si>
  <si>
    <t>водогрейный бойлер KS-50</t>
  </si>
  <si>
    <t>освещение</t>
  </si>
  <si>
    <t>лампы накаливан.</t>
  </si>
  <si>
    <t>хб нужды ТИ</t>
  </si>
  <si>
    <t>рем.работы</t>
  </si>
  <si>
    <t>№ 24</t>
  </si>
  <si>
    <t>№ 25</t>
  </si>
  <si>
    <t>насос циркуляционный  Wilo Cronoline-IL 65/170-1,5/4</t>
  </si>
  <si>
    <t>водогрейный бойлер KS-70</t>
  </si>
  <si>
    <t>№ 35</t>
  </si>
  <si>
    <t>насос топливный AURORA DIESEL</t>
  </si>
  <si>
    <t>Всего по ТСО в том числе:</t>
  </si>
  <si>
    <t>затраченной на производство теплоэнергии</t>
  </si>
  <si>
    <t>затраченной на передачу теплоэнергии</t>
  </si>
  <si>
    <t>затраченной на цеховые нужды</t>
  </si>
  <si>
    <t>затраченной на общехозяйственные нужды</t>
  </si>
  <si>
    <t>____________________ С.Г. Бобряшов</t>
  </si>
  <si>
    <r>
      <t xml:space="preserve">Теплоснабжающая (теплосетевая) организация:   </t>
    </r>
    <r>
      <rPr>
        <b/>
        <u val="single"/>
        <sz val="10"/>
        <rFont val="Times New Roman"/>
        <family val="1"/>
      </rPr>
      <t xml:space="preserve"> ООО "Интэко"</t>
    </r>
  </si>
  <si>
    <t>Объем выработки и потребления (невозврата) теплоносителя, производимого на источнике тепловой энергии n</t>
  </si>
  <si>
    <t>Суммарный объем выработки и потребления (невозврата) теплоносителя, поставляемого потребителям</t>
  </si>
  <si>
    <t>Тариф на теплоноситель, посталяемый потребителям</t>
  </si>
  <si>
    <t xml:space="preserve">Таблица заполняется по источникам тепловой энергии, участвующим в обеспечении потребления (невозврата) теплоносителя потребителями, включая источники тепловой энергии, принадлежащие теплоснабжающей организации, и источники тепловой энергии, принадлежащие </t>
  </si>
  <si>
    <t>Стр. 3 = стр. 1.2 + … + стр. n.2.</t>
  </si>
  <si>
    <t>проверил</t>
  </si>
  <si>
    <t>Согласовано</t>
  </si>
  <si>
    <t xml:space="preserve">Генеральный директор ООО "НОРД ФИШ" </t>
  </si>
  <si>
    <t>С.Г. Бобряшов______________</t>
  </si>
  <si>
    <t xml:space="preserve">Т-график сетевой воды для  объектов Усть-Камчатского сп, </t>
  </si>
  <si>
    <t>интерполяция</t>
  </si>
  <si>
    <t>отапливаемых ооо "НОРД ФИШ" на 2015-2018 годы</t>
  </si>
  <si>
    <t>Ставка за содержание тепловой мощности в стр. 5.1.2 = (стр. 1 - стр. 1.1) / стр. 3 / М, где М = 12.</t>
  </si>
  <si>
    <t>Стр. 5.2.1 = (стр. 1 - стр. 1.1) / стр. 2 + стр. 1.1 / стр. 2.1.</t>
  </si>
  <si>
    <t>Объем выработки и потребления (невозврата) теплоносителя, производимого на источнике тепловой энергии 1</t>
  </si>
  <si>
    <t>Источник тепловой энергии n, на котором производится теплоноситель n</t>
  </si>
  <si>
    <t>n.1</t>
  </si>
  <si>
    <t>n.2</t>
  </si>
  <si>
    <t>ПРОИЗВОДСТВЕННАЯ ПРОГРАММА</t>
  </si>
  <si>
    <t>Водоразб.</t>
  </si>
  <si>
    <r>
      <t xml:space="preserve">Теплоснабжающая организация: </t>
    </r>
    <r>
      <rPr>
        <b/>
        <sz val="12"/>
        <rFont val="Times New Roman"/>
        <family val="1"/>
      </rPr>
      <t>ООО "ИНТЭКО"</t>
    </r>
  </si>
  <si>
    <t>Источник теплоснабжения</t>
  </si>
  <si>
    <t>фильтр, поселение</t>
  </si>
  <si>
    <t>фильтр, объект</t>
  </si>
  <si>
    <t>фильтр, топливо</t>
  </si>
  <si>
    <t>Ед. изм.</t>
  </si>
  <si>
    <t>январь</t>
  </si>
  <si>
    <t>февраль</t>
  </si>
  <si>
    <t>потери в сети</t>
  </si>
  <si>
    <t>потери</t>
  </si>
  <si>
    <t>% потерь к отпуску в сеть</t>
  </si>
  <si>
    <t>полезный отпуск, всего</t>
  </si>
  <si>
    <t>полезн.</t>
  </si>
  <si>
    <t>отопление</t>
  </si>
  <si>
    <t>отоп.</t>
  </si>
  <si>
    <t xml:space="preserve">ГВС,всего </t>
  </si>
  <si>
    <t>6.2.1</t>
  </si>
  <si>
    <t>водоразбор</t>
  </si>
  <si>
    <t>водоразб.(Гкал)</t>
  </si>
  <si>
    <t>6.2.2</t>
  </si>
  <si>
    <t>ЦГВС</t>
  </si>
  <si>
    <t>м3</t>
  </si>
  <si>
    <t>ГВС,всего</t>
  </si>
  <si>
    <t>6.3.1</t>
  </si>
  <si>
    <t>6.3.2</t>
  </si>
  <si>
    <t>кВтч</t>
  </si>
  <si>
    <t>Расход электроэнергии</t>
  </si>
  <si>
    <t>6.5</t>
  </si>
  <si>
    <t>Расход холодной воды</t>
  </si>
  <si>
    <t>расх. хв</t>
  </si>
  <si>
    <t>6.6</t>
  </si>
  <si>
    <t>Сброс стоков в канализацию</t>
  </si>
  <si>
    <t>№24</t>
  </si>
  <si>
    <t>м-к № 30</t>
  </si>
  <si>
    <t>№25</t>
  </si>
  <si>
    <t>м-к № 36</t>
  </si>
  <si>
    <t>№35</t>
  </si>
  <si>
    <t>итоги</t>
  </si>
  <si>
    <t xml:space="preserve">ИТОГО ПО КОТЕЛЬНЫМ </t>
  </si>
  <si>
    <t>общий итог</t>
  </si>
  <si>
    <t>св</t>
  </si>
  <si>
    <t>ГВС</t>
  </si>
  <si>
    <r>
      <t>Гкал/м</t>
    </r>
    <r>
      <rPr>
        <b/>
        <sz val="10"/>
        <color indexed="10"/>
        <rFont val="Arial"/>
        <family val="2"/>
      </rPr>
      <t>³</t>
    </r>
  </si>
  <si>
    <r>
      <t>водоразб.(м</t>
    </r>
    <r>
      <rPr>
        <b/>
        <i/>
        <sz val="10"/>
        <rFont val="Calibri"/>
        <family val="2"/>
      </rPr>
      <t>³</t>
    </r>
    <r>
      <rPr>
        <b/>
        <i/>
        <sz val="9"/>
        <rFont val="Arial Cyr"/>
        <family val="0"/>
      </rPr>
      <t>)</t>
    </r>
  </si>
  <si>
    <t>Тариф на теплоноситель, приготовленный источником тепловой энергии n</t>
  </si>
  <si>
    <t>1.n+1</t>
  </si>
  <si>
    <t>II</t>
  </si>
  <si>
    <t>Компонент на тепловую энергию</t>
  </si>
  <si>
    <t>ВРУМ</t>
  </si>
  <si>
    <t>Степень благоуст-ройства</t>
  </si>
  <si>
    <t>Кол-во жильцов</t>
  </si>
  <si>
    <t>Отпуск ГВС (м3)</t>
  </si>
  <si>
    <t>Итого:</t>
  </si>
  <si>
    <t>Ленина 16 (Откр.)</t>
  </si>
  <si>
    <t>Лазо 2а (Закр.)</t>
  </si>
  <si>
    <t>Лесная 50а (Закр.)</t>
  </si>
  <si>
    <t>Наименование показателей</t>
  </si>
  <si>
    <t>1. Производственная программа</t>
  </si>
  <si>
    <t xml:space="preserve">Полезный отпуск тепловой энергии </t>
  </si>
  <si>
    <t>на отопление</t>
  </si>
  <si>
    <t>на ГВС</t>
  </si>
  <si>
    <t>1.3.1</t>
  </si>
  <si>
    <t>при закрытой системе теплоснабжения</t>
  </si>
  <si>
    <t>1.3.2</t>
  </si>
  <si>
    <t>при открытой системе теплоснабжения</t>
  </si>
  <si>
    <t>тыс.м3</t>
  </si>
  <si>
    <t xml:space="preserve">2. Расчет потерь тепла трубопроводами систем централизованного горячего водоснабжения </t>
  </si>
  <si>
    <t xml:space="preserve">Количество строений </t>
  </si>
  <si>
    <t>с изолированными стояками и полотенцесушителями</t>
  </si>
  <si>
    <t>с неизолированными стояками и полотенцесушителями</t>
  </si>
  <si>
    <t>2.1.3</t>
  </si>
  <si>
    <t>с изолированными стояками и без полотенцесушителей</t>
  </si>
  <si>
    <t>2.1.4</t>
  </si>
  <si>
    <t>с неизолированными стояками и  без полотенцесушителей</t>
  </si>
  <si>
    <t>Коэффициент для систем ГВС</t>
  </si>
  <si>
    <t>3. Расчет количества тепла, необходимого для приготовления  1 м3 горячей воды</t>
  </si>
  <si>
    <t>С°</t>
  </si>
  <si>
    <t>Средняя за год температура холодной воды²</t>
  </si>
  <si>
    <t>Коэффициент учитывающий плотность воды при температуре, равной t гвс, и среднем по году давлении воды в трубопроводе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</si>
  <si>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 (стр. n+2) в виде воды, принимается равным средневзвешенной стоимости производимой и (или) приобретаемой единицы тепловой энергии (мощности) (стр. n+1); тариф на тепловую энергию (мощность), поставляемую теплоснабжающим организациям с целью компенсации потерь тепловой энергии (стр. n+2) в виде пара, рассчитывается как средневзвешенная стоимость производимой и (или) приобретаемой единицы тепловой энергии (мощности) по параметрам пара (стр. n+1).</t>
  </si>
  <si>
    <t>Отпуск тепловой энергии из тепловой сети (полезный отпуск), всего, (стр.4-стр.5)</t>
  </si>
  <si>
    <t>Отпуск теплоносителя в сеть (стр.1+стр.2-стр.3)</t>
  </si>
  <si>
    <t>Полезный отпуск теплоносителя потребителям (стр.4-стр.5-стр.6)</t>
  </si>
  <si>
    <t>Отпуск тепловой энергии от источника тепловой энергии (полезный отпуск), (стр.1+ стр.2-стр.3)</t>
  </si>
  <si>
    <r>
      <t xml:space="preserve">Теплоснабжающая организация: </t>
    </r>
    <r>
      <rPr>
        <b/>
        <sz val="12"/>
        <rFont val="Times New Roman"/>
        <family val="1"/>
      </rPr>
      <t>ОАО "Корякэнерго"</t>
    </r>
  </si>
  <si>
    <t>Стр. 7 = стр. 4 - стр. 5 - стр. 6.</t>
  </si>
  <si>
    <t>Строки 2, 2.1, 3, 3.1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</si>
  <si>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Стр. 4.1 = стр. 1 / стр. 2.</t>
  </si>
  <si>
    <t>Ставка за содержание тепловой мощности в стр. 4.2 = стр. 1 / стр. 3 / М, где М = 12.</t>
  </si>
  <si>
    <t>Стр. 5.1.1 = (стр. 1 - стр. 1.1) / стр. 2.</t>
  </si>
  <si>
    <t>В строке 6: гр. 4 = (1 + гр. 5 стр. 5) * (1 + гр. 6 стр. 5) * (1 + гр. 7 стр. 5)</t>
  </si>
  <si>
    <t>гр. 5 = (1 + гр. 6 стр. 5) * (1 + гр. 7 стр. 5)</t>
  </si>
  <si>
    <t>гр. 6 = (1 + гр. 7 стр. 5)</t>
  </si>
  <si>
    <t>В строке 7: гр. стр. 7 = гр. стр. 4 * гр. стр. 6, кроме гр. 7</t>
  </si>
  <si>
    <t>гр. 7 стр. 7 = гр. стр. 4</t>
  </si>
  <si>
    <t>Строка 8 заполняется только в графе 8.</t>
  </si>
  <si>
    <t>Если предшествующий долгосрочный период регулирования составляет 3 года:</t>
  </si>
  <si>
    <t>Договор 25/12/2013 от 25.12.2013 г.</t>
  </si>
  <si>
    <t>Тепловая энергия, в том числе:</t>
  </si>
  <si>
    <t>Наименование оборудования</t>
  </si>
  <si>
    <t>Количество ед. оборудо-вания</t>
  </si>
  <si>
    <t>Мощность, кВтч</t>
  </si>
  <si>
    <t>Коэффициент загрузки оборудования</t>
  </si>
  <si>
    <t>Расход электроэнергии (в сутки), кВтч</t>
  </si>
  <si>
    <t>Время работы (за год), дни</t>
  </si>
  <si>
    <t>Расход электроэнергии (за год), т.кВтч</t>
  </si>
  <si>
    <t>Ожидаемый      2016 г.</t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</si>
  <si>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</si>
  <si>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</si>
  <si>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t>Таблица заполняется по источникам тепловой энергии, на которых производится теплоноситель, участвующий в поставках горячей воды в открытой системе теплоснабжения, включая источники тепловой энергии, принадлежащие теплоснабжающей организации, и источники т</t>
  </si>
  <si>
    <t>Стр. I = (стр. 1.1 * стр. 1.2 + ... + стр. n.1 * стр. n.2) / (стр. 1.2 + ... + стр. n.2).</t>
  </si>
  <si>
    <t>Генеральный директор _______________С.Г. Бобряшов</t>
  </si>
  <si>
    <t>Графы 3, 4, 8 и 9 заполняются без учета договорного объема по долгосрочным договорам теплоснабжения, нерегулируемым долгосрочным договорам теплоснабжения, заключаемым в отношении источников тепловой энергии.</t>
  </si>
  <si>
    <t>Строки 1, ..., n заполняются в случае расчета тарифов без дифференциации по видам теплоносителя.</t>
  </si>
  <si>
    <t xml:space="preserve">Средневзвешенная стоимость производимой и (или) приобретаемой единицы тепловой энергии (мощности) (стр. n+1): </t>
  </si>
  <si>
    <t>гр. 5 = (гр. 3 * гр. 5 + ...) / (гр. 3 + ...) по всем источникам, по соответствующим видам теплоносителя;</t>
  </si>
  <si>
    <t>гр. 6 = (гр. 3 * гр. 6 + ...) / (гр. 3 + ...) по всем источникам, по соответствующим видам теплоносителя;</t>
  </si>
  <si>
    <t>гр. 7 = (гр. 4 * гр. 7 + ...) / (гр. 4 + ...) по всем источникам;</t>
  </si>
  <si>
    <t>гр. 10 = (гр. 8 * гр. 10 + ...) / (гр. 8 + ...) по всем источникам, по соответствующим видам теплоносителя;</t>
  </si>
  <si>
    <t>гр. 11 = (гр. 8 * гр. 11 + ...) / (гр. 8 + ...) по всем источникам, по соответствующим видам теплоносителя;</t>
  </si>
  <si>
    <t>гр. 12 = (гр. 9 * гр. 12 + ...) / (гр. 9 + ...) по всем источникам.</t>
  </si>
  <si>
    <t>Расходы на уплату налогов, сборов и других обязательных платежей, в том числе: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</si>
  <si>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</si>
  <si>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расходы на обязательное страхование</t>
  </si>
  <si>
    <t>1.4.3</t>
  </si>
  <si>
    <t>Отчисления на социальные нужды</t>
  </si>
  <si>
    <t>Расходы по сомнительным долгам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</si>
  <si>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</si>
  <si>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</si>
  <si>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ИТОГО</t>
  </si>
  <si>
    <t>Итого неподконтрольных расходов</t>
  </si>
  <si>
    <t>(тыс. руб.)</t>
  </si>
  <si>
    <t>Расходы на оплату услуг, оказываемых организациями, осуществляющими регулируемые виды деятельности</t>
  </si>
  <si>
    <t>Экономия, определенная в прошедшем долгосрочном периоде регулирования и подлежащая учету в текущем долгосрочном периоде регулирования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</si>
  <si>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</si>
  <si>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</si>
  <si>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</si>
  <si>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</si>
  <si>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Приложение 5.3</t>
  </si>
  <si>
    <t>Реестр расходов на приобретение энергетических ресурсов, холодной воды и теплоносителя (далее в настоящем приложении - ресурсы)</t>
  </si>
  <si>
    <t>Строки 1 - 5 заполняются по данным Приложений 4.4, 4.7 и 4.8 к настоящим Методическим указаниям.</t>
  </si>
  <si>
    <t>Приложение 5.4</t>
  </si>
  <si>
    <t>Год i1</t>
  </si>
  <si>
    <t>Скорректированные операционные расходы</t>
  </si>
  <si>
    <t>Фактические операционные расходы</t>
  </si>
  <si>
    <t>Экономия операционных расходов</t>
  </si>
  <si>
    <t>Прирост экономии операционных расходов</t>
  </si>
  <si>
    <t>Индекс потребительских цен</t>
  </si>
  <si>
    <t>Прирост экономии операционных расходов в ценах года i1</t>
  </si>
  <si>
    <t>Экономия операционных расходов, учитываемая в очередном долгосрочном периоде регулирования</t>
  </si>
  <si>
    <t>Приложение заполняется за предшествующий долгосрочный период регулирования.</t>
  </si>
  <si>
    <t>Расходы, не учитываемые  в целях налогообложения, всего</t>
  </si>
  <si>
    <t>расходы на капитальные вложения (инвестиции)</t>
  </si>
  <si>
    <t>денежные выплаты социального характера (по Коллективному договору)</t>
  </si>
  <si>
    <t>резервный фонд</t>
  </si>
  <si>
    <t>прочие расходы</t>
  </si>
  <si>
    <t>IV.</t>
  </si>
  <si>
    <t>Налог на УСН</t>
  </si>
  <si>
    <t>V.</t>
  </si>
  <si>
    <t>Выпадающие доходы/экономия средств</t>
  </si>
  <si>
    <t>VI.</t>
  </si>
  <si>
    <t>Необходимая валовая выручка, всего</t>
  </si>
  <si>
    <t>Генеральный директор ____________________________С.Г. Бобряшов</t>
  </si>
  <si>
    <t>Генеральный директор ___________________С.Г. Бобряшов</t>
  </si>
  <si>
    <t>«01»   января   2015г.</t>
  </si>
  <si>
    <r>
      <t>м</t>
    </r>
    <r>
      <rPr>
        <vertAlign val="superscript"/>
        <sz val="10"/>
        <rFont val="Times New Roman"/>
        <family val="1"/>
      </rPr>
      <t>3</t>
    </r>
  </si>
  <si>
    <r>
      <t>тыс. руб./м</t>
    </r>
    <r>
      <rPr>
        <vertAlign val="superscript"/>
        <sz val="10"/>
        <rFont val="Times New Roman"/>
        <family val="1"/>
      </rPr>
      <t>3</t>
    </r>
  </si>
  <si>
    <t>Расходы на холодную воду, в том числе</t>
  </si>
  <si>
    <t>Приложение 4.9</t>
  </si>
  <si>
    <t>Численность</t>
  </si>
  <si>
    <t>Нормативная численность</t>
  </si>
  <si>
    <t>чел.</t>
  </si>
  <si>
    <t>в т.ч. привлеченый персонал</t>
  </si>
  <si>
    <t>Нормативная численность ППП</t>
  </si>
  <si>
    <t>без привлеченного персонала</t>
  </si>
  <si>
    <t>Фактическая численность</t>
  </si>
  <si>
    <t>% отношение факта к нормативу</t>
  </si>
  <si>
    <t>Численность на вводы по нормативу</t>
  </si>
  <si>
    <t>Численность, принятая для расчета</t>
  </si>
  <si>
    <t>Средняя зарплата</t>
  </si>
  <si>
    <t>Приложение заполняется для каждого вида ресурсов.</t>
  </si>
  <si>
    <t>Графы строки 6 заполняются расчетным способом: гр. стр. 6 = гр. стр. 1 /  гр. стр. 2 * гр. стр. 3 - гр. стр. 4.</t>
  </si>
  <si>
    <t>Графы строки 7 заполняются расчетным способом: гр. стр. 7 = (гр. стр. 6 - гр. стр. 6|предыдущий год) * гр. стр. 5. Для первого года регулирования: стр. 7 = гр. стр. 6 * гр. стр. 5. Необходимо согласовать единицы измерения всех показателей для того, чтобы выразить прирост экономии от снижения потребления ресурсов в тыс. руб.</t>
  </si>
  <si>
    <t>Утверждено 2015 г.</t>
  </si>
  <si>
    <t>Приложение 6.4</t>
  </si>
  <si>
    <t>Расчет одноставочного тарифа на тепловую энергию (мощность), руб./Гкал</t>
  </si>
  <si>
    <t>Стр. 4 = стр. 1 + стр. 2 - стр. 3.</t>
  </si>
  <si>
    <t>2018 г. + 56000*1,059-насос ОС</t>
  </si>
  <si>
    <t>2019 г. + насос ОС</t>
  </si>
  <si>
    <t xml:space="preserve">установка топливных счетчиков </t>
  </si>
  <si>
    <t>Фактическая (расчетная) цена на топливо - с учетом затрат на его доставку и хранение, определяемая в соответствии с приложением 4.5 к настоящим Методическим указаниям с учетом остатков топлива и структуры используемого топлива, учтенной при расчете удельного расхода топлива.</t>
  </si>
  <si>
    <t>В строке 8: гр. 5 = (1 + гр. 6) * (1 + гр. 7) * (1 + гр. 8) строки 7;</t>
  </si>
  <si>
    <t>гр. 6 = (1 + гр. 7) * (1 + гр. 8) строки 7;</t>
  </si>
  <si>
    <t>гр. 7 = (1 + гр. 8) строки 7.</t>
  </si>
  <si>
    <t>Гр. стр. 9 = гр. стр. 6 * гр. стр. 8, кроме гр. 8;</t>
  </si>
  <si>
    <t>гр. 8 стр. 9 = гр. стр. 6.</t>
  </si>
  <si>
    <t>Строка 10 заполняется только в графе 8.</t>
  </si>
  <si>
    <r>
      <t>гр. 8 = (4/5 * гр. 8 + 3/5 * гр. 7 + 2/5 * гр. 6)|</t>
    </r>
    <r>
      <rPr>
        <vertAlign val="subscript"/>
        <sz val="9"/>
        <rFont val="Times New Roman"/>
        <family val="1"/>
      </rPr>
      <t>стр. 9</t>
    </r>
  </si>
  <si>
    <r>
      <t>гр. 8 = (4/5 * гр. 8 + 3/5 * гр. 7 + 2/5 * гр. 6 + 1/5 * гр. 5)|</t>
    </r>
    <r>
      <rPr>
        <vertAlign val="subscript"/>
        <sz val="9"/>
        <rFont val="Times New Roman"/>
        <family val="1"/>
      </rPr>
      <t>стр. 9</t>
    </r>
  </si>
  <si>
    <t>Приложение 5.6</t>
  </si>
  <si>
    <t>В строке 9: гр. 5 = (1 + гр. 6) * (1 + гр. 7) * (1 + гр. 8) строки 8;</t>
  </si>
  <si>
    <t>гр. 6 = (1 + гр. 7) * (1 + гр. 8) строки 8;</t>
  </si>
  <si>
    <t>гр. 7 = (1 + гр. 8) строки 8.</t>
  </si>
  <si>
    <t>Гр. стр. 10 = гр. стр. 7 * гр. стр. 9, кроме гр. 8;</t>
  </si>
  <si>
    <t>гр. 8 стр. 10 = гр. стр. 7.</t>
  </si>
  <si>
    <t>Строка 11 заполняется только в графе 8.</t>
  </si>
  <si>
    <r>
      <t xml:space="preserve">Базовый период/Период регулирования: </t>
    </r>
    <r>
      <rPr>
        <b/>
        <sz val="10"/>
        <rFont val="Times New Roman"/>
        <family val="1"/>
      </rPr>
      <t>2016-2018</t>
    </r>
  </si>
  <si>
    <t>Коэффициент особенностей работ</t>
  </si>
  <si>
    <t>Среднемесячная тарифная ставка ППП</t>
  </si>
  <si>
    <t>Выплаты, связанные с режимом работы, с условиями труда 1 работника:</t>
  </si>
  <si>
    <t>процент выплаты</t>
  </si>
  <si>
    <t>сумма выплат</t>
  </si>
  <si>
    <t>Текущее премирование:</t>
  </si>
  <si>
    <t>Вознаграждение за выслугу лет:</t>
  </si>
  <si>
    <t>Выплаты по итогам года:</t>
  </si>
  <si>
    <t>Выплаты по районному коэффициенту и северные надбавки</t>
  </si>
  <si>
    <t>ИТОГО среднемесячная оплата труда на 1 работника</t>
  </si>
  <si>
    <t>Расчет ФОТ (вкл. в расходы на производство продукции (услуг))</t>
  </si>
  <si>
    <t>Льготный проезд к месту отдыха</t>
  </si>
  <si>
    <t>Выплаты в соответствии с порядком назначения и выплаты ежемесячных компенсационных выплат отдельным категориям граждан *</t>
  </si>
  <si>
    <t>Количество месяцев в периоде регулирования</t>
  </si>
  <si>
    <t>ИТОГО средства на оплату труда     ППП</t>
  </si>
  <si>
    <t>4.4.1</t>
  </si>
  <si>
    <t>4.4.2</t>
  </si>
  <si>
    <t>4.4.3</t>
  </si>
  <si>
    <t>4.4.4</t>
  </si>
  <si>
    <t>Расчет по непромышленной группе (вкл. в балансовую стоимость)</t>
  </si>
  <si>
    <t xml:space="preserve">Планируемая численность </t>
  </si>
  <si>
    <t>Расчетная средняя зарплата</t>
  </si>
  <si>
    <t>По постановлению N1206 от 3.11.94</t>
  </si>
  <si>
    <t>ИТОГО ФОТ непром. группы</t>
  </si>
  <si>
    <t>5.6.1</t>
  </si>
  <si>
    <t>5.6.2</t>
  </si>
  <si>
    <t>5.6.3</t>
  </si>
  <si>
    <t>5.6.4</t>
  </si>
  <si>
    <t>5.7</t>
  </si>
  <si>
    <t>Показатели  2014 г.</t>
  </si>
  <si>
    <t>Генеральтый директор ______________________________ С.Г. Бобряшов</t>
  </si>
  <si>
    <t>Индексы</t>
  </si>
  <si>
    <t>2015/2014</t>
  </si>
  <si>
    <t>2016/2015</t>
  </si>
  <si>
    <t>2017/2016</t>
  </si>
  <si>
    <t>Индекс роста номинальной заработной платы</t>
  </si>
  <si>
    <t>в т.ч. по кварталам (2015г.)</t>
  </si>
  <si>
    <t>1 кв. 2015г.</t>
  </si>
  <si>
    <t>Индекс цен на электрическую энергию</t>
  </si>
  <si>
    <t>Индекс цен на покупную воду</t>
  </si>
  <si>
    <t>Индекс цен на тепловую энергию</t>
  </si>
  <si>
    <t>Налог на прибыль  (Налог на УСН)</t>
  </si>
  <si>
    <t>Неиспользованных средств на начало года</t>
  </si>
  <si>
    <t>2.3</t>
  </si>
  <si>
    <t>стоимость, тыс. руб.</t>
  </si>
  <si>
    <t>Базовый период</t>
  </si>
  <si>
    <t>…</t>
  </si>
  <si>
    <t>Период регулирования</t>
  </si>
  <si>
    <t>№
п/п</t>
  </si>
  <si>
    <t>1.1</t>
  </si>
  <si>
    <t>2</t>
  </si>
  <si>
    <t>2.1</t>
  </si>
  <si>
    <t>3</t>
  </si>
  <si>
    <t>в т.ч.</t>
  </si>
  <si>
    <t>3.1</t>
  </si>
  <si>
    <t>3.2</t>
  </si>
  <si>
    <t>Показатели</t>
  </si>
  <si>
    <t>1</t>
  </si>
  <si>
    <t>4</t>
  </si>
  <si>
    <t>5</t>
  </si>
  <si>
    <t>6</t>
  </si>
  <si>
    <t>тыс. руб.</t>
  </si>
  <si>
    <t>всего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</si>
  <si>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</si>
  <si>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</si>
  <si>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</si>
  <si>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</si>
  <si>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</si>
  <si>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</si>
  <si>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</si>
  <si>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</si>
  <si>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</si>
  <si>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 том числе</t>
  </si>
  <si>
    <t>16</t>
  </si>
  <si>
    <t>в том числе:</t>
  </si>
  <si>
    <t>Расчет источников финансирования капитальных вложений</t>
  </si>
  <si>
    <t>Наименование</t>
  </si>
  <si>
    <t>Объем капитальных вложений - всего</t>
  </si>
  <si>
    <t>Финансирование капитальных вложений</t>
  </si>
  <si>
    <t>из средств - всего</t>
  </si>
  <si>
    <t>Амортизационных отчислений на полное восстановление основных фондов (100%)</t>
  </si>
  <si>
    <t>2.2</t>
  </si>
  <si>
    <t>29.2</t>
  </si>
  <si>
    <t>29.3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</si>
  <si>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</si>
  <si>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</si>
  <si>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Таблица заполняется по системам теплоснабжения,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</si>
  <si>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Расчет средневзвешенной стоимости оказываемых и (или) приобретаемых услуг по передаче единицы тепловой энергии для потребителей производится по данным регулируемых организаций, тепловые сети которых используются для теплоснабжения данных потребителей.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</si>
</sst>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00"/>
    <numFmt numFmtId="167" formatCode="0.0"/>
    <numFmt numFmtId="168" formatCode="#,##0.0"/>
    <numFmt numFmtId="169" formatCode="#,##0_р_."/>
    <numFmt numFmtId="170" formatCode="#,##0.0_р_."/>
    <numFmt numFmtId="171" formatCode="#,##0.0000"/>
    <numFmt numFmtId="172" formatCode="#,##0.00000"/>
    <numFmt numFmtId="173" formatCode="[$-F419]yyyy\,\ mmmm;@"/>
    <numFmt numFmtId="174" formatCode="_(* #,##0_);_(* \(#,##0\);_(* &quot;-&quot;_);_(@_)"/>
    <numFmt numFmtId="175" formatCode="_-* #,##0.000_р_._-;\-* #,##0.000_р_._-;_-* &quot;-&quot;??_р_._-;_-@_-"/>
    <numFmt numFmtId="176" formatCode="_(* #,##0.00_);_(* \(#,##0.00\);_(* &quot;-&quot;??_);_(@_)"/>
    <numFmt numFmtId="177" formatCode="0.000000"/>
    <numFmt numFmtId="178" formatCode="#,##0.000_р_."/>
    <numFmt numFmtId="179" formatCode="_-* #,##0_р_._-;\-* #,##0_р_._-;_-* &quot;-&quot;??_р_._-;_-@_-"/>
    <numFmt numFmtId="180" formatCode="#,##0.00_р_."/>
    <numFmt numFmtId="181" formatCode="0.00000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00%"/>
    <numFmt numFmtId="191" formatCode="0.0000"/>
    <numFmt numFmtId="192" formatCode="#,##0.000000"/>
    <numFmt numFmtId="193" formatCode="0.00000000"/>
    <numFmt numFmtId="194" formatCode="0.0000%"/>
    <numFmt numFmtId="195" formatCode="0.00000%"/>
    <numFmt numFmtId="196" formatCode="0.0000E+00"/>
    <numFmt numFmtId="197" formatCode="0.000E+00"/>
    <numFmt numFmtId="198" formatCode="[$-FC19]d\ mmmm\ yyyy\ &quot;г.&quot;"/>
    <numFmt numFmtId="199" formatCode="000000"/>
    <numFmt numFmtId="200" formatCode="#,##0.0000000"/>
    <numFmt numFmtId="201" formatCode="#,##0.00000000"/>
    <numFmt numFmtId="202" formatCode="#,##0.000000000"/>
    <numFmt numFmtId="203" formatCode="#,##0.00000000000"/>
    <numFmt numFmtId="204" formatCode="mmm/yyyy"/>
    <numFmt numFmtId="205" formatCode="0.0000000"/>
    <numFmt numFmtId="206" formatCode="_-* #,##0.000_р_._-;\-* #,##0.000_р_._-;_-* &quot;-&quot;???_р_._-;_-@_-"/>
    <numFmt numFmtId="207" formatCode="0.0_)"/>
    <numFmt numFmtId="208" formatCode="[$-419]mmmm\ yyyy;@"/>
    <numFmt numFmtId="209" formatCode="#,##0.00;[Red]\-#,##0.00"/>
    <numFmt numFmtId="210" formatCode="_-* #,##0.00_р_._-;\-* #,##0.00_р_._-;_-* &quot;-&quot;???_р_._-;_-@_-"/>
    <numFmt numFmtId="211" formatCode="_-* #,##0.0_р_._-;\-* #,##0.0_р_._-;_-* &quot;-&quot;???_р_._-;_-@_-"/>
    <numFmt numFmtId="212" formatCode="_-* #,##0_р_._-;\-* #,##0_р_._-;_-* &quot;-&quot;???_р_._-;_-@_-"/>
    <numFmt numFmtId="213" formatCode="_-* #,##0.0_р_._-;\-* #,##0.0_р_._-;_-* &quot;-&quot;??_р_._-;_-@_-"/>
    <numFmt numFmtId="214" formatCode="0.000000000"/>
    <numFmt numFmtId="215" formatCode="_(* #,##0_);_(* \(#,##0\);_(* &quot;-&quot;??_);_(@_)"/>
    <numFmt numFmtId="216" formatCode="dd/mmm/yyyy"/>
  </numFmts>
  <fonts count="189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i/>
      <u val="single"/>
      <sz val="11"/>
      <color indexed="12"/>
      <name val="Times New Roman"/>
      <family val="1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0"/>
      <name val="Arial Cyr"/>
      <family val="0"/>
    </font>
    <font>
      <b/>
      <sz val="14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vertAlign val="subscript"/>
      <sz val="9"/>
      <name val="Times New Roman"/>
      <family val="1"/>
    </font>
    <font>
      <b/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sz val="11"/>
      <color indexed="12"/>
      <name val="Calibri"/>
      <family val="2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Calibri"/>
      <family val="2"/>
    </font>
    <font>
      <i/>
      <sz val="11"/>
      <color indexed="30"/>
      <name val="Calibri"/>
      <family val="2"/>
    </font>
    <font>
      <b/>
      <i/>
      <sz val="14"/>
      <color indexed="30"/>
      <name val="Arial"/>
      <family val="2"/>
    </font>
    <font>
      <b/>
      <i/>
      <sz val="10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i/>
      <sz val="14"/>
      <name val="Arial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16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u val="single"/>
      <sz val="11"/>
      <name val="Times New Roman"/>
      <family val="1"/>
    </font>
    <font>
      <i/>
      <sz val="11"/>
      <color indexed="12"/>
      <name val="Times New Roman"/>
      <family val="1"/>
    </font>
    <font>
      <b/>
      <sz val="12"/>
      <color indexed="48"/>
      <name val="Times New Roman"/>
      <family val="1"/>
    </font>
    <font>
      <sz val="6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12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20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60"/>
      <name val="Arial"/>
      <family val="2"/>
    </font>
    <font>
      <b/>
      <sz val="11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9"/>
      <color indexed="12"/>
      <name val="Arial"/>
      <family val="2"/>
    </font>
    <font>
      <b/>
      <i/>
      <sz val="10"/>
      <name val="Calibri"/>
      <family val="2"/>
    </font>
    <font>
      <b/>
      <i/>
      <sz val="9"/>
      <name val="Arial Cyr"/>
      <family val="0"/>
    </font>
    <font>
      <sz val="10"/>
      <color indexed="12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i/>
      <u val="single"/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b/>
      <sz val="11"/>
      <color indexed="30"/>
      <name val="Calibri"/>
      <family val="2"/>
    </font>
    <font>
      <b/>
      <sz val="11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Calibri"/>
      <family val="2"/>
    </font>
    <font>
      <sz val="10"/>
      <color indexed="60"/>
      <name val="Arial Narrow"/>
      <family val="2"/>
    </font>
    <font>
      <sz val="13"/>
      <color indexed="8"/>
      <name val="Times New Roman"/>
      <family val="1"/>
    </font>
    <font>
      <sz val="10"/>
      <color indexed="60"/>
      <name val="Calibri"/>
      <family val="2"/>
    </font>
    <font>
      <b/>
      <sz val="10"/>
      <color indexed="60"/>
      <name val="Arial Narrow"/>
      <family val="2"/>
    </font>
    <font>
      <sz val="8"/>
      <color indexed="8"/>
      <name val="Arial"/>
      <family val="2"/>
    </font>
    <font>
      <b/>
      <sz val="9"/>
      <color indexed="60"/>
      <name val="Arial Narrow"/>
      <family val="2"/>
    </font>
    <font>
      <b/>
      <sz val="9"/>
      <name val="Arial Narrow"/>
      <family val="2"/>
    </font>
    <font>
      <i/>
      <sz val="8"/>
      <color indexed="8"/>
      <name val="Arial"/>
      <family val="2"/>
    </font>
    <font>
      <b/>
      <sz val="10"/>
      <color indexed="60"/>
      <name val="Arial"/>
      <family val="2"/>
    </font>
    <font>
      <i/>
      <sz val="14"/>
      <color indexed="8"/>
      <name val="Calibri"/>
      <family val="2"/>
    </font>
    <font>
      <i/>
      <sz val="12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sz val="9"/>
      <color indexed="60"/>
      <name val="Times New Roman"/>
      <family val="1"/>
    </font>
    <font>
      <sz val="9"/>
      <color indexed="62"/>
      <name val="Times New Roman"/>
      <family val="1"/>
    </font>
    <font>
      <sz val="12"/>
      <color indexed="8"/>
      <name val="Calibri"/>
      <family val="2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8"/>
      <name val="Arial"/>
      <family val="2"/>
    </font>
    <font>
      <sz val="10"/>
      <color indexed="9"/>
      <name val="Arial"/>
      <family val="2"/>
    </font>
    <font>
      <b/>
      <u val="single"/>
      <sz val="9"/>
      <color indexed="8"/>
      <name val="Arial Narrow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Cyr"/>
      <family val="0"/>
    </font>
    <font>
      <sz val="14"/>
      <color indexed="8"/>
      <name val="Arial Narrow"/>
      <family val="2"/>
    </font>
    <font>
      <b/>
      <sz val="10"/>
      <color indexed="8"/>
      <name val="Arial Narrow"/>
      <family val="2"/>
    </font>
    <font>
      <i/>
      <sz val="12"/>
      <color indexed="8"/>
      <name val="Arial Cyr"/>
      <family val="0"/>
    </font>
    <font>
      <sz val="12"/>
      <name val="Arial Cyr"/>
      <family val="0"/>
    </font>
    <font>
      <b/>
      <sz val="11"/>
      <color indexed="8"/>
      <name val="Arial Cyr"/>
      <family val="0"/>
    </font>
    <font>
      <b/>
      <i/>
      <sz val="12"/>
      <color indexed="8"/>
      <name val="Arial Narrow"/>
      <family val="2"/>
    </font>
    <font>
      <b/>
      <sz val="12"/>
      <name val="Arial Cyr"/>
      <family val="0"/>
    </font>
    <font>
      <i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0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7" borderId="1" applyNumberFormat="0" applyAlignment="0" applyProtection="0"/>
    <xf numFmtId="0" fontId="72" fillId="20" borderId="2" applyNumberFormat="0" applyAlignment="0" applyProtection="0"/>
    <xf numFmtId="0" fontId="72" fillId="20" borderId="2" applyNumberFormat="0" applyAlignment="0" applyProtection="0"/>
    <xf numFmtId="0" fontId="72" fillId="20" borderId="2" applyNumberFormat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79" fillId="21" borderId="7" applyNumberFormat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1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 applyNumberFormat="0" applyFill="0" applyBorder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87" fillId="4" borderId="0" applyNumberFormat="0" applyBorder="0" applyAlignment="0" applyProtection="0"/>
  </cellStyleXfs>
  <cellXfs count="24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8" fillId="0" borderId="12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7" fillId="0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indent="1"/>
    </xf>
    <xf numFmtId="49" fontId="1" fillId="0" borderId="13" xfId="0" applyNumberFormat="1" applyFont="1" applyBorder="1" applyAlignment="1">
      <alignment horizontal="left" wrapText="1" inden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indent="2"/>
    </xf>
    <xf numFmtId="49" fontId="1" fillId="0" borderId="13" xfId="0" applyNumberFormat="1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wrapText="1" indent="2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left" wrapText="1" indent="2"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wrapText="1" indent="1"/>
    </xf>
    <xf numFmtId="0" fontId="26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 indent="3"/>
    </xf>
    <xf numFmtId="4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6" fillId="0" borderId="0" xfId="0" applyFont="1" applyAlignment="1">
      <alignment horizontal="left"/>
    </xf>
    <xf numFmtId="0" fontId="22" fillId="0" borderId="0" xfId="0" applyFont="1" applyAlignment="1">
      <alignment/>
    </xf>
    <xf numFmtId="0" fontId="8" fillId="0" borderId="12" xfId="0" applyFont="1" applyBorder="1" applyAlignment="1">
      <alignment horizontal="left" wrapText="1" indent="2"/>
    </xf>
    <xf numFmtId="49" fontId="8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 vertical="top"/>
    </xf>
    <xf numFmtId="0" fontId="8" fillId="0" borderId="12" xfId="0" applyFont="1" applyBorder="1" applyAlignment="1">
      <alignment horizontal="left" wrapText="1" indent="1"/>
    </xf>
    <xf numFmtId="49" fontId="8" fillId="0" borderId="12" xfId="0" applyNumberFormat="1" applyFont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right" vertical="top"/>
    </xf>
    <xf numFmtId="0" fontId="8" fillId="0" borderId="12" xfId="0" applyFont="1" applyBorder="1" applyAlignment="1">
      <alignment vertical="center" wrapText="1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4" fillId="0" borderId="10" xfId="0" applyFont="1" applyBorder="1" applyAlignment="1">
      <alignment horizontal="left" wrapText="1" indent="1"/>
    </xf>
    <xf numFmtId="3" fontId="24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wrapText="1"/>
    </xf>
    <xf numFmtId="168" fontId="2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8" fillId="0" borderId="0" xfId="0" applyNumberFormat="1" applyFont="1" applyBorder="1" applyAlignment="1">
      <alignment horizontal="left" vertical="top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/>
    </xf>
    <xf numFmtId="0" fontId="74" fillId="0" borderId="10" xfId="44" applyBorder="1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49" fontId="29" fillId="0" borderId="10" xfId="0" applyNumberFormat="1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166" fontId="1" fillId="0" borderId="10" xfId="0" applyNumberFormat="1" applyFont="1" applyFill="1" applyBorder="1" applyAlignment="1">
      <alignment horizontal="center"/>
    </xf>
    <xf numFmtId="0" fontId="15" fillId="0" borderId="0" xfId="61">
      <alignment/>
      <protection/>
    </xf>
    <xf numFmtId="3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0" fontId="4" fillId="0" borderId="0" xfId="0" applyNumberFormat="1" applyFont="1" applyFill="1" applyBorder="1" applyAlignment="1">
      <alignment vertical="top"/>
    </xf>
    <xf numFmtId="49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wrapText="1" indent="2"/>
    </xf>
    <xf numFmtId="0" fontId="22" fillId="0" borderId="10" xfId="0" applyFont="1" applyBorder="1" applyAlignment="1">
      <alignment horizontal="left" wrapText="1" indent="3"/>
    </xf>
    <xf numFmtId="49" fontId="22" fillId="0" borderId="1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wrapText="1" indent="2"/>
    </xf>
    <xf numFmtId="49" fontId="22" fillId="0" borderId="10" xfId="0" applyNumberFormat="1" applyFont="1" applyBorder="1" applyAlignment="1">
      <alignment horizontal="left" wrapText="1" indent="6"/>
    </xf>
    <xf numFmtId="0" fontId="7" fillId="0" borderId="0" xfId="0" applyFont="1" applyAlignment="1">
      <alignment/>
    </xf>
    <xf numFmtId="0" fontId="5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9" fillId="0" borderId="20" xfId="56" applyFont="1" applyBorder="1" applyAlignment="1">
      <alignment/>
      <protection/>
    </xf>
    <xf numFmtId="0" fontId="39" fillId="0" borderId="0" xfId="56" applyFont="1" applyBorder="1" applyAlignment="1">
      <alignment/>
      <protection/>
    </xf>
    <xf numFmtId="1" fontId="39" fillId="0" borderId="0" xfId="56" applyNumberFormat="1" applyFont="1" applyBorder="1" applyAlignment="1">
      <alignment/>
      <protection/>
    </xf>
    <xf numFmtId="1" fontId="39" fillId="0" borderId="0" xfId="56" applyNumberFormat="1" applyFont="1" applyBorder="1" applyAlignment="1">
      <alignment horizontal="center"/>
      <protection/>
    </xf>
    <xf numFmtId="0" fontId="19" fillId="0" borderId="0" xfId="56" applyAlignment="1">
      <alignment horizontal="center"/>
      <protection/>
    </xf>
    <xf numFmtId="0" fontId="19" fillId="0" borderId="0" xfId="56">
      <alignment/>
      <protection/>
    </xf>
    <xf numFmtId="0" fontId="40" fillId="0" borderId="20" xfId="56" applyFont="1" applyBorder="1" applyAlignment="1">
      <alignment horizontal="center"/>
      <protection/>
    </xf>
    <xf numFmtId="0" fontId="40" fillId="0" borderId="0" xfId="56" applyFont="1" applyBorder="1" applyAlignment="1">
      <alignment horizontal="center"/>
      <protection/>
    </xf>
    <xf numFmtId="1" fontId="40" fillId="0" borderId="0" xfId="56" applyNumberFormat="1" applyFont="1" applyBorder="1" applyAlignment="1">
      <alignment horizontal="center"/>
      <protection/>
    </xf>
    <xf numFmtId="0" fontId="40" fillId="0" borderId="21" xfId="56" applyFont="1" applyBorder="1" applyAlignment="1">
      <alignment horizontal="center"/>
      <protection/>
    </xf>
    <xf numFmtId="1" fontId="19" fillId="0" borderId="0" xfId="56" applyNumberFormat="1" applyAlignment="1">
      <alignment horizontal="center"/>
      <protection/>
    </xf>
    <xf numFmtId="0" fontId="23" fillId="5" borderId="10" xfId="56" applyFont="1" applyFill="1" applyBorder="1" applyAlignment="1">
      <alignment horizontal="center"/>
      <protection/>
    </xf>
    <xf numFmtId="1" fontId="23" fillId="5" borderId="10" xfId="56" applyNumberFormat="1" applyFont="1" applyFill="1" applyBorder="1" applyAlignment="1">
      <alignment horizont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1" fontId="1" fillId="0" borderId="10" xfId="56" applyNumberFormat="1" applyFont="1" applyBorder="1" applyAlignment="1">
      <alignment horizontal="center" vertical="center" wrapText="1"/>
      <protection/>
    </xf>
    <xf numFmtId="1" fontId="1" fillId="0" borderId="11" xfId="56" applyNumberFormat="1" applyFont="1" applyFill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38" fillId="0" borderId="10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horizontal="center" vertical="center" wrapText="1"/>
      <protection/>
    </xf>
    <xf numFmtId="1" fontId="38" fillId="0" borderId="10" xfId="56" applyNumberFormat="1" applyFont="1" applyBorder="1" applyAlignment="1">
      <alignment horizontal="center" vertical="center" wrapText="1"/>
      <protection/>
    </xf>
    <xf numFmtId="49" fontId="38" fillId="0" borderId="10" xfId="56" applyNumberFormat="1" applyFont="1" applyBorder="1" applyAlignment="1">
      <alignment horizontal="center" vertical="center" wrapText="1"/>
      <protection/>
    </xf>
    <xf numFmtId="0" fontId="38" fillId="0" borderId="11" xfId="56" applyFont="1" applyBorder="1" applyAlignment="1">
      <alignment horizontal="center" vertical="center" wrapText="1"/>
      <protection/>
    </xf>
    <xf numFmtId="0" fontId="38" fillId="0" borderId="11" xfId="56" applyFont="1" applyFill="1" applyBorder="1" applyAlignment="1">
      <alignment horizontal="center" vertical="center" wrapText="1"/>
      <protection/>
    </xf>
    <xf numFmtId="0" fontId="41" fillId="0" borderId="0" xfId="56" applyFont="1" applyAlignment="1">
      <alignment horizontal="center"/>
      <protection/>
    </xf>
    <xf numFmtId="0" fontId="8" fillId="3" borderId="10" xfId="56" applyFont="1" applyFill="1" applyBorder="1" applyAlignment="1">
      <alignment horizontal="center" vertical="center"/>
      <protection/>
    </xf>
    <xf numFmtId="1" fontId="8" fillId="3" borderId="10" xfId="56" applyNumberFormat="1" applyFont="1" applyFill="1" applyBorder="1" applyAlignment="1">
      <alignment horizontal="center" vertical="center"/>
      <protection/>
    </xf>
    <xf numFmtId="3" fontId="8" fillId="3" borderId="10" xfId="56" applyNumberFormat="1" applyFont="1" applyFill="1" applyBorder="1" applyAlignment="1">
      <alignment horizontal="center" vertical="center"/>
      <protection/>
    </xf>
    <xf numFmtId="3" fontId="26" fillId="3" borderId="10" xfId="56" applyNumberFormat="1" applyFont="1" applyFill="1" applyBorder="1" applyAlignment="1">
      <alignment horizontal="center" vertical="center" wrapText="1"/>
      <protection/>
    </xf>
    <xf numFmtId="3" fontId="8" fillId="3" borderId="11" xfId="0" applyNumberFormat="1" applyFont="1" applyFill="1" applyBorder="1" applyAlignment="1">
      <alignment horizontal="center" vertical="center"/>
    </xf>
    <xf numFmtId="0" fontId="42" fillId="0" borderId="0" xfId="56" applyFont="1">
      <alignment/>
      <protection/>
    </xf>
    <xf numFmtId="0" fontId="1" fillId="24" borderId="10" xfId="56" applyFont="1" applyFill="1" applyBorder="1" applyAlignment="1">
      <alignment horizontal="center" vertical="center"/>
      <protection/>
    </xf>
    <xf numFmtId="0" fontId="1" fillId="24" borderId="10" xfId="56" applyFont="1" applyFill="1" applyBorder="1" applyAlignment="1">
      <alignment horizontal="justify" vertical="center" wrapText="1"/>
      <protection/>
    </xf>
    <xf numFmtId="0" fontId="1" fillId="25" borderId="10" xfId="56" applyFont="1" applyFill="1" applyBorder="1" applyAlignment="1">
      <alignment horizontal="justify" vertical="center" wrapText="1"/>
      <protection/>
    </xf>
    <xf numFmtId="0" fontId="24" fillId="0" borderId="10" xfId="56" applyFont="1" applyBorder="1" applyAlignment="1">
      <alignment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173" fontId="1" fillId="24" borderId="10" xfId="56" applyNumberFormat="1" applyFont="1" applyFill="1" applyBorder="1" applyAlignment="1">
      <alignment horizontal="center" vertical="center"/>
      <protection/>
    </xf>
    <xf numFmtId="3" fontId="1" fillId="24" borderId="10" xfId="56" applyNumberFormat="1" applyFont="1" applyFill="1" applyBorder="1" applyAlignment="1">
      <alignment horizontal="center" vertical="center"/>
      <protection/>
    </xf>
    <xf numFmtId="10" fontId="1" fillId="24" borderId="10" xfId="56" applyNumberFormat="1" applyFont="1" applyFill="1" applyBorder="1" applyAlignment="1">
      <alignment horizontal="center" vertical="center"/>
      <protection/>
    </xf>
    <xf numFmtId="3" fontId="24" fillId="24" borderId="10" xfId="56" applyNumberFormat="1" applyFont="1" applyFill="1" applyBorder="1" applyAlignment="1">
      <alignment horizontal="center" vertical="center"/>
      <protection/>
    </xf>
    <xf numFmtId="10" fontId="19" fillId="0" borderId="10" xfId="56" applyNumberFormat="1" applyBorder="1">
      <alignment/>
      <protection/>
    </xf>
    <xf numFmtId="1" fontId="19" fillId="0" borderId="10" xfId="56" applyNumberFormat="1" applyBorder="1" applyAlignment="1">
      <alignment horizontal="center"/>
      <protection/>
    </xf>
    <xf numFmtId="0" fontId="19" fillId="0" borderId="10" xfId="56" applyBorder="1">
      <alignment/>
      <protection/>
    </xf>
    <xf numFmtId="0" fontId="0" fillId="0" borderId="11" xfId="0" applyBorder="1" applyAlignment="1">
      <alignment/>
    </xf>
    <xf numFmtId="3" fontId="43" fillId="0" borderId="10" xfId="56" applyNumberFormat="1" applyFont="1" applyBorder="1" applyAlignment="1">
      <alignment horizontal="center"/>
      <protection/>
    </xf>
    <xf numFmtId="0" fontId="24" fillId="24" borderId="10" xfId="56" applyFont="1" applyFill="1" applyBorder="1" applyAlignment="1">
      <alignment horizontal="justify" vertical="center" wrapText="1"/>
      <protection/>
    </xf>
    <xf numFmtId="0" fontId="24" fillId="25" borderId="10" xfId="56" applyFont="1" applyFill="1" applyBorder="1" applyAlignment="1">
      <alignment horizontal="justify" vertical="center" wrapText="1"/>
      <protection/>
    </xf>
    <xf numFmtId="0" fontId="24" fillId="24" borderId="10" xfId="56" applyFont="1" applyFill="1" applyBorder="1" applyAlignment="1">
      <alignment horizontal="center" vertical="center"/>
      <protection/>
    </xf>
    <xf numFmtId="10" fontId="8" fillId="3" borderId="10" xfId="56" applyNumberFormat="1" applyFont="1" applyFill="1" applyBorder="1" applyAlignment="1">
      <alignment horizontal="center" vertical="center"/>
      <protection/>
    </xf>
    <xf numFmtId="10" fontId="26" fillId="3" borderId="10" xfId="56" applyNumberFormat="1" applyFont="1" applyFill="1" applyBorder="1" applyAlignment="1">
      <alignment horizontal="center" vertical="center" wrapText="1"/>
      <protection/>
    </xf>
    <xf numFmtId="0" fontId="24" fillId="24" borderId="10" xfId="56" applyFont="1" applyFill="1" applyBorder="1" applyAlignment="1">
      <alignment horizontal="left" vertical="center" wrapText="1"/>
      <protection/>
    </xf>
    <xf numFmtId="0" fontId="19" fillId="0" borderId="10" xfId="56" applyFont="1" applyBorder="1">
      <alignment/>
      <protection/>
    </xf>
    <xf numFmtId="0" fontId="19" fillId="0" borderId="11" xfId="0" applyFont="1" applyBorder="1" applyAlignment="1">
      <alignment/>
    </xf>
    <xf numFmtId="0" fontId="19" fillId="0" borderId="0" xfId="56" applyFont="1">
      <alignment/>
      <protection/>
    </xf>
    <xf numFmtId="0" fontId="19" fillId="24" borderId="10" xfId="56" applyFont="1" applyFill="1" applyBorder="1">
      <alignment/>
      <protection/>
    </xf>
    <xf numFmtId="0" fontId="19" fillId="24" borderId="11" xfId="0" applyFont="1" applyFill="1" applyBorder="1" applyAlignment="1">
      <alignment/>
    </xf>
    <xf numFmtId="0" fontId="19" fillId="24" borderId="0" xfId="56" applyFont="1" applyFill="1">
      <alignment/>
      <protection/>
    </xf>
    <xf numFmtId="0" fontId="42" fillId="24" borderId="0" xfId="56" applyFont="1" applyFill="1">
      <alignment/>
      <protection/>
    </xf>
    <xf numFmtId="0" fontId="26" fillId="3" borderId="10" xfId="56" applyFont="1" applyFill="1" applyBorder="1" applyAlignment="1">
      <alignment horizontal="center" vertical="center" wrapText="1"/>
      <protection/>
    </xf>
    <xf numFmtId="0" fontId="24" fillId="24" borderId="10" xfId="56" applyFont="1" applyFill="1" applyBorder="1" applyAlignment="1">
      <alignment horizontal="center" vertical="center" wrapText="1"/>
      <protection/>
    </xf>
    <xf numFmtId="0" fontId="0" fillId="24" borderId="11" xfId="0" applyFill="1" applyBorder="1" applyAlignment="1">
      <alignment/>
    </xf>
    <xf numFmtId="0" fontId="19" fillId="24" borderId="0" xfId="56" applyFill="1">
      <alignment/>
      <protection/>
    </xf>
    <xf numFmtId="0" fontId="19" fillId="24" borderId="10" xfId="56" applyFill="1" applyBorder="1">
      <alignment/>
      <protection/>
    </xf>
    <xf numFmtId="0" fontId="26" fillId="3" borderId="13" xfId="56" applyFont="1" applyFill="1" applyBorder="1" applyAlignment="1">
      <alignment horizontal="center" vertical="center" wrapText="1"/>
      <protection/>
    </xf>
    <xf numFmtId="0" fontId="26" fillId="3" borderId="12" xfId="56" applyFont="1" applyFill="1" applyBorder="1" applyAlignment="1">
      <alignment horizontal="center" vertical="center" wrapText="1"/>
      <protection/>
    </xf>
    <xf numFmtId="1" fontId="26" fillId="3" borderId="12" xfId="56" applyNumberFormat="1" applyFont="1" applyFill="1" applyBorder="1" applyAlignment="1">
      <alignment horizontal="center" vertical="center" wrapText="1"/>
      <protection/>
    </xf>
    <xf numFmtId="4" fontId="1" fillId="24" borderId="10" xfId="56" applyNumberFormat="1" applyFont="1" applyFill="1" applyBorder="1" applyAlignment="1">
      <alignment horizontal="center" vertical="center"/>
      <protection/>
    </xf>
    <xf numFmtId="0" fontId="42" fillId="24" borderId="12" xfId="56" applyFont="1" applyFill="1" applyBorder="1">
      <alignment/>
      <protection/>
    </xf>
    <xf numFmtId="0" fontId="42" fillId="24" borderId="11" xfId="0" applyFont="1" applyFill="1" applyBorder="1" applyAlignment="1">
      <alignment/>
    </xf>
    <xf numFmtId="0" fontId="42" fillId="24" borderId="10" xfId="56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1" fillId="24" borderId="10" xfId="56" applyFont="1" applyFill="1" applyBorder="1" applyAlignment="1">
      <alignment vertical="center"/>
      <protection/>
    </xf>
    <xf numFmtId="0" fontId="1" fillId="24" borderId="10" xfId="56" applyFont="1" applyFill="1" applyBorder="1" applyAlignment="1">
      <alignment horizontal="center" vertical="center" wrapText="1"/>
      <protection/>
    </xf>
    <xf numFmtId="1" fontId="1" fillId="24" borderId="10" xfId="56" applyNumberFormat="1" applyFont="1" applyFill="1" applyBorder="1" applyAlignment="1">
      <alignment horizontal="center" vertical="center"/>
      <protection/>
    </xf>
    <xf numFmtId="0" fontId="19" fillId="24" borderId="10" xfId="56" applyFill="1" applyBorder="1" applyAlignment="1">
      <alignment horizontal="center"/>
      <protection/>
    </xf>
    <xf numFmtId="3" fontId="26" fillId="3" borderId="11" xfId="0" applyNumberFormat="1" applyFont="1" applyFill="1" applyBorder="1" applyAlignment="1">
      <alignment horizontal="center" vertical="center" wrapText="1"/>
    </xf>
    <xf numFmtId="1" fontId="19" fillId="0" borderId="0" xfId="56" applyNumberFormat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wrapText="1"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1" fontId="4" fillId="0" borderId="0" xfId="56" applyNumberFormat="1" applyFont="1">
      <alignment/>
      <protection/>
    </xf>
    <xf numFmtId="0" fontId="44" fillId="0" borderId="0" xfId="56" applyFont="1">
      <alignment/>
      <protection/>
    </xf>
    <xf numFmtId="1" fontId="44" fillId="0" borderId="0" xfId="56" applyNumberFormat="1" applyFont="1" applyAlignment="1">
      <alignment horizontal="center"/>
      <protection/>
    </xf>
    <xf numFmtId="0" fontId="44" fillId="0" borderId="0" xfId="56" applyFont="1" applyAlignment="1">
      <alignment horizontal="center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wrapText="1"/>
      <protection/>
    </xf>
    <xf numFmtId="0" fontId="1" fillId="0" borderId="0" xfId="56" applyFont="1" applyBorder="1">
      <alignment/>
      <protection/>
    </xf>
    <xf numFmtId="3" fontId="1" fillId="0" borderId="0" xfId="56" applyNumberFormat="1" applyFont="1">
      <alignment/>
      <protection/>
    </xf>
    <xf numFmtId="0" fontId="1" fillId="0" borderId="0" xfId="56" applyFont="1">
      <alignment/>
      <protection/>
    </xf>
    <xf numFmtId="1" fontId="1" fillId="0" borderId="0" xfId="56" applyNumberFormat="1" applyFont="1">
      <alignment/>
      <protection/>
    </xf>
    <xf numFmtId="0" fontId="47" fillId="0" borderId="0" xfId="0" applyFont="1" applyAlignment="1">
      <alignment/>
    </xf>
    <xf numFmtId="164" fontId="61" fillId="0" borderId="14" xfId="0" applyNumberFormat="1" applyFont="1" applyBorder="1" applyAlignment="1">
      <alignment horizontal="center"/>
    </xf>
    <xf numFmtId="164" fontId="61" fillId="0" borderId="10" xfId="0" applyNumberFormat="1" applyFont="1" applyBorder="1" applyAlignment="1">
      <alignment horizontal="center"/>
    </xf>
    <xf numFmtId="164" fontId="62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63" fillId="0" borderId="10" xfId="0" applyNumberFormat="1" applyFont="1" applyBorder="1" applyAlignment="1">
      <alignment horizontal="center"/>
    </xf>
    <xf numFmtId="0" fontId="22" fillId="0" borderId="0" xfId="0" applyNumberFormat="1" applyFont="1" applyAlignment="1">
      <alignment/>
    </xf>
    <xf numFmtId="164" fontId="64" fillId="0" borderId="10" xfId="0" applyNumberFormat="1" applyFont="1" applyBorder="1" applyAlignment="1">
      <alignment horizontal="center"/>
    </xf>
    <xf numFmtId="3" fontId="64" fillId="0" borderId="10" xfId="0" applyNumberFormat="1" applyFont="1" applyBorder="1" applyAlignment="1">
      <alignment horizontal="center"/>
    </xf>
    <xf numFmtId="0" fontId="37" fillId="20" borderId="0" xfId="0" applyFont="1" applyFill="1" applyAlignment="1">
      <alignment horizontal="center"/>
    </xf>
    <xf numFmtId="49" fontId="8" fillId="20" borderId="10" xfId="0" applyNumberFormat="1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left" wrapText="1"/>
    </xf>
    <xf numFmtId="164" fontId="8" fillId="20" borderId="10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0" fontId="60" fillId="20" borderId="0" xfId="0" applyFont="1" applyFill="1" applyBorder="1" applyAlignment="1">
      <alignment horizontal="center"/>
    </xf>
    <xf numFmtId="0" fontId="26" fillId="20" borderId="10" xfId="0" applyFont="1" applyFill="1" applyBorder="1" applyAlignment="1">
      <alignment vertical="center" wrapText="1"/>
    </xf>
    <xf numFmtId="164" fontId="26" fillId="20" borderId="10" xfId="0" applyNumberFormat="1" applyFont="1" applyFill="1" applyBorder="1" applyAlignment="1">
      <alignment horizontal="center"/>
    </xf>
    <xf numFmtId="164" fontId="24" fillId="20" borderId="10" xfId="0" applyNumberFormat="1" applyFont="1" applyFill="1" applyBorder="1" applyAlignment="1">
      <alignment horizontal="center"/>
    </xf>
    <xf numFmtId="0" fontId="60" fillId="20" borderId="0" xfId="0" applyFont="1" applyFill="1" applyAlignment="1">
      <alignment horizontal="center"/>
    </xf>
    <xf numFmtId="0" fontId="8" fillId="20" borderId="13" xfId="0" applyFont="1" applyFill="1" applyBorder="1" applyAlignment="1">
      <alignment vertical="center" wrapText="1"/>
    </xf>
    <xf numFmtId="164" fontId="1" fillId="20" borderId="10" xfId="0" applyNumberFormat="1" applyFont="1" applyFill="1" applyBorder="1" applyAlignment="1">
      <alignment horizontal="center"/>
    </xf>
    <xf numFmtId="0" fontId="15" fillId="0" borderId="0" xfId="57">
      <alignment/>
      <protection/>
    </xf>
    <xf numFmtId="0" fontId="50" fillId="24" borderId="0" xfId="57" applyFont="1" applyFill="1">
      <alignment/>
      <protection/>
    </xf>
    <xf numFmtId="0" fontId="49" fillId="24" borderId="0" xfId="57" applyFont="1" applyFill="1" applyBorder="1">
      <alignment/>
      <protection/>
    </xf>
    <xf numFmtId="0" fontId="15" fillId="24" borderId="0" xfId="57" applyFill="1" applyBorder="1">
      <alignment/>
      <protection/>
    </xf>
    <xf numFmtId="0" fontId="51" fillId="0" borderId="0" xfId="57" applyFont="1">
      <alignment/>
      <protection/>
    </xf>
    <xf numFmtId="0" fontId="16" fillId="0" borderId="0" xfId="57" applyFont="1">
      <alignment/>
      <protection/>
    </xf>
    <xf numFmtId="0" fontId="16" fillId="24" borderId="0" xfId="57" applyFont="1" applyFill="1" applyBorder="1">
      <alignment/>
      <protection/>
    </xf>
    <xf numFmtId="0" fontId="52" fillId="0" borderId="0" xfId="57" applyFont="1" applyAlignment="1">
      <alignment horizontal="left"/>
      <protection/>
    </xf>
    <xf numFmtId="0" fontId="6" fillId="24" borderId="0" xfId="57" applyFont="1" applyFill="1" applyBorder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8" fillId="24" borderId="0" xfId="57" applyFont="1" applyFill="1" applyBorder="1" applyAlignment="1">
      <alignment horizontal="center" vertical="top"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53" fillId="0" borderId="0" xfId="57" applyFont="1" applyFill="1" applyBorder="1" applyAlignment="1">
      <alignment horizontal="left"/>
      <protection/>
    </xf>
    <xf numFmtId="0" fontId="15" fillId="0" borderId="0" xfId="57" applyFill="1">
      <alignment/>
      <protection/>
    </xf>
    <xf numFmtId="0" fontId="51" fillId="0" borderId="22" xfId="57" applyFont="1" applyFill="1" applyBorder="1">
      <alignment/>
      <protection/>
    </xf>
    <xf numFmtId="0" fontId="51" fillId="0" borderId="23" xfId="57" applyFont="1" applyFill="1" applyBorder="1">
      <alignment/>
      <protection/>
    </xf>
    <xf numFmtId="0" fontId="15" fillId="0" borderId="24" xfId="57" applyFont="1" applyFill="1" applyBorder="1">
      <alignment/>
      <protection/>
    </xf>
    <xf numFmtId="0" fontId="51" fillId="0" borderId="25" xfId="57" applyFont="1" applyFill="1" applyBorder="1" applyAlignment="1">
      <alignment horizontal="center"/>
      <protection/>
    </xf>
    <xf numFmtId="0" fontId="51" fillId="0" borderId="26" xfId="57" applyFont="1" applyFill="1" applyBorder="1" applyAlignment="1">
      <alignment horizontal="center"/>
      <protection/>
    </xf>
    <xf numFmtId="0" fontId="18" fillId="0" borderId="27" xfId="57" applyFont="1" applyFill="1" applyBorder="1" applyAlignment="1">
      <alignment horizontal="center"/>
      <protection/>
    </xf>
    <xf numFmtId="0" fontId="17" fillId="0" borderId="27" xfId="57" applyFont="1" applyFill="1" applyBorder="1" applyAlignment="1">
      <alignment horizontal="center"/>
      <protection/>
    </xf>
    <xf numFmtId="0" fontId="17" fillId="0" borderId="28" xfId="57" applyFont="1" applyFill="1" applyBorder="1" applyAlignment="1">
      <alignment horizontal="center"/>
      <protection/>
    </xf>
    <xf numFmtId="0" fontId="18" fillId="0" borderId="29" xfId="57" applyFont="1" applyFill="1" applyBorder="1" applyAlignment="1">
      <alignment horizontal="center"/>
      <protection/>
    </xf>
    <xf numFmtId="0" fontId="18" fillId="0" borderId="30" xfId="57" applyFont="1" applyFill="1" applyBorder="1" applyAlignment="1">
      <alignment horizontal="center"/>
      <protection/>
    </xf>
    <xf numFmtId="0" fontId="17" fillId="0" borderId="30" xfId="57" applyFont="1" applyFill="1" applyBorder="1" applyAlignment="1">
      <alignment horizontal="center"/>
      <protection/>
    </xf>
    <xf numFmtId="0" fontId="17" fillId="0" borderId="31" xfId="57" applyFont="1" applyFill="1" applyBorder="1" applyAlignment="1">
      <alignment horizontal="center"/>
      <protection/>
    </xf>
    <xf numFmtId="0" fontId="17" fillId="0" borderId="29" xfId="57" applyFont="1" applyFill="1" applyBorder="1" applyAlignment="1">
      <alignment horizontal="center"/>
      <protection/>
    </xf>
    <xf numFmtId="0" fontId="17" fillId="0" borderId="32" xfId="57" applyFont="1" applyFill="1" applyBorder="1" applyAlignment="1">
      <alignment horizontal="center"/>
      <protection/>
    </xf>
    <xf numFmtId="0" fontId="15" fillId="0" borderId="0" xfId="57" applyAlignment="1">
      <alignment horizontal="center"/>
      <protection/>
    </xf>
    <xf numFmtId="0" fontId="15" fillId="24" borderId="0" xfId="57" applyFill="1" applyBorder="1" applyAlignment="1">
      <alignment horizontal="center"/>
      <protection/>
    </xf>
    <xf numFmtId="0" fontId="18" fillId="24" borderId="0" xfId="57" applyFont="1" applyFill="1" applyBorder="1">
      <alignment/>
      <protection/>
    </xf>
    <xf numFmtId="0" fontId="18" fillId="0" borderId="33" xfId="57" applyFont="1" applyFill="1" applyBorder="1" applyAlignment="1">
      <alignment horizontal="center"/>
      <protection/>
    </xf>
    <xf numFmtId="0" fontId="17" fillId="0" borderId="33" xfId="57" applyFont="1" applyFill="1" applyBorder="1" applyAlignment="1">
      <alignment horizontal="center"/>
      <protection/>
    </xf>
    <xf numFmtId="0" fontId="17" fillId="0" borderId="34" xfId="57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164" fontId="8" fillId="0" borderId="11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4" fontId="8" fillId="20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4" fillId="0" borderId="10" xfId="0" applyFont="1" applyFill="1" applyBorder="1" applyAlignment="1">
      <alignment horizontal="left" wrapText="1" indent="1"/>
    </xf>
    <xf numFmtId="49" fontId="2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164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" fillId="0" borderId="0" xfId="56" applyFont="1" applyAlignment="1">
      <alignment/>
      <protection/>
    </xf>
    <xf numFmtId="0" fontId="19" fillId="0" borderId="0" xfId="56" applyAlignment="1">
      <alignment horizontal="center" vertical="center"/>
      <protection/>
    </xf>
    <xf numFmtId="0" fontId="54" fillId="0" borderId="0" xfId="56" applyFont="1" applyAlignment="1">
      <alignment horizontal="center" wrapText="1"/>
      <protection/>
    </xf>
    <xf numFmtId="0" fontId="19" fillId="0" borderId="0" xfId="56" applyBorder="1">
      <alignment/>
      <protection/>
    </xf>
    <xf numFmtId="49" fontId="4" fillId="0" borderId="0" xfId="0" applyNumberFormat="1" applyFont="1" applyBorder="1" applyAlignment="1">
      <alignment vertical="top" wrapText="1"/>
    </xf>
    <xf numFmtId="0" fontId="19" fillId="0" borderId="10" xfId="56" applyBorder="1" applyAlignment="1">
      <alignment horizontal="center" vertical="center" wrapText="1"/>
      <protection/>
    </xf>
    <xf numFmtId="0" fontId="19" fillId="0" borderId="10" xfId="56" applyBorder="1" applyAlignment="1">
      <alignment horizontal="center" vertical="center"/>
      <protection/>
    </xf>
    <xf numFmtId="0" fontId="19" fillId="0" borderId="10" xfId="56" applyBorder="1" applyAlignment="1">
      <alignment wrapText="1"/>
      <protection/>
    </xf>
    <xf numFmtId="49" fontId="4" fillId="0" borderId="10" xfId="0" applyNumberFormat="1" applyFont="1" applyBorder="1" applyAlignment="1">
      <alignment vertical="top" wrapText="1"/>
    </xf>
    <xf numFmtId="0" fontId="19" fillId="0" borderId="10" xfId="56" applyBorder="1" applyAlignment="1">
      <alignment horizontal="center"/>
      <protection/>
    </xf>
    <xf numFmtId="0" fontId="4" fillId="0" borderId="0" xfId="0" applyNumberFormat="1" applyFont="1" applyBorder="1" applyAlignment="1">
      <alignment horizontal="center" vertical="top" wrapText="1"/>
    </xf>
    <xf numFmtId="0" fontId="19" fillId="0" borderId="0" xfId="56" applyBorder="1" applyAlignment="1">
      <alignment horizontal="center"/>
      <protection/>
    </xf>
    <xf numFmtId="49" fontId="19" fillId="0" borderId="0" xfId="56" applyNumberFormat="1" applyBorder="1" applyAlignment="1">
      <alignment horizontal="center"/>
      <protection/>
    </xf>
    <xf numFmtId="0" fontId="19" fillId="0" borderId="0" xfId="56" applyBorder="1" applyAlignment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vertical="top" wrapText="1"/>
    </xf>
    <xf numFmtId="0" fontId="66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0" fontId="56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vertical="top" wrapText="1"/>
    </xf>
    <xf numFmtId="0" fontId="25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13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right" vertical="top"/>
    </xf>
    <xf numFmtId="0" fontId="67" fillId="24" borderId="0" xfId="57" applyFont="1" applyFill="1" applyBorder="1">
      <alignment/>
      <protection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171" fontId="24" fillId="0" borderId="10" xfId="0" applyNumberFormat="1" applyFont="1" applyBorder="1" applyAlignment="1">
      <alignment horizontal="center"/>
    </xf>
    <xf numFmtId="171" fontId="26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64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24" borderId="0" xfId="0" applyFill="1" applyAlignment="1">
      <alignment/>
    </xf>
    <xf numFmtId="16" fontId="70" fillId="17" borderId="0" xfId="0" applyNumberFormat="1" applyFont="1" applyFill="1" applyAlignment="1">
      <alignment horizontal="center"/>
    </xf>
    <xf numFmtId="0" fontId="89" fillId="0" borderId="0" xfId="57" applyFont="1">
      <alignment/>
      <protection/>
    </xf>
    <xf numFmtId="0" fontId="48" fillId="0" borderId="0" xfId="0" applyFont="1" applyAlignment="1">
      <alignment/>
    </xf>
    <xf numFmtId="0" fontId="90" fillId="0" borderId="0" xfId="0" applyFont="1" applyAlignment="1">
      <alignment horizontal="left"/>
    </xf>
    <xf numFmtId="0" fontId="91" fillId="0" borderId="0" xfId="0" applyFont="1" applyAlignment="1">
      <alignment horizontal="right"/>
    </xf>
    <xf numFmtId="0" fontId="91" fillId="0" borderId="0" xfId="0" applyFont="1" applyAlignment="1">
      <alignment horizontal="left"/>
    </xf>
    <xf numFmtId="0" fontId="15" fillId="0" borderId="0" xfId="60">
      <alignment/>
      <protection/>
    </xf>
    <xf numFmtId="0" fontId="18" fillId="0" borderId="37" xfId="57" applyFont="1" applyFill="1" applyBorder="1" applyAlignment="1">
      <alignment horizontal="center"/>
      <protection/>
    </xf>
    <xf numFmtId="0" fontId="17" fillId="0" borderId="37" xfId="57" applyFont="1" applyFill="1" applyBorder="1" applyAlignment="1">
      <alignment horizontal="center"/>
      <protection/>
    </xf>
    <xf numFmtId="0" fontId="17" fillId="0" borderId="38" xfId="57" applyFont="1" applyFill="1" applyBorder="1" applyAlignment="1">
      <alignment horizontal="center"/>
      <protection/>
    </xf>
    <xf numFmtId="0" fontId="17" fillId="0" borderId="39" xfId="61" applyFont="1" applyFill="1" applyBorder="1">
      <alignment/>
      <protection/>
    </xf>
    <xf numFmtId="0" fontId="15" fillId="0" borderId="40" xfId="61" applyFill="1" applyBorder="1">
      <alignment/>
      <protection/>
    </xf>
    <xf numFmtId="0" fontId="15" fillId="0" borderId="41" xfId="61" applyFill="1" applyBorder="1">
      <alignment/>
      <protection/>
    </xf>
    <xf numFmtId="0" fontId="18" fillId="25" borderId="22" xfId="61" applyFont="1" applyFill="1" applyBorder="1">
      <alignment/>
      <protection/>
    </xf>
    <xf numFmtId="0" fontId="92" fillId="25" borderId="25" xfId="61" applyFont="1" applyFill="1" applyBorder="1">
      <alignment/>
      <protection/>
    </xf>
    <xf numFmtId="0" fontId="18" fillId="25" borderId="23" xfId="61" applyFont="1" applyFill="1" applyBorder="1">
      <alignment/>
      <protection/>
    </xf>
    <xf numFmtId="0" fontId="15" fillId="0" borderId="42" xfId="61" applyFill="1" applyBorder="1">
      <alignment/>
      <protection/>
    </xf>
    <xf numFmtId="0" fontId="18" fillId="0" borderId="31" xfId="61" applyFont="1" applyFill="1" applyBorder="1" applyAlignment="1">
      <alignment horizontal="center"/>
      <protection/>
    </xf>
    <xf numFmtId="0" fontId="17" fillId="0" borderId="30" xfId="61" applyFont="1" applyFill="1" applyBorder="1" applyAlignment="1">
      <alignment horizontal="center"/>
      <protection/>
    </xf>
    <xf numFmtId="0" fontId="17" fillId="0" borderId="31" xfId="61" applyFont="1" applyFill="1" applyBorder="1" applyAlignment="1">
      <alignment horizontal="center"/>
      <protection/>
    </xf>
    <xf numFmtId="0" fontId="15" fillId="0" borderId="0" xfId="60" applyFont="1" applyFill="1">
      <alignment/>
      <protection/>
    </xf>
    <xf numFmtId="0" fontId="17" fillId="25" borderId="22" xfId="57" applyFont="1" applyFill="1" applyBorder="1" applyAlignment="1">
      <alignment horizontal="center"/>
      <protection/>
    </xf>
    <xf numFmtId="0" fontId="92" fillId="25" borderId="24" xfId="61" applyFont="1" applyFill="1" applyBorder="1" applyAlignment="1">
      <alignment horizontal="left"/>
      <protection/>
    </xf>
    <xf numFmtId="0" fontId="88" fillId="22" borderId="35" xfId="73" applyFont="1" applyFill="1" applyBorder="1">
      <alignment/>
      <protection/>
    </xf>
    <xf numFmtId="164" fontId="93" fillId="0" borderId="10" xfId="0" applyNumberFormat="1" applyFont="1" applyBorder="1" applyAlignment="1">
      <alignment horizontal="center"/>
    </xf>
    <xf numFmtId="164" fontId="93" fillId="0" borderId="10" xfId="0" applyNumberFormat="1" applyFont="1" applyFill="1" applyBorder="1" applyAlignment="1">
      <alignment horizontal="center"/>
    </xf>
    <xf numFmtId="164" fontId="94" fillId="0" borderId="14" xfId="0" applyNumberFormat="1" applyFont="1" applyBorder="1" applyAlignment="1">
      <alignment/>
    </xf>
    <xf numFmtId="164" fontId="94" fillId="0" borderId="14" xfId="0" applyNumberFormat="1" applyFont="1" applyFill="1" applyBorder="1" applyAlignment="1">
      <alignment/>
    </xf>
    <xf numFmtId="164" fontId="94" fillId="0" borderId="15" xfId="0" applyNumberFormat="1" applyFont="1" applyBorder="1" applyAlignment="1">
      <alignment/>
    </xf>
    <xf numFmtId="164" fontId="94" fillId="0" borderId="15" xfId="0" applyNumberFormat="1" applyFont="1" applyFill="1" applyBorder="1" applyAlignment="1">
      <alignment/>
    </xf>
    <xf numFmtId="164" fontId="94" fillId="0" borderId="10" xfId="0" applyNumberFormat="1" applyFont="1" applyBorder="1" applyAlignment="1">
      <alignment horizontal="center"/>
    </xf>
    <xf numFmtId="164" fontId="94" fillId="0" borderId="10" xfId="0" applyNumberFormat="1" applyFont="1" applyFill="1" applyBorder="1" applyAlignment="1">
      <alignment horizontal="center"/>
    </xf>
    <xf numFmtId="164" fontId="94" fillId="0" borderId="14" xfId="0" applyNumberFormat="1" applyFont="1" applyBorder="1" applyAlignment="1">
      <alignment horizontal="center"/>
    </xf>
    <xf numFmtId="164" fontId="94" fillId="0" borderId="14" xfId="0" applyNumberFormat="1" applyFont="1" applyFill="1" applyBorder="1" applyAlignment="1">
      <alignment horizontal="center"/>
    </xf>
    <xf numFmtId="164" fontId="94" fillId="0" borderId="15" xfId="0" applyNumberFormat="1" applyFont="1" applyFill="1" applyBorder="1" applyAlignment="1">
      <alignment horizontal="center"/>
    </xf>
    <xf numFmtId="165" fontId="94" fillId="0" borderId="10" xfId="0" applyNumberFormat="1" applyFont="1" applyFill="1" applyBorder="1" applyAlignment="1">
      <alignment horizontal="center"/>
    </xf>
    <xf numFmtId="164" fontId="93" fillId="2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94" fillId="20" borderId="10" xfId="0" applyNumberFormat="1" applyFont="1" applyFill="1" applyBorder="1" applyAlignment="1">
      <alignment horizontal="center"/>
    </xf>
    <xf numFmtId="4" fontId="93" fillId="0" borderId="10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wrapText="1"/>
    </xf>
    <xf numFmtId="0" fontId="24" fillId="0" borderId="15" xfId="0" applyFont="1" applyBorder="1" applyAlignment="1">
      <alignment horizontal="center"/>
    </xf>
    <xf numFmtId="49" fontId="24" fillId="0" borderId="43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left" wrapText="1" indent="1"/>
    </xf>
    <xf numFmtId="0" fontId="24" fillId="0" borderId="43" xfId="0" applyFont="1" applyBorder="1" applyAlignment="1">
      <alignment horizontal="center"/>
    </xf>
    <xf numFmtId="164" fontId="24" fillId="0" borderId="43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vertical="center"/>
    </xf>
    <xf numFmtId="0" fontId="88" fillId="0" borderId="35" xfId="73" applyFont="1" applyFill="1" applyBorder="1">
      <alignment/>
      <protection/>
    </xf>
    <xf numFmtId="16" fontId="70" fillId="0" borderId="0" xfId="0" applyNumberFormat="1" applyFont="1" applyFill="1" applyAlignment="1">
      <alignment horizontal="center"/>
    </xf>
    <xf numFmtId="0" fontId="88" fillId="0" borderId="10" xfId="73" applyFont="1" applyFill="1" applyBorder="1">
      <alignment/>
      <protection/>
    </xf>
    <xf numFmtId="0" fontId="88" fillId="0" borderId="0" xfId="73" applyFont="1" applyFill="1" applyBorder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8" fillId="2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NumberFormat="1" applyFont="1" applyBorder="1" applyAlignment="1">
      <alignment horizontal="justify" vertical="top" wrapText="1"/>
    </xf>
    <xf numFmtId="165" fontId="26" fillId="0" borderId="15" xfId="0" applyNumberFormat="1" applyFont="1" applyBorder="1" applyAlignment="1">
      <alignment horizontal="center"/>
    </xf>
    <xf numFmtId="0" fontId="19" fillId="0" borderId="0" xfId="56" applyFont="1" applyBorder="1" applyAlignment="1">
      <alignment horizontal="left"/>
      <protection/>
    </xf>
    <xf numFmtId="0" fontId="19" fillId="0" borderId="10" xfId="56" applyFont="1" applyBorder="1" applyAlignment="1">
      <alignment wrapText="1"/>
      <protection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3" fillId="0" borderId="13" xfId="0" applyFont="1" applyBorder="1" applyAlignment="1">
      <alignment horizontal="left" wrapText="1"/>
    </xf>
    <xf numFmtId="49" fontId="27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 indent="1"/>
    </xf>
    <xf numFmtId="3" fontId="4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 indent="2"/>
    </xf>
    <xf numFmtId="3" fontId="97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3" fontId="4" fillId="26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wrapText="1" indent="1"/>
    </xf>
    <xf numFmtId="3" fontId="4" fillId="0" borderId="1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98" fillId="0" borderId="10" xfId="0" applyFont="1" applyBorder="1" applyAlignment="1">
      <alignment horizontal="left" wrapText="1" indent="2"/>
    </xf>
    <xf numFmtId="0" fontId="14" fillId="0" borderId="13" xfId="0" applyFont="1" applyBorder="1" applyAlignment="1">
      <alignment horizontal="left" wrapText="1" indent="2"/>
    </xf>
    <xf numFmtId="0" fontId="14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left" wrapText="1" indent="3"/>
    </xf>
    <xf numFmtId="0" fontId="14" fillId="0" borderId="13" xfId="0" applyFont="1" applyBorder="1" applyAlignment="1">
      <alignment horizontal="left" wrapText="1" indent="3"/>
    </xf>
    <xf numFmtId="0" fontId="13" fillId="0" borderId="13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wrapText="1"/>
    </xf>
    <xf numFmtId="3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13" fillId="0" borderId="45" xfId="0" applyFont="1" applyBorder="1" applyAlignment="1">
      <alignment/>
    </xf>
    <xf numFmtId="166" fontId="8" fillId="0" borderId="45" xfId="0" applyNumberFormat="1" applyFont="1" applyBorder="1" applyAlignment="1">
      <alignment/>
    </xf>
    <xf numFmtId="166" fontId="8" fillId="0" borderId="22" xfId="0" applyNumberFormat="1" applyFont="1" applyBorder="1" applyAlignment="1">
      <alignment/>
    </xf>
    <xf numFmtId="166" fontId="8" fillId="0" borderId="25" xfId="0" applyNumberFormat="1" applyFont="1" applyBorder="1" applyAlignment="1">
      <alignment/>
    </xf>
    <xf numFmtId="0" fontId="4" fillId="0" borderId="45" xfId="0" applyFont="1" applyBorder="1" applyAlignment="1">
      <alignment/>
    </xf>
    <xf numFmtId="4" fontId="8" fillId="0" borderId="2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97" fillId="0" borderId="0" xfId="0" applyFont="1" applyAlignment="1">
      <alignment/>
    </xf>
    <xf numFmtId="4" fontId="97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/>
    </xf>
    <xf numFmtId="0" fontId="98" fillId="0" borderId="12" xfId="0" applyFont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0" fontId="98" fillId="0" borderId="12" xfId="0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 inden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1" fontId="1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7" fillId="20" borderId="11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3" fontId="27" fillId="20" borderId="12" xfId="0" applyNumberFormat="1" applyFont="1" applyFill="1" applyBorder="1" applyAlignment="1">
      <alignment horizontal="center"/>
    </xf>
    <xf numFmtId="3" fontId="27" fillId="2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0" fillId="0" borderId="0" xfId="0" applyFont="1" applyAlignment="1">
      <alignment/>
    </xf>
    <xf numFmtId="0" fontId="27" fillId="0" borderId="0" xfId="0" applyFont="1" applyFill="1" applyBorder="1" applyAlignment="1">
      <alignment horizontal="right" wrapText="1"/>
    </xf>
    <xf numFmtId="3" fontId="27" fillId="0" borderId="0" xfId="0" applyNumberFormat="1" applyFont="1" applyAlignment="1">
      <alignment horizontal="center"/>
    </xf>
    <xf numFmtId="165" fontId="1" fillId="0" borderId="0" xfId="78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7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04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7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49" fontId="27" fillId="0" borderId="10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5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 indent="1"/>
    </xf>
    <xf numFmtId="4" fontId="27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0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179" fontId="24" fillId="0" borderId="10" xfId="83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66" fontId="8" fillId="0" borderId="23" xfId="0" applyNumberFormat="1" applyFont="1" applyBorder="1" applyAlignment="1">
      <alignment/>
    </xf>
    <xf numFmtId="4" fontId="13" fillId="0" borderId="45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164" fontId="8" fillId="0" borderId="45" xfId="0" applyNumberFormat="1" applyFont="1" applyBorder="1" applyAlignment="1">
      <alignment/>
    </xf>
    <xf numFmtId="164" fontId="8" fillId="0" borderId="49" xfId="0" applyNumberFormat="1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8" fillId="24" borderId="10" xfId="0" applyNumberFormat="1" applyFont="1" applyFill="1" applyBorder="1" applyAlignment="1">
      <alignment horizontal="center"/>
    </xf>
    <xf numFmtId="166" fontId="1" fillId="24" borderId="10" xfId="0" applyNumberFormat="1" applyFont="1" applyFill="1" applyBorder="1" applyAlignment="1">
      <alignment horizontal="center"/>
    </xf>
    <xf numFmtId="4" fontId="8" fillId="0" borderId="25" xfId="0" applyNumberFormat="1" applyFont="1" applyBorder="1" applyAlignment="1">
      <alignment/>
    </xf>
    <xf numFmtId="165" fontId="4" fillId="0" borderId="10" xfId="0" applyNumberFormat="1" applyFont="1" applyBorder="1" applyAlignment="1">
      <alignment vertical="top"/>
    </xf>
    <xf numFmtId="0" fontId="4" fillId="0" borderId="5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0" fontId="4" fillId="0" borderId="46" xfId="0" applyNumberFormat="1" applyFont="1" applyBorder="1" applyAlignment="1">
      <alignment vertical="top"/>
    </xf>
    <xf numFmtId="0" fontId="4" fillId="0" borderId="5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107" fillId="0" borderId="0" xfId="0" applyFont="1" applyAlignment="1">
      <alignment/>
    </xf>
    <xf numFmtId="0" fontId="15" fillId="0" borderId="0" xfId="57" applyBorder="1">
      <alignment/>
      <protection/>
    </xf>
    <xf numFmtId="0" fontId="15" fillId="24" borderId="0" xfId="57" applyFill="1" applyBorder="1">
      <alignment/>
      <protection/>
    </xf>
    <xf numFmtId="0" fontId="1" fillId="0" borderId="0" xfId="0" applyFont="1" applyFill="1" applyAlignment="1">
      <alignment/>
    </xf>
    <xf numFmtId="0" fontId="39" fillId="0" borderId="20" xfId="70" applyFont="1" applyBorder="1" applyAlignment="1">
      <alignment/>
      <protection/>
    </xf>
    <xf numFmtId="0" fontId="39" fillId="0" borderId="0" xfId="70" applyFont="1" applyBorder="1" applyAlignment="1">
      <alignment/>
      <protection/>
    </xf>
    <xf numFmtId="1" fontId="39" fillId="0" borderId="0" xfId="70" applyNumberFormat="1" applyFont="1" applyBorder="1" applyAlignment="1">
      <alignment/>
      <protection/>
    </xf>
    <xf numFmtId="1" fontId="39" fillId="0" borderId="0" xfId="70" applyNumberFormat="1" applyFont="1" applyBorder="1" applyAlignment="1">
      <alignment horizontal="center"/>
      <protection/>
    </xf>
    <xf numFmtId="0" fontId="19" fillId="0" borderId="0" xfId="70">
      <alignment/>
      <protection/>
    </xf>
    <xf numFmtId="0" fontId="40" fillId="0" borderId="20" xfId="70" applyFont="1" applyBorder="1" applyAlignment="1">
      <alignment horizontal="left"/>
      <protection/>
    </xf>
    <xf numFmtId="0" fontId="40" fillId="0" borderId="0" xfId="70" applyFont="1" applyBorder="1" applyAlignment="1">
      <alignment horizontal="center"/>
      <protection/>
    </xf>
    <xf numFmtId="1" fontId="40" fillId="0" borderId="0" xfId="70" applyNumberFormat="1" applyFont="1" applyBorder="1" applyAlignment="1">
      <alignment horizontal="center"/>
      <protection/>
    </xf>
    <xf numFmtId="0" fontId="40" fillId="0" borderId="21" xfId="70" applyFont="1" applyBorder="1" applyAlignment="1">
      <alignment horizontal="center"/>
      <protection/>
    </xf>
    <xf numFmtId="1" fontId="19" fillId="0" borderId="0" xfId="70" applyNumberFormat="1" applyAlignment="1">
      <alignment horizontal="center"/>
      <protection/>
    </xf>
    <xf numFmtId="0" fontId="23" fillId="5" borderId="10" xfId="70" applyFont="1" applyFill="1" applyBorder="1" applyAlignment="1">
      <alignment horizontal="center"/>
      <protection/>
    </xf>
    <xf numFmtId="1" fontId="23" fillId="5" borderId="10" xfId="70" applyNumberFormat="1" applyFont="1" applyFill="1" applyBorder="1" applyAlignment="1">
      <alignment horizontal="center"/>
      <protection/>
    </xf>
    <xf numFmtId="0" fontId="1" fillId="0" borderId="10" xfId="70" applyFont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1" fontId="8" fillId="0" borderId="10" xfId="70" applyNumberFormat="1" applyFont="1" applyBorder="1" applyAlignment="1">
      <alignment horizontal="center" vertical="center" wrapText="1"/>
      <protection/>
    </xf>
    <xf numFmtId="1" fontId="1" fillId="0" borderId="10" xfId="70" applyNumberFormat="1" applyFont="1" applyBorder="1" applyAlignment="1">
      <alignment horizontal="center" vertical="center" wrapText="1"/>
      <protection/>
    </xf>
    <xf numFmtId="1" fontId="1" fillId="0" borderId="11" xfId="70" applyNumberFormat="1" applyFont="1" applyFill="1" applyBorder="1" applyAlignment="1">
      <alignment horizontal="center" vertical="center" wrapText="1"/>
      <protection/>
    </xf>
    <xf numFmtId="0" fontId="1" fillId="0" borderId="11" xfId="70" applyFont="1" applyBorder="1" applyAlignment="1">
      <alignment horizontal="center" vertical="center" wrapText="1"/>
      <protection/>
    </xf>
    <xf numFmtId="0" fontId="1" fillId="0" borderId="11" xfId="70" applyFont="1" applyFill="1" applyBorder="1" applyAlignment="1">
      <alignment horizontal="center" vertical="center" wrapText="1"/>
      <protection/>
    </xf>
    <xf numFmtId="0" fontId="19" fillId="0" borderId="0" xfId="70" applyAlignment="1">
      <alignment horizontal="center"/>
      <protection/>
    </xf>
    <xf numFmtId="0" fontId="38" fillId="0" borderId="10" xfId="70" applyFont="1" applyBorder="1" applyAlignment="1">
      <alignment horizontal="center" vertical="center"/>
      <protection/>
    </xf>
    <xf numFmtId="0" fontId="38" fillId="0" borderId="10" xfId="70" applyFont="1" applyBorder="1" applyAlignment="1">
      <alignment horizontal="center" vertical="center" wrapText="1"/>
      <protection/>
    </xf>
    <xf numFmtId="1" fontId="38" fillId="0" borderId="10" xfId="70" applyNumberFormat="1" applyFont="1" applyBorder="1" applyAlignment="1">
      <alignment horizontal="center" vertical="center" wrapText="1"/>
      <protection/>
    </xf>
    <xf numFmtId="49" fontId="38" fillId="0" borderId="10" xfId="70" applyNumberFormat="1" applyFont="1" applyBorder="1" applyAlignment="1">
      <alignment horizontal="center" vertical="center" wrapText="1"/>
      <protection/>
    </xf>
    <xf numFmtId="0" fontId="41" fillId="0" borderId="0" xfId="70" applyFont="1" applyAlignment="1">
      <alignment horizontal="center"/>
      <protection/>
    </xf>
    <xf numFmtId="0" fontId="8" fillId="0" borderId="10" xfId="70" applyFont="1" applyFill="1" applyBorder="1" applyAlignment="1">
      <alignment horizontal="center" vertical="center"/>
      <protection/>
    </xf>
    <xf numFmtId="1" fontId="8" fillId="0" borderId="10" xfId="70" applyNumberFormat="1" applyFont="1" applyFill="1" applyBorder="1" applyAlignment="1">
      <alignment horizontal="center" vertical="center"/>
      <protection/>
    </xf>
    <xf numFmtId="3" fontId="8" fillId="0" borderId="10" xfId="70" applyNumberFormat="1" applyFont="1" applyFill="1" applyBorder="1" applyAlignment="1">
      <alignment horizontal="center" vertical="center"/>
      <protection/>
    </xf>
    <xf numFmtId="3" fontId="26" fillId="0" borderId="10" xfId="70" applyNumberFormat="1" applyFont="1" applyFill="1" applyBorder="1" applyAlignment="1">
      <alignment horizontal="center" vertical="center" wrapText="1"/>
      <protection/>
    </xf>
    <xf numFmtId="0" fontId="42" fillId="0" borderId="0" xfId="70" applyFont="1">
      <alignment/>
      <protection/>
    </xf>
    <xf numFmtId="0" fontId="1" fillId="24" borderId="10" xfId="70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justify" vertical="center" wrapText="1"/>
      <protection/>
    </xf>
    <xf numFmtId="0" fontId="1" fillId="25" borderId="10" xfId="70" applyFont="1" applyFill="1" applyBorder="1" applyAlignment="1">
      <alignment horizontal="justify" vertical="center" wrapText="1"/>
      <protection/>
    </xf>
    <xf numFmtId="0" fontId="24" fillId="0" borderId="10" xfId="70" applyFont="1" applyBorder="1" applyAlignment="1">
      <alignment vertical="center" wrapText="1"/>
      <protection/>
    </xf>
    <xf numFmtId="0" fontId="96" fillId="0" borderId="10" xfId="70" applyFont="1" applyBorder="1" applyAlignment="1">
      <alignment horizontal="center" vertical="center" wrapText="1"/>
      <protection/>
    </xf>
    <xf numFmtId="0" fontId="1" fillId="24" borderId="10" xfId="70" applyNumberFormat="1" applyFont="1" applyFill="1" applyBorder="1" applyAlignment="1">
      <alignment horizontal="center" vertical="center"/>
      <protection/>
    </xf>
    <xf numFmtId="3" fontId="96" fillId="0" borderId="10" xfId="70" applyNumberFormat="1" applyFont="1" applyFill="1" applyBorder="1" applyAlignment="1">
      <alignment horizontal="center" vertical="center"/>
      <protection/>
    </xf>
    <xf numFmtId="10" fontId="1" fillId="24" borderId="10" xfId="70" applyNumberFormat="1" applyFont="1" applyFill="1" applyBorder="1" applyAlignment="1">
      <alignment horizontal="center" vertical="center"/>
      <protection/>
    </xf>
    <xf numFmtId="3" fontId="1" fillId="24" borderId="10" xfId="70" applyNumberFormat="1" applyFont="1" applyFill="1" applyBorder="1" applyAlignment="1">
      <alignment horizontal="center" vertical="center"/>
      <protection/>
    </xf>
    <xf numFmtId="3" fontId="24" fillId="24" borderId="10" xfId="70" applyNumberFormat="1" applyFont="1" applyFill="1" applyBorder="1" applyAlignment="1">
      <alignment horizontal="center" vertical="center"/>
      <protection/>
    </xf>
    <xf numFmtId="0" fontId="24" fillId="0" borderId="10" xfId="70" applyFont="1" applyFill="1" applyBorder="1" applyAlignment="1">
      <alignment vertical="center" wrapText="1"/>
      <protection/>
    </xf>
    <xf numFmtId="0" fontId="1" fillId="0" borderId="10" xfId="70" applyFont="1" applyFill="1" applyBorder="1" applyAlignment="1">
      <alignment horizontal="left" vertical="center" wrapText="1"/>
      <protection/>
    </xf>
    <xf numFmtId="3" fontId="96" fillId="24" borderId="10" xfId="70" applyNumberFormat="1" applyFont="1" applyFill="1" applyBorder="1" applyAlignment="1">
      <alignment horizontal="center" vertical="center"/>
      <protection/>
    </xf>
    <xf numFmtId="0" fontId="8" fillId="3" borderId="10" xfId="70" applyFont="1" applyFill="1" applyBorder="1" applyAlignment="1">
      <alignment horizontal="center" vertical="center"/>
      <protection/>
    </xf>
    <xf numFmtId="3" fontId="8" fillId="3" borderId="10" xfId="70" applyNumberFormat="1" applyFont="1" applyFill="1" applyBorder="1" applyAlignment="1">
      <alignment horizontal="center" vertical="center"/>
      <protection/>
    </xf>
    <xf numFmtId="10" fontId="8" fillId="3" borderId="10" xfId="70" applyNumberFormat="1" applyFont="1" applyFill="1" applyBorder="1" applyAlignment="1">
      <alignment horizontal="center" vertical="center"/>
      <protection/>
    </xf>
    <xf numFmtId="1" fontId="19" fillId="0" borderId="0" xfId="70" applyNumberFormat="1">
      <alignment/>
      <protection/>
    </xf>
    <xf numFmtId="0" fontId="4" fillId="0" borderId="0" xfId="70" applyFont="1" applyBorder="1" applyAlignment="1">
      <alignment horizontal="center"/>
      <protection/>
    </xf>
    <xf numFmtId="0" fontId="4" fillId="0" borderId="0" xfId="70" applyFont="1" applyBorder="1" applyAlignment="1">
      <alignment wrapText="1"/>
      <protection/>
    </xf>
    <xf numFmtId="0" fontId="4" fillId="0" borderId="0" xfId="70" applyFont="1" applyBorder="1">
      <alignment/>
      <protection/>
    </xf>
    <xf numFmtId="0" fontId="4" fillId="0" borderId="0" xfId="70" applyFont="1">
      <alignment/>
      <protection/>
    </xf>
    <xf numFmtId="1" fontId="4" fillId="0" borderId="0" xfId="70" applyNumberFormat="1" applyFont="1">
      <alignment/>
      <protection/>
    </xf>
    <xf numFmtId="0" fontId="44" fillId="0" borderId="0" xfId="70" applyFont="1">
      <alignment/>
      <protection/>
    </xf>
    <xf numFmtId="0" fontId="1" fillId="0" borderId="0" xfId="70" applyFont="1" applyBorder="1" applyAlignment="1">
      <alignment horizontal="center"/>
      <protection/>
    </xf>
    <xf numFmtId="0" fontId="1" fillId="0" borderId="0" xfId="70" applyFont="1" applyBorder="1" applyAlignment="1">
      <alignment wrapText="1"/>
      <protection/>
    </xf>
    <xf numFmtId="0" fontId="1" fillId="0" borderId="0" xfId="70" applyFont="1" applyBorder="1">
      <alignment/>
      <protection/>
    </xf>
    <xf numFmtId="3" fontId="1" fillId="0" borderId="0" xfId="70" applyNumberFormat="1" applyFont="1">
      <alignment/>
      <protection/>
    </xf>
    <xf numFmtId="0" fontId="1" fillId="0" borderId="0" xfId="70" applyFont="1">
      <alignment/>
      <protection/>
    </xf>
    <xf numFmtId="1" fontId="1" fillId="0" borderId="0" xfId="70" applyNumberFormat="1" applyFont="1">
      <alignment/>
      <protection/>
    </xf>
    <xf numFmtId="0" fontId="1" fillId="0" borderId="0" xfId="71" applyFont="1">
      <alignment/>
      <protection/>
    </xf>
    <xf numFmtId="0" fontId="1" fillId="0" borderId="0" xfId="71" applyFont="1" applyAlignment="1">
      <alignment horizontal="right"/>
      <protection/>
    </xf>
    <xf numFmtId="0" fontId="1" fillId="0" borderId="14" xfId="71" applyFont="1" applyBorder="1" applyAlignment="1">
      <alignment horizontal="center" vertical="top" wrapText="1"/>
      <protection/>
    </xf>
    <xf numFmtId="0" fontId="1" fillId="0" borderId="18" xfId="71" applyFont="1" applyBorder="1" applyAlignment="1">
      <alignment horizontal="center" vertical="top" wrapText="1"/>
      <protection/>
    </xf>
    <xf numFmtId="0" fontId="1" fillId="0" borderId="35" xfId="71" applyFont="1" applyBorder="1" applyAlignment="1">
      <alignment horizontal="center" vertical="top" wrapText="1"/>
      <protection/>
    </xf>
    <xf numFmtId="0" fontId="1" fillId="0" borderId="10" xfId="71" applyFont="1" applyBorder="1" applyAlignment="1">
      <alignment horizontal="center" vertical="top" wrapText="1"/>
      <protection/>
    </xf>
    <xf numFmtId="0" fontId="1" fillId="0" borderId="10" xfId="71" applyFont="1" applyBorder="1" applyAlignment="1">
      <alignment horizontal="center"/>
      <protection/>
    </xf>
    <xf numFmtId="0" fontId="1" fillId="0" borderId="11" xfId="71" applyFont="1" applyBorder="1" applyAlignment="1">
      <alignment horizontal="center"/>
      <protection/>
    </xf>
    <xf numFmtId="49" fontId="1" fillId="0" borderId="10" xfId="71" applyNumberFormat="1" applyFont="1" applyBorder="1" applyAlignment="1">
      <alignment horizontal="center"/>
      <protection/>
    </xf>
    <xf numFmtId="0" fontId="1" fillId="0" borderId="12" xfId="71" applyFont="1" applyBorder="1" applyAlignment="1">
      <alignment horizontal="left" wrapText="1"/>
      <protection/>
    </xf>
    <xf numFmtId="0" fontId="8" fillId="0" borderId="12" xfId="71" applyFont="1" applyBorder="1" applyAlignment="1">
      <alignment horizontal="left" wrapText="1"/>
      <protection/>
    </xf>
    <xf numFmtId="0" fontId="1" fillId="0" borderId="12" xfId="71" applyFont="1" applyBorder="1" applyAlignment="1">
      <alignment horizontal="left" vertical="center" wrapText="1"/>
      <protection/>
    </xf>
    <xf numFmtId="0" fontId="1" fillId="0" borderId="12" xfId="71" applyFont="1" applyBorder="1" applyAlignment="1">
      <alignment horizontal="center" wrapText="1"/>
      <protection/>
    </xf>
    <xf numFmtId="0" fontId="1" fillId="0" borderId="10" xfId="71" applyFont="1" applyBorder="1" applyAlignment="1">
      <alignment horizontal="center" wrapText="1"/>
      <protection/>
    </xf>
    <xf numFmtId="4" fontId="1" fillId="0" borderId="10" xfId="71" applyNumberFormat="1" applyFont="1" applyBorder="1" applyAlignment="1">
      <alignment horizontal="center"/>
      <protection/>
    </xf>
    <xf numFmtId="0" fontId="23" fillId="0" borderId="12" xfId="71" applyFont="1" applyBorder="1" applyAlignment="1">
      <alignment horizontal="left"/>
      <protection/>
    </xf>
    <xf numFmtId="4" fontId="8" fillId="0" borderId="10" xfId="71" applyNumberFormat="1" applyFont="1" applyBorder="1" applyAlignment="1">
      <alignment horizontal="center"/>
      <protection/>
    </xf>
    <xf numFmtId="0" fontId="1" fillId="0" borderId="10" xfId="71" applyFont="1" applyBorder="1">
      <alignment/>
      <protection/>
    </xf>
    <xf numFmtId="0" fontId="1" fillId="0" borderId="10" xfId="71" applyFont="1" applyBorder="1" applyAlignment="1">
      <alignment horizontal="left" wrapText="1"/>
      <protection/>
    </xf>
    <xf numFmtId="0" fontId="1" fillId="0" borderId="12" xfId="71" applyFont="1" applyBorder="1" applyAlignment="1">
      <alignment horizontal="right" wrapText="1"/>
      <protection/>
    </xf>
    <xf numFmtId="49" fontId="8" fillId="20" borderId="10" xfId="71" applyNumberFormat="1" applyFont="1" applyFill="1" applyBorder="1" applyAlignment="1">
      <alignment horizontal="center"/>
      <protection/>
    </xf>
    <xf numFmtId="0" fontId="8" fillId="20" borderId="12" xfId="71" applyFont="1" applyFill="1" applyBorder="1" applyAlignment="1">
      <alignment horizontal="left"/>
      <protection/>
    </xf>
    <xf numFmtId="0" fontId="8" fillId="20" borderId="12" xfId="71" applyFont="1" applyFill="1" applyBorder="1" applyAlignment="1">
      <alignment horizontal="left" wrapText="1"/>
      <protection/>
    </xf>
    <xf numFmtId="0" fontId="8" fillId="20" borderId="10" xfId="71" applyFont="1" applyFill="1" applyBorder="1" applyAlignment="1">
      <alignment horizontal="center"/>
      <protection/>
    </xf>
    <xf numFmtId="4" fontId="8" fillId="20" borderId="10" xfId="71" applyNumberFormat="1" applyFont="1" applyFill="1" applyBorder="1" applyAlignment="1">
      <alignment horizontal="center"/>
      <protection/>
    </xf>
    <xf numFmtId="0" fontId="1" fillId="0" borderId="10" xfId="71" applyFont="1" applyBorder="1" applyAlignment="1">
      <alignment horizontal="left"/>
      <protection/>
    </xf>
    <xf numFmtId="4" fontId="1" fillId="0" borderId="10" xfId="71" applyNumberFormat="1" applyFont="1" applyBorder="1">
      <alignment/>
      <protection/>
    </xf>
    <xf numFmtId="0" fontId="1" fillId="0" borderId="0" xfId="71" applyFont="1" applyAlignment="1">
      <alignment horizontal="left"/>
      <protection/>
    </xf>
    <xf numFmtId="0" fontId="38" fillId="0" borderId="0" xfId="71" applyFont="1">
      <alignment/>
      <protection/>
    </xf>
    <xf numFmtId="0" fontId="6" fillId="0" borderId="0" xfId="71" applyFont="1">
      <alignment/>
      <protection/>
    </xf>
    <xf numFmtId="0" fontId="108" fillId="0" borderId="0" xfId="73" applyFont="1" applyFill="1">
      <alignment/>
      <protection/>
    </xf>
    <xf numFmtId="0" fontId="15" fillId="0" borderId="0" xfId="73" applyFont="1" applyFill="1" applyAlignment="1">
      <alignment horizontal="left"/>
      <protection/>
    </xf>
    <xf numFmtId="0" fontId="48" fillId="0" borderId="0" xfId="73" applyFont="1" applyFill="1" applyAlignment="1">
      <alignment horizontal="left"/>
      <protection/>
    </xf>
    <xf numFmtId="0" fontId="48" fillId="0" borderId="0" xfId="73" applyFont="1" applyFill="1">
      <alignment/>
      <protection/>
    </xf>
    <xf numFmtId="0" fontId="15" fillId="0" borderId="0" xfId="73" applyFont="1" applyFill="1">
      <alignment/>
      <protection/>
    </xf>
    <xf numFmtId="0" fontId="15" fillId="0" borderId="0" xfId="0" applyFont="1" applyFill="1" applyAlignment="1">
      <alignment/>
    </xf>
    <xf numFmtId="0" fontId="109" fillId="22" borderId="14" xfId="73" applyFont="1" applyFill="1" applyBorder="1">
      <alignment/>
      <protection/>
    </xf>
    <xf numFmtId="0" fontId="109" fillId="22" borderId="14" xfId="73" applyFont="1" applyFill="1" applyBorder="1" applyAlignment="1">
      <alignment horizontal="center"/>
      <protection/>
    </xf>
    <xf numFmtId="0" fontId="16" fillId="24" borderId="0" xfId="73" applyFont="1" applyFill="1">
      <alignment/>
      <protection/>
    </xf>
    <xf numFmtId="0" fontId="15" fillId="24" borderId="0" xfId="73" applyFont="1" applyFill="1">
      <alignment/>
      <protection/>
    </xf>
    <xf numFmtId="0" fontId="19" fillId="0" borderId="0" xfId="73">
      <alignment/>
      <protection/>
    </xf>
    <xf numFmtId="0" fontId="16" fillId="0" borderId="0" xfId="73" applyFont="1" applyFill="1" applyAlignment="1">
      <alignment horizontal="left"/>
      <protection/>
    </xf>
    <xf numFmtId="0" fontId="16" fillId="0" borderId="0" xfId="73" applyFont="1" applyFill="1">
      <alignment/>
      <protection/>
    </xf>
    <xf numFmtId="0" fontId="110" fillId="22" borderId="11" xfId="73" applyFont="1" applyFill="1" applyBorder="1" applyAlignment="1">
      <alignment horizontal="right"/>
      <protection/>
    </xf>
    <xf numFmtId="0" fontId="92" fillId="22" borderId="10" xfId="7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5" fillId="0" borderId="12" xfId="73" applyFont="1" applyFill="1" applyBorder="1">
      <alignment/>
      <protection/>
    </xf>
    <xf numFmtId="0" fontId="17" fillId="0" borderId="0" xfId="73" applyFont="1" applyFill="1" applyAlignment="1">
      <alignment horizontal="left"/>
      <protection/>
    </xf>
    <xf numFmtId="0" fontId="113" fillId="24" borderId="0" xfId="73" applyFont="1" applyFill="1" applyAlignment="1">
      <alignment horizontal="left"/>
      <protection/>
    </xf>
    <xf numFmtId="0" fontId="18" fillId="0" borderId="35" xfId="73" applyFont="1" applyFill="1" applyBorder="1" applyAlignment="1">
      <alignment horizontal="center"/>
      <protection/>
    </xf>
    <xf numFmtId="0" fontId="18" fillId="0" borderId="14" xfId="73" applyFont="1" applyFill="1" applyBorder="1" applyAlignment="1">
      <alignment horizontal="center"/>
      <protection/>
    </xf>
    <xf numFmtId="0" fontId="51" fillId="25" borderId="17" xfId="73" applyFont="1" applyFill="1" applyBorder="1" applyAlignment="1">
      <alignment horizontal="center"/>
      <protection/>
    </xf>
    <xf numFmtId="0" fontId="51" fillId="24" borderId="35" xfId="73" applyFont="1" applyFill="1" applyBorder="1" applyAlignment="1">
      <alignment horizontal="center"/>
      <protection/>
    </xf>
    <xf numFmtId="0" fontId="18" fillId="24" borderId="35" xfId="73" applyFont="1" applyFill="1" applyBorder="1" applyAlignment="1">
      <alignment horizontal="center"/>
      <protection/>
    </xf>
    <xf numFmtId="0" fontId="15" fillId="0" borderId="51" xfId="73" applyFont="1" applyFill="1" applyBorder="1" applyAlignment="1">
      <alignment horizontal="center"/>
      <protection/>
    </xf>
    <xf numFmtId="0" fontId="42" fillId="10" borderId="11" xfId="72" applyFont="1" applyFill="1" applyBorder="1" applyAlignment="1">
      <alignment horizontal="center" vertical="center" wrapText="1"/>
      <protection/>
    </xf>
    <xf numFmtId="0" fontId="42" fillId="10" borderId="13" xfId="72" applyFont="1" applyFill="1" applyBorder="1" applyAlignment="1">
      <alignment horizontal="left" vertical="center"/>
      <protection/>
    </xf>
    <xf numFmtId="0" fontId="42" fillId="10" borderId="13" xfId="72" applyFont="1" applyFill="1" applyBorder="1" applyAlignment="1">
      <alignment horizontal="center" vertical="center" wrapText="1"/>
      <protection/>
    </xf>
    <xf numFmtId="0" fontId="42" fillId="25" borderId="13" xfId="72" applyFont="1" applyFill="1" applyBorder="1" applyAlignment="1">
      <alignment horizontal="center" vertical="center" wrapText="1"/>
      <protection/>
    </xf>
    <xf numFmtId="0" fontId="18" fillId="10" borderId="13" xfId="73" applyFont="1" applyFill="1" applyBorder="1" applyAlignment="1">
      <alignment horizontal="center" vertical="center" wrapText="1"/>
      <protection/>
    </xf>
    <xf numFmtId="0" fontId="18" fillId="10" borderId="13" xfId="73" applyFont="1" applyFill="1" applyBorder="1" applyAlignment="1">
      <alignment horizontal="center"/>
      <protection/>
    </xf>
    <xf numFmtId="0" fontId="18" fillId="10" borderId="12" xfId="73" applyFont="1" applyFill="1" applyBorder="1" applyAlignment="1">
      <alignment horizontal="center"/>
      <protection/>
    </xf>
    <xf numFmtId="0" fontId="51" fillId="10" borderId="13" xfId="73" applyFont="1" applyFill="1" applyBorder="1" applyAlignment="1">
      <alignment horizontal="center"/>
      <protection/>
    </xf>
    <xf numFmtId="0" fontId="18" fillId="10" borderId="11" xfId="73" applyFont="1" applyFill="1" applyBorder="1" applyAlignment="1">
      <alignment horizontal="center"/>
      <protection/>
    </xf>
    <xf numFmtId="0" fontId="15" fillId="10" borderId="37" xfId="73" applyFont="1" applyFill="1" applyBorder="1" applyAlignment="1">
      <alignment horizontal="center"/>
      <protection/>
    </xf>
    <xf numFmtId="0" fontId="18" fillId="10" borderId="37" xfId="73" applyFont="1" applyFill="1" applyBorder="1" applyAlignment="1">
      <alignment horizontal="center"/>
      <protection/>
    </xf>
    <xf numFmtId="0" fontId="116" fillId="0" borderId="14" xfId="73" applyFont="1" applyFill="1" applyBorder="1" applyAlignment="1">
      <alignment horizontal="left" vertical="center"/>
      <protection/>
    </xf>
    <xf numFmtId="0" fontId="116" fillId="0" borderId="18" xfId="73" applyFont="1" applyFill="1" applyBorder="1" applyAlignment="1">
      <alignment horizontal="center" vertical="center" wrapText="1"/>
      <protection/>
    </xf>
    <xf numFmtId="49" fontId="15" fillId="0" borderId="10" xfId="73" applyNumberFormat="1" applyFont="1" applyFill="1" applyBorder="1" applyAlignment="1">
      <alignment horizontal="center" vertical="center" wrapText="1"/>
      <protection/>
    </xf>
    <xf numFmtId="0" fontId="15" fillId="0" borderId="10" xfId="73" applyFont="1" applyFill="1" applyBorder="1">
      <alignment/>
      <protection/>
    </xf>
    <xf numFmtId="169" fontId="117" fillId="0" borderId="15" xfId="73" applyNumberFormat="1" applyFont="1" applyFill="1" applyBorder="1" applyAlignment="1" applyProtection="1">
      <alignment horizontal="right"/>
      <protection/>
    </xf>
    <xf numFmtId="169" fontId="118" fillId="0" borderId="15" xfId="73" applyNumberFormat="1" applyFont="1" applyFill="1" applyBorder="1" applyAlignment="1" applyProtection="1">
      <alignment horizontal="right"/>
      <protection/>
    </xf>
    <xf numFmtId="169" fontId="119" fillId="25" borderId="15" xfId="73" applyNumberFormat="1" applyFont="1" applyFill="1" applyBorder="1" applyAlignment="1">
      <alignment horizontal="right"/>
      <protection/>
    </xf>
    <xf numFmtId="169" fontId="120" fillId="24" borderId="15" xfId="73" applyNumberFormat="1" applyFont="1" applyFill="1" applyBorder="1" applyAlignment="1">
      <alignment horizontal="right"/>
      <protection/>
    </xf>
    <xf numFmtId="169" fontId="118" fillId="24" borderId="15" xfId="73" applyNumberFormat="1" applyFont="1" applyFill="1" applyBorder="1" applyAlignment="1">
      <alignment horizontal="right"/>
      <protection/>
    </xf>
    <xf numFmtId="170" fontId="117" fillId="0" borderId="10" xfId="73" applyNumberFormat="1" applyFont="1" applyFill="1" applyBorder="1" applyAlignment="1" applyProtection="1">
      <alignment horizontal="right"/>
      <protection locked="0"/>
    </xf>
    <xf numFmtId="169" fontId="118" fillId="0" borderId="10" xfId="73" applyNumberFormat="1" applyFont="1" applyFill="1" applyBorder="1" applyAlignment="1">
      <alignment horizontal="right"/>
      <protection/>
    </xf>
    <xf numFmtId="168" fontId="0" fillId="0" borderId="0" xfId="0" applyNumberFormat="1" applyAlignment="1">
      <alignment horizontal="center"/>
    </xf>
    <xf numFmtId="168" fontId="15" fillId="0" borderId="20" xfId="73" applyNumberFormat="1" applyFont="1" applyFill="1" applyBorder="1" applyAlignment="1">
      <alignment horizontal="center"/>
      <protection/>
    </xf>
    <xf numFmtId="168" fontId="42" fillId="0" borderId="51" xfId="73" applyNumberFormat="1" applyFont="1" applyBorder="1" applyAlignment="1">
      <alignment horizontal="center"/>
      <protection/>
    </xf>
    <xf numFmtId="0" fontId="53" fillId="0" borderId="0" xfId="73" applyFont="1">
      <alignment/>
      <protection/>
    </xf>
    <xf numFmtId="0" fontId="116" fillId="0" borderId="19" xfId="73" applyFont="1" applyFill="1" applyBorder="1" applyAlignment="1">
      <alignment horizontal="left" vertical="center"/>
      <protection/>
    </xf>
    <xf numFmtId="0" fontId="116" fillId="0" borderId="21" xfId="73" applyFont="1" applyFill="1" applyBorder="1" applyAlignment="1">
      <alignment horizontal="center" vertical="center" wrapText="1"/>
      <protection/>
    </xf>
    <xf numFmtId="169" fontId="117" fillId="0" borderId="10" xfId="73" applyNumberFormat="1" applyFont="1" applyFill="1" applyBorder="1" applyAlignment="1" applyProtection="1">
      <alignment horizontal="right"/>
      <protection locked="0"/>
    </xf>
    <xf numFmtId="170" fontId="118" fillId="0" borderId="15" xfId="73" applyNumberFormat="1" applyFont="1" applyFill="1" applyBorder="1" applyAlignment="1" applyProtection="1">
      <alignment horizontal="right"/>
      <protection/>
    </xf>
    <xf numFmtId="170" fontId="122" fillId="0" borderId="10" xfId="73" applyNumberFormat="1" applyFont="1" applyFill="1" applyBorder="1" applyAlignment="1" applyProtection="1">
      <alignment horizontal="right"/>
      <protection locked="0"/>
    </xf>
    <xf numFmtId="169" fontId="118" fillId="24" borderId="10" xfId="73" applyNumberFormat="1" applyFont="1" applyFill="1" applyBorder="1" applyAlignment="1">
      <alignment horizontal="right"/>
      <protection/>
    </xf>
    <xf numFmtId="168" fontId="0" fillId="0" borderId="11" xfId="0" applyNumberFormat="1" applyBorder="1" applyAlignment="1">
      <alignment horizontal="center"/>
    </xf>
    <xf numFmtId="168" fontId="15" fillId="0" borderId="11" xfId="73" applyNumberFormat="1" applyFont="1" applyFill="1" applyBorder="1" applyAlignment="1">
      <alignment horizontal="center"/>
      <protection/>
    </xf>
    <xf numFmtId="168" fontId="42" fillId="0" borderId="29" xfId="73" applyNumberFormat="1" applyFont="1" applyBorder="1" applyAlignment="1">
      <alignment horizontal="center"/>
      <protection/>
    </xf>
    <xf numFmtId="169" fontId="117" fillId="0" borderId="10" xfId="73" applyNumberFormat="1" applyFont="1" applyFill="1" applyBorder="1" applyAlignment="1" applyProtection="1">
      <alignment horizontal="right"/>
      <protection/>
    </xf>
    <xf numFmtId="169" fontId="118" fillId="0" borderId="10" xfId="73" applyNumberFormat="1" applyFont="1" applyFill="1" applyBorder="1" applyAlignment="1" applyProtection="1">
      <alignment horizontal="right"/>
      <protection/>
    </xf>
    <xf numFmtId="168" fontId="42" fillId="0" borderId="30" xfId="73" applyNumberFormat="1" applyFont="1" applyBorder="1" applyAlignment="1">
      <alignment horizontal="center"/>
      <protection/>
    </xf>
    <xf numFmtId="0" fontId="15" fillId="25" borderId="10" xfId="73" applyFont="1" applyFill="1" applyBorder="1">
      <alignment/>
      <protection/>
    </xf>
    <xf numFmtId="180" fontId="117" fillId="0" borderId="10" xfId="0" applyNumberFormat="1" applyFont="1" applyFill="1" applyBorder="1" applyAlignment="1" applyProtection="1">
      <alignment horizontal="right"/>
      <protection locked="0"/>
    </xf>
    <xf numFmtId="180" fontId="117" fillId="24" borderId="10" xfId="0" applyNumberFormat="1" applyFont="1" applyFill="1" applyBorder="1" applyAlignment="1" applyProtection="1">
      <alignment horizontal="right"/>
      <protection locked="0"/>
    </xf>
    <xf numFmtId="170" fontId="119" fillId="25" borderId="10" xfId="73" applyNumberFormat="1" applyFont="1" applyFill="1" applyBorder="1" applyAlignment="1" applyProtection="1">
      <alignment horizontal="right"/>
      <protection locked="0"/>
    </xf>
    <xf numFmtId="165" fontId="118" fillId="0" borderId="10" xfId="73" applyNumberFormat="1" applyFont="1" applyFill="1" applyBorder="1" applyAlignment="1" applyProtection="1">
      <alignment horizontal="right"/>
      <protection/>
    </xf>
    <xf numFmtId="165" fontId="119" fillId="25" borderId="10" xfId="73" applyNumberFormat="1" applyFont="1" applyFill="1" applyBorder="1" applyAlignment="1" applyProtection="1">
      <alignment horizontal="right"/>
      <protection/>
    </xf>
    <xf numFmtId="165" fontId="118" fillId="0" borderId="10" xfId="73" applyNumberFormat="1" applyFont="1" applyFill="1" applyBorder="1" applyAlignment="1">
      <alignment horizontal="right"/>
      <protection/>
    </xf>
    <xf numFmtId="0" fontId="15" fillId="0" borderId="0" xfId="73" applyFont="1" applyFill="1" applyAlignment="1">
      <alignment horizontal="center"/>
      <protection/>
    </xf>
    <xf numFmtId="0" fontId="15" fillId="0" borderId="20" xfId="73" applyFont="1" applyFill="1" applyBorder="1" applyAlignment="1">
      <alignment horizontal="center"/>
      <protection/>
    </xf>
    <xf numFmtId="0" fontId="42" fillId="0" borderId="30" xfId="73" applyFont="1" applyBorder="1" applyAlignment="1">
      <alignment horizontal="center"/>
      <protection/>
    </xf>
    <xf numFmtId="0" fontId="15" fillId="0" borderId="10" xfId="73" applyFont="1" applyFill="1" applyBorder="1" applyAlignment="1">
      <alignment horizontal="center"/>
      <protection/>
    </xf>
    <xf numFmtId="169" fontId="122" fillId="0" borderId="10" xfId="73" applyNumberFormat="1" applyFont="1" applyFill="1" applyBorder="1" applyAlignment="1">
      <alignment horizontal="right"/>
      <protection/>
    </xf>
    <xf numFmtId="0" fontId="116" fillId="24" borderId="19" xfId="73" applyFont="1" applyFill="1" applyBorder="1" applyAlignment="1">
      <alignment horizontal="left" vertical="center"/>
      <protection/>
    </xf>
    <xf numFmtId="0" fontId="116" fillId="24" borderId="21" xfId="73" applyFont="1" applyFill="1" applyBorder="1" applyAlignment="1">
      <alignment horizontal="center" vertical="center" wrapText="1"/>
      <protection/>
    </xf>
    <xf numFmtId="49" fontId="15" fillId="24" borderId="10" xfId="73" applyNumberFormat="1" applyFont="1" applyFill="1" applyBorder="1" applyAlignment="1">
      <alignment horizontal="center" vertical="center" wrapText="1"/>
      <protection/>
    </xf>
    <xf numFmtId="0" fontId="18" fillId="25" borderId="10" xfId="73" applyFont="1" applyFill="1" applyBorder="1" applyAlignment="1">
      <alignment horizontal="left"/>
      <protection/>
    </xf>
    <xf numFmtId="169" fontId="114" fillId="24" borderId="10" xfId="0" applyNumberFormat="1" applyFont="1" applyFill="1" applyBorder="1" applyAlignment="1" applyProtection="1">
      <alignment horizontal="right"/>
      <protection locked="0"/>
    </xf>
    <xf numFmtId="169" fontId="123" fillId="24" borderId="15" xfId="0" applyNumberFormat="1" applyFont="1" applyFill="1" applyBorder="1" applyAlignment="1" applyProtection="1">
      <alignment horizontal="right"/>
      <protection/>
    </xf>
    <xf numFmtId="169" fontId="114" fillId="24" borderId="10" xfId="0" applyNumberFormat="1" applyFont="1" applyFill="1" applyBorder="1" applyAlignment="1" applyProtection="1">
      <alignment horizontal="right"/>
      <protection locked="0"/>
    </xf>
    <xf numFmtId="169" fontId="123" fillId="24" borderId="15" xfId="0" applyNumberFormat="1" applyFont="1" applyFill="1" applyBorder="1" applyAlignment="1" applyProtection="1">
      <alignment horizontal="right"/>
      <protection/>
    </xf>
    <xf numFmtId="169" fontId="114" fillId="6" borderId="10" xfId="73" applyNumberFormat="1" applyFont="1" applyFill="1" applyBorder="1" applyAlignment="1" applyProtection="1">
      <alignment horizontal="right"/>
      <protection locked="0"/>
    </xf>
    <xf numFmtId="169" fontId="123" fillId="6" borderId="15" xfId="73" applyNumberFormat="1" applyFont="1" applyFill="1" applyBorder="1" applyAlignment="1" applyProtection="1">
      <alignment horizontal="right"/>
      <protection/>
    </xf>
    <xf numFmtId="169" fontId="124" fillId="24" borderId="15" xfId="73" applyNumberFormat="1" applyFont="1" applyFill="1" applyBorder="1" applyAlignment="1">
      <alignment horizontal="right"/>
      <protection/>
    </xf>
    <xf numFmtId="169" fontId="123" fillId="24" borderId="10" xfId="73" applyNumberFormat="1" applyFont="1" applyFill="1" applyBorder="1" applyAlignment="1">
      <alignment horizontal="right"/>
      <protection/>
    </xf>
    <xf numFmtId="0" fontId="15" fillId="24" borderId="10" xfId="73" applyFont="1" applyFill="1" applyBorder="1" applyAlignment="1">
      <alignment horizontal="left"/>
      <protection/>
    </xf>
    <xf numFmtId="169" fontId="118" fillId="24" borderId="10" xfId="0" applyNumberFormat="1" applyFont="1" applyFill="1" applyBorder="1" applyAlignment="1" applyProtection="1">
      <alignment horizontal="right"/>
      <protection/>
    </xf>
    <xf numFmtId="169" fontId="118" fillId="24" borderId="15" xfId="0" applyNumberFormat="1" applyFont="1" applyFill="1" applyBorder="1" applyAlignment="1" applyProtection="1">
      <alignment horizontal="right"/>
      <protection/>
    </xf>
    <xf numFmtId="169" fontId="118" fillId="24" borderId="10" xfId="0" applyNumberFormat="1" applyFont="1" applyFill="1" applyBorder="1" applyAlignment="1" applyProtection="1">
      <alignment horizontal="right"/>
      <protection/>
    </xf>
    <xf numFmtId="169" fontId="118" fillId="24" borderId="15" xfId="0" applyNumberFormat="1" applyFont="1" applyFill="1" applyBorder="1" applyAlignment="1" applyProtection="1">
      <alignment horizontal="right"/>
      <protection/>
    </xf>
    <xf numFmtId="169" fontId="118" fillId="24" borderId="10" xfId="73" applyNumberFormat="1" applyFont="1" applyFill="1" applyBorder="1" applyAlignment="1" applyProtection="1">
      <alignment horizontal="right"/>
      <protection/>
    </xf>
    <xf numFmtId="169" fontId="118" fillId="24" borderId="15" xfId="73" applyNumberFormat="1" applyFont="1" applyFill="1" applyBorder="1" applyAlignment="1" applyProtection="1">
      <alignment horizontal="right"/>
      <protection/>
    </xf>
    <xf numFmtId="0" fontId="15" fillId="24" borderId="10" xfId="73" applyFont="1" applyFill="1" applyBorder="1" applyAlignment="1">
      <alignment horizontal="center"/>
      <protection/>
    </xf>
    <xf numFmtId="169" fontId="122" fillId="24" borderId="10" xfId="0" applyNumberFormat="1" applyFont="1" applyFill="1" applyBorder="1" applyAlignment="1">
      <alignment horizontal="right"/>
    </xf>
    <xf numFmtId="169" fontId="122" fillId="24" borderId="10" xfId="0" applyNumberFormat="1" applyFont="1" applyFill="1" applyBorder="1" applyAlignment="1">
      <alignment horizontal="right"/>
    </xf>
    <xf numFmtId="169" fontId="122" fillId="24" borderId="10" xfId="73" applyNumberFormat="1" applyFont="1" applyFill="1" applyBorder="1" applyAlignment="1">
      <alignment horizontal="right"/>
      <protection/>
    </xf>
    <xf numFmtId="0" fontId="18" fillId="25" borderId="10" xfId="73" applyFont="1" applyFill="1" applyBorder="1" applyAlignment="1">
      <alignment horizontal="right"/>
      <protection/>
    </xf>
    <xf numFmtId="0" fontId="15" fillId="0" borderId="10" xfId="73" applyFont="1" applyFill="1" applyBorder="1" applyAlignment="1">
      <alignment horizontal="right"/>
      <protection/>
    </xf>
    <xf numFmtId="169" fontId="122" fillId="0" borderId="10" xfId="73" applyNumberFormat="1" applyFont="1" applyFill="1" applyBorder="1" applyAlignment="1" applyProtection="1">
      <alignment horizontal="right"/>
      <protection locked="0"/>
    </xf>
    <xf numFmtId="169" fontId="118" fillId="0" borderId="15" xfId="73" applyNumberFormat="1" applyFont="1" applyFill="1" applyBorder="1" applyAlignment="1">
      <alignment horizontal="right"/>
      <protection/>
    </xf>
    <xf numFmtId="169" fontId="125" fillId="0" borderId="10" xfId="73" applyNumberFormat="1" applyFont="1" applyFill="1" applyBorder="1" applyAlignment="1" applyProtection="1">
      <alignment horizontal="right"/>
      <protection locked="0"/>
    </xf>
    <xf numFmtId="169" fontId="119" fillId="25" borderId="10" xfId="73" applyNumberFormat="1" applyFont="1" applyFill="1" applyBorder="1" applyAlignment="1" applyProtection="1">
      <alignment horizontal="right"/>
      <protection locked="0"/>
    </xf>
    <xf numFmtId="0" fontId="128" fillId="25" borderId="10" xfId="73" applyFont="1" applyFill="1" applyBorder="1" applyAlignment="1">
      <alignment horizontal="left"/>
      <protection/>
    </xf>
    <xf numFmtId="169" fontId="122" fillId="0" borderId="10" xfId="0" applyNumberFormat="1" applyFont="1" applyFill="1" applyBorder="1" applyAlignment="1" applyProtection="1">
      <alignment horizontal="right"/>
      <protection locked="0"/>
    </xf>
    <xf numFmtId="169" fontId="118" fillId="0" borderId="15" xfId="0" applyNumberFormat="1" applyFont="1" applyFill="1" applyBorder="1" applyAlignment="1" applyProtection="1">
      <alignment horizontal="right"/>
      <protection/>
    </xf>
    <xf numFmtId="169" fontId="122" fillId="24" borderId="10" xfId="0" applyNumberFormat="1" applyFont="1" applyFill="1" applyBorder="1" applyAlignment="1" applyProtection="1">
      <alignment horizontal="right"/>
      <protection locked="0"/>
    </xf>
    <xf numFmtId="169" fontId="122" fillId="24" borderId="10" xfId="0" applyNumberFormat="1" applyFont="1" applyFill="1" applyBorder="1" applyAlignment="1" applyProtection="1">
      <alignment horizontal="right"/>
      <protection locked="0"/>
    </xf>
    <xf numFmtId="169" fontId="122" fillId="25" borderId="10" xfId="73" applyNumberFormat="1" applyFont="1" applyFill="1" applyBorder="1" applyAlignment="1" applyProtection="1">
      <alignment horizontal="right"/>
      <protection locked="0"/>
    </xf>
    <xf numFmtId="169" fontId="118" fillId="25" borderId="15" xfId="73" applyNumberFormat="1" applyFont="1" applyFill="1" applyBorder="1" applyAlignment="1" applyProtection="1">
      <alignment horizontal="right"/>
      <protection/>
    </xf>
    <xf numFmtId="169" fontId="118" fillId="25" borderId="15" xfId="73" applyNumberFormat="1" applyFont="1" applyFill="1" applyBorder="1" applyAlignment="1">
      <alignment horizontal="right"/>
      <protection/>
    </xf>
    <xf numFmtId="169" fontId="118" fillId="25" borderId="10" xfId="73" applyNumberFormat="1" applyFont="1" applyFill="1" applyBorder="1" applyAlignment="1">
      <alignment horizontal="right"/>
      <protection/>
    </xf>
    <xf numFmtId="0" fontId="128" fillId="24" borderId="10" xfId="73" applyFont="1" applyFill="1" applyBorder="1" applyAlignment="1">
      <alignment horizontal="left"/>
      <protection/>
    </xf>
    <xf numFmtId="178" fontId="129" fillId="3" borderId="10" xfId="73" applyNumberFormat="1" applyFont="1" applyFill="1" applyBorder="1" applyAlignment="1" applyProtection="1">
      <alignment/>
      <protection locked="0"/>
    </xf>
    <xf numFmtId="178" fontId="129" fillId="3" borderId="15" xfId="73" applyNumberFormat="1" applyFont="1" applyFill="1" applyBorder="1" applyAlignment="1" applyProtection="1">
      <alignment/>
      <protection/>
    </xf>
    <xf numFmtId="170" fontId="130" fillId="25" borderId="15" xfId="73" applyNumberFormat="1" applyFont="1" applyFill="1" applyBorder="1" applyAlignment="1">
      <alignment horizontal="right"/>
      <protection/>
    </xf>
    <xf numFmtId="0" fontId="15" fillId="0" borderId="10" xfId="73" applyFont="1" applyFill="1" applyBorder="1" applyAlignment="1">
      <alignment horizontal="left" wrapText="1"/>
      <protection/>
    </xf>
    <xf numFmtId="0" fontId="15" fillId="10" borderId="10" xfId="73" applyFont="1" applyFill="1" applyBorder="1" applyAlignment="1">
      <alignment horizontal="center" wrapText="1"/>
      <protection/>
    </xf>
    <xf numFmtId="0" fontId="15" fillId="10" borderId="14" xfId="73" applyFont="1" applyFill="1" applyBorder="1" applyAlignment="1">
      <alignment horizontal="center" wrapText="1"/>
      <protection/>
    </xf>
    <xf numFmtId="0" fontId="16" fillId="10" borderId="10" xfId="73" applyFont="1" applyFill="1" applyBorder="1" applyAlignment="1">
      <alignment horizontal="center" wrapText="1"/>
      <protection/>
    </xf>
    <xf numFmtId="0" fontId="15" fillId="10" borderId="11" xfId="73" applyFont="1" applyFill="1" applyBorder="1" applyAlignment="1">
      <alignment horizontal="center" wrapText="1"/>
      <protection/>
    </xf>
    <xf numFmtId="0" fontId="18" fillId="10" borderId="29" xfId="73" applyFont="1" applyFill="1" applyBorder="1" applyAlignment="1">
      <alignment horizontal="center" wrapText="1"/>
      <protection/>
    </xf>
    <xf numFmtId="0" fontId="116" fillId="0" borderId="35" xfId="73" applyFont="1" applyFill="1" applyBorder="1" applyAlignment="1">
      <alignment horizontal="left" vertical="center"/>
      <protection/>
    </xf>
    <xf numFmtId="169" fontId="118" fillId="0" borderId="36" xfId="73" applyNumberFormat="1" applyFont="1" applyFill="1" applyBorder="1" applyAlignment="1" applyProtection="1">
      <alignment horizontal="right"/>
      <protection/>
    </xf>
    <xf numFmtId="169" fontId="119" fillId="25" borderId="10" xfId="73" applyNumberFormat="1" applyFont="1" applyFill="1" applyBorder="1" applyAlignment="1">
      <alignment horizontal="right"/>
      <protection/>
    </xf>
    <xf numFmtId="169" fontId="120" fillId="24" borderId="52" xfId="73" applyNumberFormat="1" applyFont="1" applyFill="1" applyBorder="1" applyAlignment="1">
      <alignment horizontal="right"/>
      <protection/>
    </xf>
    <xf numFmtId="0" fontId="116" fillId="0" borderId="20" xfId="73" applyFont="1" applyFill="1" applyBorder="1" applyAlignment="1">
      <alignment horizontal="left" vertical="center"/>
      <protection/>
    </xf>
    <xf numFmtId="170" fontId="117" fillId="0" borderId="10" xfId="0" applyNumberFormat="1" applyFont="1" applyFill="1" applyBorder="1" applyAlignment="1" applyProtection="1">
      <alignment horizontal="right"/>
      <protection locked="0"/>
    </xf>
    <xf numFmtId="170" fontId="117" fillId="24" borderId="10" xfId="0" applyNumberFormat="1" applyFont="1" applyFill="1" applyBorder="1" applyAlignment="1" applyProtection="1">
      <alignment horizontal="right"/>
      <protection locked="0"/>
    </xf>
    <xf numFmtId="165" fontId="118" fillId="25" borderId="10" xfId="73" applyNumberFormat="1" applyFont="1" applyFill="1" applyBorder="1" applyAlignment="1" applyProtection="1">
      <alignment horizontal="right"/>
      <protection/>
    </xf>
    <xf numFmtId="165" fontId="120" fillId="24" borderId="12" xfId="73" applyNumberFormat="1" applyFont="1" applyFill="1" applyBorder="1" applyAlignment="1">
      <alignment horizontal="right"/>
      <protection/>
    </xf>
    <xf numFmtId="165" fontId="118" fillId="24" borderId="10" xfId="73" applyNumberFormat="1" applyFont="1" applyFill="1" applyBorder="1" applyAlignment="1" applyProtection="1">
      <alignment horizontal="right"/>
      <protection/>
    </xf>
    <xf numFmtId="169" fontId="122" fillId="0" borderId="11" xfId="73" applyNumberFormat="1" applyFont="1" applyFill="1" applyBorder="1" applyAlignment="1">
      <alignment horizontal="right"/>
      <protection/>
    </xf>
    <xf numFmtId="169" fontId="122" fillId="0" borderId="13" xfId="73" applyNumberFormat="1" applyFont="1" applyFill="1" applyBorder="1" applyAlignment="1">
      <alignment horizontal="right"/>
      <protection/>
    </xf>
    <xf numFmtId="169" fontId="122" fillId="0" borderId="12" xfId="73" applyNumberFormat="1" applyFont="1" applyFill="1" applyBorder="1" applyAlignment="1">
      <alignment horizontal="right"/>
      <protection/>
    </xf>
    <xf numFmtId="0" fontId="116" fillId="24" borderId="20" xfId="73" applyFont="1" applyFill="1" applyBorder="1" applyAlignment="1">
      <alignment horizontal="left" vertical="center"/>
      <protection/>
    </xf>
    <xf numFmtId="0" fontId="18" fillId="25" borderId="11" xfId="73" applyFont="1" applyFill="1" applyBorder="1" applyAlignment="1">
      <alignment horizontal="left"/>
      <protection/>
    </xf>
    <xf numFmtId="169" fontId="114" fillId="2" borderId="10" xfId="0" applyNumberFormat="1" applyFont="1" applyFill="1" applyBorder="1" applyAlignment="1" applyProtection="1">
      <alignment horizontal="right"/>
      <protection locked="0"/>
    </xf>
    <xf numFmtId="169" fontId="114" fillId="2" borderId="13" xfId="0" applyNumberFormat="1" applyFont="1" applyFill="1" applyBorder="1" applyAlignment="1" applyProtection="1">
      <alignment horizontal="right"/>
      <protection locked="0"/>
    </xf>
    <xf numFmtId="169" fontId="123" fillId="2" borderId="10" xfId="0" applyNumberFormat="1" applyFont="1" applyFill="1" applyBorder="1" applyAlignment="1" applyProtection="1">
      <alignment horizontal="right"/>
      <protection/>
    </xf>
    <xf numFmtId="169" fontId="123" fillId="2" borderId="16" xfId="0" applyNumberFormat="1" applyFont="1" applyFill="1" applyBorder="1" applyAlignment="1" applyProtection="1">
      <alignment horizontal="right"/>
      <protection/>
    </xf>
    <xf numFmtId="169" fontId="114" fillId="2" borderId="12" xfId="0" applyNumberFormat="1" applyFont="1" applyFill="1" applyBorder="1" applyAlignment="1" applyProtection="1">
      <alignment horizontal="right"/>
      <protection locked="0"/>
    </xf>
    <xf numFmtId="169" fontId="123" fillId="2" borderId="15" xfId="0" applyNumberFormat="1" applyFont="1" applyFill="1" applyBorder="1" applyAlignment="1" applyProtection="1">
      <alignment horizontal="right"/>
      <protection/>
    </xf>
    <xf numFmtId="169" fontId="123" fillId="2" borderId="36" xfId="0" applyNumberFormat="1" applyFont="1" applyFill="1" applyBorder="1" applyAlignment="1" applyProtection="1">
      <alignment horizontal="right"/>
      <protection/>
    </xf>
    <xf numFmtId="169" fontId="114" fillId="8" borderId="10" xfId="73" applyNumberFormat="1" applyFont="1" applyFill="1" applyBorder="1" applyAlignment="1" applyProtection="1">
      <alignment horizontal="right"/>
      <protection locked="0"/>
    </xf>
    <xf numFmtId="169" fontId="123" fillId="8" borderId="16" xfId="73" applyNumberFormat="1" applyFont="1" applyFill="1" applyBorder="1" applyAlignment="1" applyProtection="1">
      <alignment horizontal="right"/>
      <protection/>
    </xf>
    <xf numFmtId="169" fontId="124" fillId="24" borderId="52" xfId="73" applyNumberFormat="1" applyFont="1" applyFill="1" applyBorder="1" applyAlignment="1">
      <alignment horizontal="right"/>
      <protection/>
    </xf>
    <xf numFmtId="169" fontId="123" fillId="24" borderId="12" xfId="73" applyNumberFormat="1" applyFont="1" applyFill="1" applyBorder="1" applyAlignment="1">
      <alignment horizontal="right"/>
      <protection/>
    </xf>
    <xf numFmtId="0" fontId="15" fillId="24" borderId="11" xfId="73" applyFont="1" applyFill="1" applyBorder="1" applyAlignment="1">
      <alignment horizontal="left"/>
      <protection/>
    </xf>
    <xf numFmtId="169" fontId="118" fillId="24" borderId="13" xfId="0" applyNumberFormat="1" applyFont="1" applyFill="1" applyBorder="1" applyAlignment="1" applyProtection="1">
      <alignment horizontal="right"/>
      <protection/>
    </xf>
    <xf numFmtId="169" fontId="118" fillId="24" borderId="16" xfId="0" applyNumberFormat="1" applyFont="1" applyFill="1" applyBorder="1" applyAlignment="1" applyProtection="1">
      <alignment horizontal="right"/>
      <protection/>
    </xf>
    <xf numFmtId="169" fontId="118" fillId="24" borderId="12" xfId="0" applyNumberFormat="1" applyFont="1" applyFill="1" applyBorder="1" applyAlignment="1" applyProtection="1">
      <alignment horizontal="right"/>
      <protection/>
    </xf>
    <xf numFmtId="169" fontId="118" fillId="24" borderId="11" xfId="0" applyNumberFormat="1" applyFont="1" applyFill="1" applyBorder="1" applyAlignment="1" applyProtection="1">
      <alignment horizontal="right"/>
      <protection/>
    </xf>
    <xf numFmtId="169" fontId="118" fillId="24" borderId="36" xfId="0" applyNumberFormat="1" applyFont="1" applyFill="1" applyBorder="1" applyAlignment="1" applyProtection="1">
      <alignment horizontal="right"/>
      <protection/>
    </xf>
    <xf numFmtId="169" fontId="118" fillId="24" borderId="16" xfId="73" applyNumberFormat="1" applyFont="1" applyFill="1" applyBorder="1" applyAlignment="1" applyProtection="1">
      <alignment horizontal="right"/>
      <protection/>
    </xf>
    <xf numFmtId="169" fontId="120" fillId="24" borderId="16" xfId="73" applyNumberFormat="1" applyFont="1" applyFill="1" applyBorder="1" applyAlignment="1">
      <alignment horizontal="right"/>
      <protection/>
    </xf>
    <xf numFmtId="169" fontId="118" fillId="24" borderId="13" xfId="73" applyNumberFormat="1" applyFont="1" applyFill="1" applyBorder="1" applyAlignment="1">
      <alignment horizontal="right"/>
      <protection/>
    </xf>
    <xf numFmtId="169" fontId="118" fillId="24" borderId="16" xfId="73" applyNumberFormat="1" applyFont="1" applyFill="1" applyBorder="1" applyAlignment="1">
      <alignment horizontal="right"/>
      <protection/>
    </xf>
    <xf numFmtId="0" fontId="15" fillId="24" borderId="11" xfId="73" applyFont="1" applyFill="1" applyBorder="1" applyAlignment="1">
      <alignment horizontal="center"/>
      <protection/>
    </xf>
    <xf numFmtId="169" fontId="122" fillId="24" borderId="13" xfId="0" applyNumberFormat="1" applyFont="1" applyFill="1" applyBorder="1" applyAlignment="1">
      <alignment horizontal="right"/>
    </xf>
    <xf numFmtId="169" fontId="122" fillId="24" borderId="13" xfId="0" applyNumberFormat="1" applyFont="1" applyFill="1" applyBorder="1" applyAlignment="1">
      <alignment horizontal="right"/>
    </xf>
    <xf numFmtId="169" fontId="122" fillId="24" borderId="13" xfId="73" applyNumberFormat="1" applyFont="1" applyFill="1" applyBorder="1" applyAlignment="1">
      <alignment horizontal="right"/>
      <protection/>
    </xf>
    <xf numFmtId="0" fontId="15" fillId="25" borderId="35" xfId="73" applyFont="1" applyFill="1" applyBorder="1" applyAlignment="1">
      <alignment horizontal="right"/>
      <protection/>
    </xf>
    <xf numFmtId="0" fontId="15" fillId="24" borderId="19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19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8" borderId="19" xfId="73" applyFont="1" applyFill="1" applyBorder="1">
      <alignment/>
      <protection/>
    </xf>
    <xf numFmtId="0" fontId="15" fillId="8" borderId="0" xfId="73" applyFont="1" applyFill="1">
      <alignment/>
      <protection/>
    </xf>
    <xf numFmtId="0" fontId="18" fillId="24" borderId="11" xfId="73" applyFont="1" applyFill="1" applyBorder="1" applyAlignment="1">
      <alignment horizontal="right"/>
      <protection/>
    </xf>
    <xf numFmtId="169" fontId="114" fillId="24" borderId="10" xfId="73" applyNumberFormat="1" applyFont="1" applyFill="1" applyBorder="1" applyAlignment="1" applyProtection="1">
      <alignment horizontal="right"/>
      <protection locked="0"/>
    </xf>
    <xf numFmtId="169" fontId="123" fillId="24" borderId="13" xfId="73" applyNumberFormat="1" applyFont="1" applyFill="1" applyBorder="1" applyAlignment="1" applyProtection="1">
      <alignment horizontal="right"/>
      <protection/>
    </xf>
    <xf numFmtId="169" fontId="124" fillId="24" borderId="13" xfId="73" applyNumberFormat="1" applyFont="1" applyFill="1" applyBorder="1" applyAlignment="1">
      <alignment horizontal="right"/>
      <protection/>
    </xf>
    <xf numFmtId="0" fontId="15" fillId="0" borderId="11" xfId="73" applyFont="1" applyFill="1" applyBorder="1">
      <alignment/>
      <protection/>
    </xf>
    <xf numFmtId="169" fontId="118" fillId="0" borderId="13" xfId="73" applyNumberFormat="1" applyFont="1" applyFill="1" applyBorder="1" applyAlignment="1" applyProtection="1">
      <alignment horizontal="right"/>
      <protection/>
    </xf>
    <xf numFmtId="169" fontId="118" fillId="0" borderId="16" xfId="73" applyNumberFormat="1" applyFont="1" applyFill="1" applyBorder="1" applyAlignment="1" applyProtection="1">
      <alignment horizontal="right"/>
      <protection/>
    </xf>
    <xf numFmtId="0" fontId="15" fillId="0" borderId="11" xfId="73" applyFont="1" applyFill="1" applyBorder="1" applyAlignment="1">
      <alignment horizontal="center"/>
      <protection/>
    </xf>
    <xf numFmtId="169" fontId="118" fillId="0" borderId="13" xfId="73" applyNumberFormat="1" applyFont="1" applyFill="1" applyBorder="1" applyAlignment="1">
      <alignment horizontal="right"/>
      <protection/>
    </xf>
    <xf numFmtId="0" fontId="15" fillId="24" borderId="11" xfId="73" applyFont="1" applyFill="1" applyBorder="1" applyAlignment="1">
      <alignment horizontal="right"/>
      <protection/>
    </xf>
    <xf numFmtId="0" fontId="15" fillId="24" borderId="13" xfId="73" applyFont="1" applyFill="1" applyBorder="1">
      <alignment/>
      <protection/>
    </xf>
    <xf numFmtId="0" fontId="15" fillId="24" borderId="10" xfId="73" applyFont="1" applyFill="1" applyBorder="1">
      <alignment/>
      <protection/>
    </xf>
    <xf numFmtId="0" fontId="15" fillId="0" borderId="36" xfId="73" applyFont="1" applyFill="1" applyBorder="1" applyAlignment="1">
      <alignment horizontal="right"/>
      <protection/>
    </xf>
    <xf numFmtId="169" fontId="117" fillId="0" borderId="15" xfId="73" applyNumberFormat="1" applyFont="1" applyFill="1" applyBorder="1" applyAlignment="1" applyProtection="1">
      <alignment horizontal="right"/>
      <protection locked="0"/>
    </xf>
    <xf numFmtId="169" fontId="117" fillId="0" borderId="16" xfId="73" applyNumberFormat="1" applyFont="1" applyFill="1" applyBorder="1" applyAlignment="1" applyProtection="1">
      <alignment horizontal="right"/>
      <protection locked="0"/>
    </xf>
    <xf numFmtId="169" fontId="122" fillId="0" borderId="15" xfId="73" applyNumberFormat="1" applyFont="1" applyFill="1" applyBorder="1" applyAlignment="1" applyProtection="1">
      <alignment horizontal="right"/>
      <protection locked="0"/>
    </xf>
    <xf numFmtId="169" fontId="122" fillId="0" borderId="16" xfId="73" applyNumberFormat="1" applyFont="1" applyFill="1" applyBorder="1" applyAlignment="1" applyProtection="1">
      <alignment horizontal="right"/>
      <protection locked="0"/>
    </xf>
    <xf numFmtId="169" fontId="122" fillId="0" borderId="11" xfId="0" applyNumberFormat="1" applyFont="1" applyFill="1" applyBorder="1" applyAlignment="1" applyProtection="1">
      <alignment horizontal="right"/>
      <protection locked="0"/>
    </xf>
    <xf numFmtId="169" fontId="122" fillId="0" borderId="12" xfId="0" applyNumberFormat="1" applyFont="1" applyFill="1" applyBorder="1" applyAlignment="1" applyProtection="1">
      <alignment horizontal="right"/>
      <protection locked="0"/>
    </xf>
    <xf numFmtId="178" fontId="129" fillId="3" borderId="10" xfId="73" applyNumberFormat="1" applyFont="1" applyFill="1" applyBorder="1" applyAlignment="1" applyProtection="1">
      <alignment horizontal="right"/>
      <protection locked="0"/>
    </xf>
    <xf numFmtId="178" fontId="129" fillId="3" borderId="15" xfId="73" applyNumberFormat="1" applyFont="1" applyFill="1" applyBorder="1" applyAlignment="1" applyProtection="1">
      <alignment horizontal="right"/>
      <protection/>
    </xf>
    <xf numFmtId="178" fontId="130" fillId="25" borderId="15" xfId="73" applyNumberFormat="1" applyFont="1" applyFill="1" applyBorder="1" applyAlignment="1">
      <alignment horizontal="right"/>
      <protection/>
    </xf>
    <xf numFmtId="165" fontId="118" fillId="0" borderId="11" xfId="73" applyNumberFormat="1" applyFont="1" applyFill="1" applyBorder="1" applyAlignment="1" applyProtection="1">
      <alignment horizontal="right"/>
      <protection/>
    </xf>
    <xf numFmtId="165" fontId="119" fillId="24" borderId="10" xfId="73" applyNumberFormat="1" applyFont="1" applyFill="1" applyBorder="1" applyAlignment="1" applyProtection="1">
      <alignment horizontal="right"/>
      <protection/>
    </xf>
    <xf numFmtId="0" fontId="18" fillId="25" borderId="35" xfId="73" applyFont="1" applyFill="1" applyBorder="1" applyAlignment="1">
      <alignment horizontal="right"/>
      <protection/>
    </xf>
    <xf numFmtId="169" fontId="114" fillId="24" borderId="13" xfId="73" applyNumberFormat="1" applyFont="1" applyFill="1" applyBorder="1" applyAlignment="1" applyProtection="1">
      <alignment horizontal="right"/>
      <protection locked="0"/>
    </xf>
    <xf numFmtId="169" fontId="123" fillId="24" borderId="10" xfId="73" applyNumberFormat="1" applyFont="1" applyFill="1" applyBorder="1" applyAlignment="1" applyProtection="1">
      <alignment horizontal="right"/>
      <protection/>
    </xf>
    <xf numFmtId="0" fontId="128" fillId="0" borderId="10" xfId="73" applyFont="1" applyFill="1" applyBorder="1" applyAlignment="1">
      <alignment horizontal="left"/>
      <protection/>
    </xf>
    <xf numFmtId="0" fontId="15" fillId="10" borderId="12" xfId="73" applyFont="1" applyFill="1" applyBorder="1" applyAlignment="1">
      <alignment horizontal="center" wrapText="1"/>
      <protection/>
    </xf>
    <xf numFmtId="0" fontId="15" fillId="9" borderId="10" xfId="73" applyFont="1" applyFill="1" applyBorder="1" applyAlignment="1">
      <alignment horizontal="center" wrapText="1"/>
      <protection/>
    </xf>
    <xf numFmtId="0" fontId="16" fillId="3" borderId="10" xfId="73" applyFont="1" applyFill="1" applyBorder="1" applyAlignment="1">
      <alignment horizontal="center" wrapText="1"/>
      <protection/>
    </xf>
    <xf numFmtId="0" fontId="15" fillId="3" borderId="10" xfId="73" applyFont="1" applyFill="1" applyBorder="1" applyAlignment="1">
      <alignment horizontal="center" wrapText="1"/>
      <protection/>
    </xf>
    <xf numFmtId="0" fontId="15" fillId="9" borderId="11" xfId="73" applyFont="1" applyFill="1" applyBorder="1" applyAlignment="1">
      <alignment horizontal="center" wrapText="1"/>
      <protection/>
    </xf>
    <xf numFmtId="0" fontId="18" fillId="9" borderId="29" xfId="73" applyFont="1" applyFill="1" applyBorder="1" applyAlignment="1">
      <alignment horizontal="center" wrapText="1"/>
      <protection/>
    </xf>
    <xf numFmtId="0" fontId="15" fillId="9" borderId="12" xfId="73" applyFont="1" applyFill="1" applyBorder="1" applyAlignment="1">
      <alignment horizontal="center" wrapText="1"/>
      <protection/>
    </xf>
    <xf numFmtId="0" fontId="15" fillId="0" borderId="19" xfId="73" applyFont="1" applyFill="1" applyBorder="1" applyAlignment="1">
      <alignment horizontal="left" vertical="center"/>
      <protection/>
    </xf>
    <xf numFmtId="0" fontId="15" fillId="0" borderId="19" xfId="73" applyFont="1" applyFill="1" applyBorder="1" applyAlignment="1">
      <alignment horizontal="center" vertical="center" wrapText="1"/>
      <protection/>
    </xf>
    <xf numFmtId="49" fontId="15" fillId="0" borderId="15" xfId="73" applyNumberFormat="1" applyFont="1" applyFill="1" applyBorder="1" applyAlignment="1">
      <alignment horizontal="center" vertical="center" wrapText="1"/>
      <protection/>
    </xf>
    <xf numFmtId="0" fontId="15" fillId="24" borderId="15" xfId="73" applyFont="1" applyFill="1" applyBorder="1">
      <alignment/>
      <protection/>
    </xf>
    <xf numFmtId="169" fontId="124" fillId="25" borderId="15" xfId="73" applyNumberFormat="1" applyFont="1" applyFill="1" applyBorder="1" applyAlignment="1" applyProtection="1">
      <alignment horizontal="right"/>
      <protection/>
    </xf>
    <xf numFmtId="165" fontId="120" fillId="24" borderId="10" xfId="73" applyNumberFormat="1" applyFont="1" applyFill="1" applyBorder="1" applyAlignment="1" applyProtection="1">
      <alignment horizontal="right"/>
      <protection/>
    </xf>
    <xf numFmtId="169" fontId="120" fillId="24" borderId="15" xfId="73" applyNumberFormat="1" applyFont="1" applyFill="1" applyBorder="1" applyAlignment="1" applyProtection="1">
      <alignment horizontal="right"/>
      <protection/>
    </xf>
    <xf numFmtId="0" fontId="15" fillId="0" borderId="10" xfId="73" applyFont="1" applyFill="1" applyBorder="1" applyAlignment="1">
      <alignment horizontal="left"/>
      <protection/>
    </xf>
    <xf numFmtId="0" fontId="131" fillId="0" borderId="0" xfId="73" applyFont="1">
      <alignment/>
      <protection/>
    </xf>
    <xf numFmtId="0" fontId="15" fillId="3" borderId="10" xfId="73" applyFont="1" applyFill="1" applyBorder="1" applyAlignment="1">
      <alignment horizontal="left"/>
      <protection/>
    </xf>
    <xf numFmtId="169" fontId="129" fillId="0" borderId="15" xfId="73" applyNumberFormat="1" applyFont="1" applyFill="1" applyBorder="1" applyAlignment="1" applyProtection="1">
      <alignment horizontal="right"/>
      <protection/>
    </xf>
    <xf numFmtId="0" fontId="18" fillId="10" borderId="26" xfId="73" applyFont="1" applyFill="1" applyBorder="1" applyAlignment="1">
      <alignment horizontal="center" wrapText="1"/>
      <protection/>
    </xf>
    <xf numFmtId="0" fontId="19" fillId="0" borderId="0" xfId="73" applyAlignment="1">
      <alignment horizontal="center"/>
      <protection/>
    </xf>
    <xf numFmtId="0" fontId="19" fillId="0" borderId="0" xfId="73" applyFont="1">
      <alignment/>
      <protection/>
    </xf>
    <xf numFmtId="169" fontId="19" fillId="0" borderId="0" xfId="73" applyNumberFormat="1">
      <alignment/>
      <protection/>
    </xf>
    <xf numFmtId="0" fontId="15" fillId="0" borderId="0" xfId="0" applyFont="1" applyFill="1" applyBorder="1" applyAlignment="1">
      <alignment/>
    </xf>
    <xf numFmtId="0" fontId="15" fillId="22" borderId="0" xfId="0" applyFont="1" applyFill="1" applyAlignment="1">
      <alignment/>
    </xf>
    <xf numFmtId="0" fontId="15" fillId="8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22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60" applyBorder="1">
      <alignment/>
      <protection/>
    </xf>
    <xf numFmtId="0" fontId="135" fillId="0" borderId="0" xfId="60" applyFont="1" applyFill="1" applyBorder="1">
      <alignment/>
      <protection/>
    </xf>
    <xf numFmtId="0" fontId="18" fillId="0" borderId="10" xfId="60" applyFont="1" applyBorder="1" applyAlignment="1">
      <alignment horizontal="center"/>
      <protection/>
    </xf>
    <xf numFmtId="0" fontId="15" fillId="0" borderId="10" xfId="60" applyFont="1" applyBorder="1">
      <alignment/>
      <protection/>
    </xf>
    <xf numFmtId="49" fontId="22" fillId="0" borderId="10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 wrapText="1" indent="2"/>
    </xf>
    <xf numFmtId="49" fontId="22" fillId="25" borderId="10" xfId="0" applyNumberFormat="1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left" wrapText="1" indent="6"/>
    </xf>
    <xf numFmtId="0" fontId="29" fillId="25" borderId="10" xfId="0" applyFont="1" applyFill="1" applyBorder="1" applyAlignment="1">
      <alignment horizontal="center" vertical="center" wrapText="1"/>
    </xf>
    <xf numFmtId="4" fontId="29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left" wrapText="1" indent="3"/>
    </xf>
    <xf numFmtId="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15" fillId="0" borderId="0" xfId="60" applyFill="1" applyBorder="1">
      <alignment/>
      <protection/>
    </xf>
    <xf numFmtId="0" fontId="49" fillId="0" borderId="0" xfId="60" applyFont="1" applyFill="1" applyBorder="1">
      <alignment/>
      <protection/>
    </xf>
    <xf numFmtId="0" fontId="15" fillId="0" borderId="0" xfId="60" applyFill="1">
      <alignment/>
      <protection/>
    </xf>
    <xf numFmtId="164" fontId="15" fillId="0" borderId="10" xfId="60" applyNumberFormat="1" applyFont="1" applyBorder="1">
      <alignment/>
      <protection/>
    </xf>
    <xf numFmtId="164" fontId="51" fillId="0" borderId="10" xfId="60" applyNumberFormat="1" applyFont="1" applyBorder="1">
      <alignment/>
      <protection/>
    </xf>
    <xf numFmtId="164" fontId="8" fillId="25" borderId="10" xfId="0" applyNumberFormat="1" applyFont="1" applyFill="1" applyBorder="1" applyAlignment="1">
      <alignment horizontal="center"/>
    </xf>
    <xf numFmtId="164" fontId="1" fillId="25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1" fillId="25" borderId="15" xfId="0" applyNumberFormat="1" applyFont="1" applyFill="1" applyBorder="1" applyAlignment="1">
      <alignment/>
    </xf>
    <xf numFmtId="164" fontId="1" fillId="25" borderId="10" xfId="0" applyNumberFormat="1" applyFont="1" applyFill="1" applyBorder="1" applyAlignment="1">
      <alignment horizontal="center"/>
    </xf>
    <xf numFmtId="164" fontId="94" fillId="20" borderId="14" xfId="0" applyNumberFormat="1" applyFont="1" applyFill="1" applyBorder="1" applyAlignment="1">
      <alignment/>
    </xf>
    <xf numFmtId="164" fontId="94" fillId="20" borderId="15" xfId="0" applyNumberFormat="1" applyFont="1" applyFill="1" applyBorder="1" applyAlignment="1">
      <alignment/>
    </xf>
    <xf numFmtId="164" fontId="94" fillId="20" borderId="15" xfId="0" applyNumberFormat="1" applyFont="1" applyFill="1" applyBorder="1" applyAlignment="1">
      <alignment horizontal="center"/>
    </xf>
    <xf numFmtId="165" fontId="94" fillId="20" borderId="10" xfId="0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164" fontId="1" fillId="20" borderId="14" xfId="0" applyNumberFormat="1" applyFont="1" applyFill="1" applyBorder="1" applyAlignment="1">
      <alignment/>
    </xf>
    <xf numFmtId="164" fontId="1" fillId="20" borderId="15" xfId="0" applyNumberFormat="1" applyFont="1" applyFill="1" applyBorder="1" applyAlignment="1">
      <alignment/>
    </xf>
    <xf numFmtId="165" fontId="1" fillId="20" borderId="10" xfId="0" applyNumberFormat="1" applyFont="1" applyFill="1" applyBorder="1" applyAlignment="1">
      <alignment horizontal="center"/>
    </xf>
    <xf numFmtId="4" fontId="94" fillId="0" borderId="15" xfId="0" applyNumberFormat="1" applyFont="1" applyFill="1" applyBorder="1" applyAlignment="1">
      <alignment horizontal="center"/>
    </xf>
    <xf numFmtId="4" fontId="94" fillId="20" borderId="15" xfId="0" applyNumberFormat="1" applyFont="1" applyFill="1" applyBorder="1" applyAlignment="1">
      <alignment horizontal="center"/>
    </xf>
    <xf numFmtId="4" fontId="9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9" fontId="8" fillId="0" borderId="10" xfId="71" applyNumberFormat="1" applyFont="1" applyBorder="1" applyAlignment="1">
      <alignment horizontal="center"/>
      <protection/>
    </xf>
    <xf numFmtId="0" fontId="8" fillId="0" borderId="12" xfId="71" applyFont="1" applyBorder="1" applyAlignment="1">
      <alignment horizontal="center" vertical="center" wrapText="1"/>
      <protection/>
    </xf>
    <xf numFmtId="0" fontId="8" fillId="0" borderId="12" xfId="71" applyFont="1" applyFill="1" applyBorder="1" applyAlignment="1">
      <alignment horizontal="center" vertical="center" wrapText="1"/>
      <protection/>
    </xf>
    <xf numFmtId="4" fontId="1" fillId="0" borderId="0" xfId="71" applyNumberFormat="1" applyFont="1">
      <alignment/>
      <protection/>
    </xf>
    <xf numFmtId="0" fontId="1" fillId="0" borderId="46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96" fillId="0" borderId="12" xfId="0" applyFont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3" fontId="1" fillId="24" borderId="10" xfId="70" applyNumberFormat="1" applyFont="1" applyFill="1" applyBorder="1" applyAlignment="1">
      <alignment horizontal="center" vertical="center" wrapText="1"/>
      <protection/>
    </xf>
    <xf numFmtId="3" fontId="19" fillId="0" borderId="10" xfId="70" applyNumberFormat="1" applyBorder="1" applyAlignment="1">
      <alignment horizontal="center" vertical="center" wrapText="1"/>
      <protection/>
    </xf>
    <xf numFmtId="1" fontId="19" fillId="0" borderId="10" xfId="70" applyNumberFormat="1" applyBorder="1" applyAlignment="1">
      <alignment horizontal="center" vertical="center" wrapText="1"/>
      <protection/>
    </xf>
    <xf numFmtId="3" fontId="13" fillId="0" borderId="0" xfId="70" applyNumberFormat="1" applyFont="1" applyAlignment="1">
      <alignment horizontal="center"/>
      <protection/>
    </xf>
    <xf numFmtId="0" fontId="1" fillId="0" borderId="0" xfId="70" applyFont="1" applyAlignment="1">
      <alignment horizontal="center"/>
      <protection/>
    </xf>
    <xf numFmtId="4" fontId="4" fillId="0" borderId="10" xfId="0" applyNumberFormat="1" applyFont="1" applyBorder="1" applyAlignment="1">
      <alignment horizontal="center" vertical="top"/>
    </xf>
    <xf numFmtId="0" fontId="8" fillId="0" borderId="0" xfId="61" applyFont="1">
      <alignment/>
      <protection/>
    </xf>
    <xf numFmtId="0" fontId="0" fillId="0" borderId="0" xfId="61" applyFont="1" applyAlignment="1">
      <alignment wrapText="1"/>
      <protection/>
    </xf>
    <xf numFmtId="0" fontId="65" fillId="0" borderId="0" xfId="61" applyFont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0" fontId="148" fillId="0" borderId="0" xfId="61" applyFont="1" applyAlignment="1">
      <alignment horizontal="center" wrapText="1"/>
      <protection/>
    </xf>
    <xf numFmtId="0" fontId="146" fillId="24" borderId="10" xfId="61" applyFont="1" applyFill="1" applyBorder="1" applyAlignment="1">
      <alignment horizontal="center" vertical="top" wrapText="1"/>
      <protection/>
    </xf>
    <xf numFmtId="0" fontId="146" fillId="0" borderId="10" xfId="61" applyFont="1" applyBorder="1" applyAlignment="1">
      <alignment horizontal="center" vertical="top"/>
      <protection/>
    </xf>
    <xf numFmtId="0" fontId="146" fillId="0" borderId="10" xfId="61" applyFont="1" applyBorder="1" applyAlignment="1">
      <alignment horizontal="center" vertical="top" wrapText="1"/>
      <protection/>
    </xf>
    <xf numFmtId="0" fontId="146" fillId="0" borderId="10" xfId="61" applyFont="1" applyBorder="1" applyAlignment="1">
      <alignment horizontal="center"/>
      <protection/>
    </xf>
    <xf numFmtId="49" fontId="146" fillId="0" borderId="10" xfId="61" applyNumberFormat="1" applyFont="1" applyBorder="1" applyAlignment="1">
      <alignment horizontal="center" vertical="center"/>
      <protection/>
    </xf>
    <xf numFmtId="0" fontId="147" fillId="0" borderId="10" xfId="61" applyFont="1" applyBorder="1" applyAlignment="1">
      <alignment wrapText="1"/>
      <protection/>
    </xf>
    <xf numFmtId="164" fontId="146" fillId="0" borderId="10" xfId="61" applyNumberFormat="1" applyFont="1" applyBorder="1" applyAlignment="1">
      <alignment horizontal="center"/>
      <protection/>
    </xf>
    <xf numFmtId="164" fontId="146" fillId="0" borderId="10" xfId="61" applyNumberFormat="1" applyFont="1" applyFill="1" applyBorder="1" applyAlignment="1">
      <alignment horizontal="center"/>
      <protection/>
    </xf>
    <xf numFmtId="166" fontId="135" fillId="0" borderId="10" xfId="0" applyNumberFormat="1" applyFont="1" applyBorder="1" applyAlignment="1">
      <alignment horizontal="center"/>
    </xf>
    <xf numFmtId="0" fontId="146" fillId="0" borderId="10" xfId="61" applyFont="1" applyBorder="1" applyAlignment="1">
      <alignment horizontal="center" wrapText="1"/>
      <protection/>
    </xf>
    <xf numFmtId="0" fontId="135" fillId="0" borderId="10" xfId="0" applyFont="1" applyBorder="1" applyAlignment="1">
      <alignment horizontal="center"/>
    </xf>
    <xf numFmtId="166" fontId="81" fillId="0" borderId="11" xfId="0" applyNumberFormat="1" applyFont="1" applyFill="1" applyBorder="1" applyAlignment="1">
      <alignment horizontal="center"/>
    </xf>
    <xf numFmtId="166" fontId="136" fillId="0" borderId="10" xfId="0" applyNumberFormat="1" applyFont="1" applyFill="1" applyBorder="1" applyAlignment="1">
      <alignment horizontal="center"/>
    </xf>
    <xf numFmtId="0" fontId="146" fillId="0" borderId="10" xfId="61" applyFont="1" applyBorder="1" applyAlignment="1">
      <alignment horizontal="left" wrapText="1" indent="2"/>
      <protection/>
    </xf>
    <xf numFmtId="166" fontId="81" fillId="0" borderId="0" xfId="0" applyNumberFormat="1" applyFont="1" applyFill="1" applyAlignment="1">
      <alignment horizontal="center"/>
    </xf>
    <xf numFmtId="166" fontId="81" fillId="0" borderId="10" xfId="0" applyNumberFormat="1" applyFont="1" applyFill="1" applyBorder="1" applyAlignment="1">
      <alignment horizontal="center"/>
    </xf>
    <xf numFmtId="166" fontId="136" fillId="0" borderId="19" xfId="0" applyNumberFormat="1" applyFont="1" applyFill="1" applyBorder="1" applyAlignment="1">
      <alignment horizontal="center"/>
    </xf>
    <xf numFmtId="0" fontId="146" fillId="0" borderId="12" xfId="61" applyFont="1" applyBorder="1" applyAlignment="1">
      <alignment horizontal="left" wrapText="1" indent="4"/>
      <protection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6" fillId="0" borderId="10" xfId="61" applyFont="1" applyFill="1" applyBorder="1" applyAlignment="1">
      <alignment horizontal="center"/>
      <protection/>
    </xf>
    <xf numFmtId="0" fontId="149" fillId="0" borderId="10" xfId="61" applyFont="1" applyBorder="1" applyAlignment="1">
      <alignment horizontal="center"/>
      <protection/>
    </xf>
    <xf numFmtId="0" fontId="150" fillId="0" borderId="0" xfId="0" applyFont="1" applyFill="1" applyBorder="1" applyAlignment="1">
      <alignment horizontal="center"/>
    </xf>
    <xf numFmtId="0" fontId="149" fillId="24" borderId="10" xfId="61" applyFont="1" applyFill="1" applyBorder="1" applyAlignment="1">
      <alignment horizontal="center"/>
      <protection/>
    </xf>
    <xf numFmtId="0" fontId="151" fillId="0" borderId="10" xfId="61" applyFont="1" applyBorder="1">
      <alignment/>
      <protection/>
    </xf>
    <xf numFmtId="0" fontId="0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2" fillId="0" borderId="10" xfId="61" applyFont="1" applyBorder="1" applyAlignment="1">
      <alignment horizontal="center"/>
      <protection/>
    </xf>
    <xf numFmtId="0" fontId="135" fillId="0" borderId="0" xfId="0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35" fillId="0" borderId="0" xfId="0" applyFont="1" applyFill="1" applyBorder="1" applyAlignment="1">
      <alignment horizontal="center"/>
    </xf>
    <xf numFmtId="0" fontId="146" fillId="0" borderId="10" xfId="61" applyFont="1" applyFill="1" applyBorder="1" applyAlignment="1">
      <alignment horizontal="left" wrapText="1" indent="2"/>
      <protection/>
    </xf>
    <xf numFmtId="49" fontId="153" fillId="0" borderId="0" xfId="0" applyNumberFormat="1" applyFont="1" applyFill="1" applyBorder="1" applyAlignment="1">
      <alignment horizontal="center" vertical="center"/>
    </xf>
    <xf numFmtId="0" fontId="147" fillId="0" borderId="0" xfId="61" applyFont="1" applyAlignment="1">
      <alignment wrapText="1"/>
      <protection/>
    </xf>
    <xf numFmtId="0" fontId="146" fillId="0" borderId="12" xfId="61" applyFont="1" applyBorder="1" applyAlignment="1">
      <alignment horizontal="left" wrapText="1" indent="2"/>
      <protection/>
    </xf>
    <xf numFmtId="166" fontId="136" fillId="0" borderId="1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36" fillId="0" borderId="1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3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6" fillId="0" borderId="10" xfId="0" applyFont="1" applyBorder="1" applyAlignment="1">
      <alignment horizontal="center"/>
    </xf>
    <xf numFmtId="0" fontId="135" fillId="0" borderId="0" xfId="0" applyFont="1" applyFill="1" applyBorder="1" applyAlignment="1">
      <alignment horizontal="left" wrapText="1" indent="4"/>
    </xf>
    <xf numFmtId="0" fontId="156" fillId="0" borderId="0" xfId="0" applyFont="1" applyFill="1" applyBorder="1" applyAlignment="1">
      <alignment horizontal="center"/>
    </xf>
    <xf numFmtId="166" fontId="135" fillId="0" borderId="0" xfId="0" applyNumberFormat="1" applyFont="1" applyFill="1" applyBorder="1" applyAlignment="1">
      <alignment horizontal="right"/>
    </xf>
    <xf numFmtId="177" fontId="157" fillId="0" borderId="10" xfId="0" applyNumberFormat="1" applyFont="1" applyFill="1" applyBorder="1" applyAlignment="1">
      <alignment horizontal="center"/>
    </xf>
    <xf numFmtId="49" fontId="15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 applyAlignment="1">
      <alignment horizontal="left"/>
    </xf>
    <xf numFmtId="4" fontId="146" fillId="0" borderId="10" xfId="61" applyNumberFormat="1" applyFont="1" applyBorder="1" applyAlignment="1">
      <alignment horizontal="center"/>
      <protection/>
    </xf>
    <xf numFmtId="4" fontId="146" fillId="24" borderId="10" xfId="61" applyNumberFormat="1" applyFont="1" applyFill="1" applyBorder="1" applyAlignment="1">
      <alignment horizontal="center"/>
      <protection/>
    </xf>
    <xf numFmtId="2" fontId="146" fillId="24" borderId="10" xfId="61" applyNumberFormat="1" applyFont="1" applyFill="1" applyBorder="1" applyAlignment="1">
      <alignment horizontal="center"/>
      <protection/>
    </xf>
    <xf numFmtId="0" fontId="146" fillId="24" borderId="10" xfId="61" applyFont="1" applyFill="1" applyBorder="1" applyAlignment="1">
      <alignment horizontal="center"/>
      <protection/>
    </xf>
    <xf numFmtId="0" fontId="0" fillId="0" borderId="10" xfId="61" applyFont="1" applyFill="1" applyBorder="1">
      <alignment/>
      <protection/>
    </xf>
    <xf numFmtId="2" fontId="146" fillId="0" borderId="10" xfId="61" applyNumberFormat="1" applyFont="1" applyBorder="1" applyAlignment="1">
      <alignment horizontal="center"/>
      <protection/>
    </xf>
    <xf numFmtId="0" fontId="26" fillId="0" borderId="0" xfId="61" applyFont="1" applyAlignment="1">
      <alignment/>
      <protection/>
    </xf>
    <xf numFmtId="0" fontId="22" fillId="0" borderId="0" xfId="61" applyFont="1" applyFill="1">
      <alignment/>
      <protection/>
    </xf>
    <xf numFmtId="0" fontId="160" fillId="0" borderId="0" xfId="61" applyFont="1" applyFill="1" applyAlignment="1">
      <alignment horizontal="center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>
      <alignment/>
      <protection/>
    </xf>
    <xf numFmtId="0" fontId="161" fillId="0" borderId="0" xfId="61" applyFont="1" applyAlignment="1">
      <alignment horizontal="right" vertical="top"/>
      <protection/>
    </xf>
    <xf numFmtId="0" fontId="161" fillId="0" borderId="0" xfId="61" applyFont="1" applyFill="1" applyAlignment="1">
      <alignment horizontal="left" vertical="top"/>
      <protection/>
    </xf>
    <xf numFmtId="0" fontId="24" fillId="0" borderId="0" xfId="61" applyFont="1" applyFill="1">
      <alignment/>
      <protection/>
    </xf>
    <xf numFmtId="0" fontId="24" fillId="0" borderId="0" xfId="61" applyFont="1">
      <alignment/>
      <protection/>
    </xf>
    <xf numFmtId="0" fontId="161" fillId="0" borderId="0" xfId="61" applyFont="1" applyAlignment="1">
      <alignment horizontal="right"/>
      <protection/>
    </xf>
    <xf numFmtId="0" fontId="161" fillId="0" borderId="0" xfId="61" applyFont="1" applyFill="1" applyAlignment="1">
      <alignment horizontal="left"/>
      <protection/>
    </xf>
    <xf numFmtId="0" fontId="161" fillId="0" borderId="0" xfId="61" applyFont="1">
      <alignment/>
      <protection/>
    </xf>
    <xf numFmtId="0" fontId="161" fillId="0" borderId="0" xfId="61" applyFont="1" applyAlignment="1">
      <alignment horizontal="left" vertical="top"/>
      <protection/>
    </xf>
    <xf numFmtId="0" fontId="161" fillId="0" borderId="0" xfId="61" applyFont="1" applyAlignment="1">
      <alignment horizontal="left" vertical="center"/>
      <protection/>
    </xf>
    <xf numFmtId="0" fontId="161" fillId="0" borderId="0" xfId="61" applyFont="1" applyAlignment="1">
      <alignment horizontal="left"/>
      <protection/>
    </xf>
    <xf numFmtId="0" fontId="162" fillId="0" borderId="0" xfId="61" applyFont="1" applyAlignment="1">
      <alignment horizontal="left" vertical="center"/>
      <protection/>
    </xf>
    <xf numFmtId="0" fontId="161" fillId="0" borderId="0" xfId="61" applyFont="1" applyAlignment="1">
      <alignment horizontal="left" vertical="top" wrapText="1"/>
      <protection/>
    </xf>
    <xf numFmtId="0" fontId="166" fillId="0" borderId="0" xfId="61" applyFont="1">
      <alignment/>
      <protection/>
    </xf>
    <xf numFmtId="0" fontId="166" fillId="0" borderId="0" xfId="61" applyFont="1" applyAlignment="1">
      <alignment wrapText="1"/>
      <protection/>
    </xf>
    <xf numFmtId="0" fontId="166" fillId="0" borderId="0" xfId="61" applyFont="1" applyAlignment="1">
      <alignment horizontal="center"/>
      <protection/>
    </xf>
    <xf numFmtId="0" fontId="166" fillId="0" borderId="0" xfId="61" applyFont="1" applyBorder="1">
      <alignment/>
      <protection/>
    </xf>
    <xf numFmtId="0" fontId="166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wrapText="1"/>
      <protection/>
    </xf>
    <xf numFmtId="0" fontId="65" fillId="0" borderId="0" xfId="61" applyFont="1" applyBorder="1" applyAlignment="1">
      <alignment horizontal="center"/>
      <protection/>
    </xf>
    <xf numFmtId="0" fontId="147" fillId="0" borderId="12" xfId="61" applyFont="1" applyBorder="1" applyAlignment="1">
      <alignment horizontal="left" wrapText="1" indent="4"/>
      <protection/>
    </xf>
    <xf numFmtId="4" fontId="146" fillId="0" borderId="10" xfId="61" applyNumberFormat="1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/>
    </xf>
    <xf numFmtId="164" fontId="24" fillId="0" borderId="14" xfId="0" applyNumberFormat="1" applyFont="1" applyFill="1" applyBorder="1" applyAlignment="1">
      <alignment/>
    </xf>
    <xf numFmtId="164" fontId="24" fillId="0" borderId="15" xfId="0" applyNumberFormat="1" applyFont="1" applyFill="1" applyBorder="1" applyAlignment="1">
      <alignment/>
    </xf>
    <xf numFmtId="164" fontId="24" fillId="0" borderId="15" xfId="0" applyNumberFormat="1" applyFont="1" applyFill="1" applyBorder="1" applyAlignment="1">
      <alignment/>
    </xf>
    <xf numFmtId="164" fontId="167" fillId="0" borderId="10" xfId="0" applyNumberFormat="1" applyFont="1" applyFill="1" applyBorder="1" applyAlignment="1">
      <alignment horizontal="center"/>
    </xf>
    <xf numFmtId="164" fontId="1" fillId="20" borderId="10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168" fillId="0" borderId="10" xfId="0" applyNumberFormat="1" applyFont="1" applyBorder="1" applyAlignment="1">
      <alignment horizontal="center"/>
    </xf>
    <xf numFmtId="164" fontId="167" fillId="0" borderId="10" xfId="0" applyNumberFormat="1" applyFont="1" applyBorder="1" applyAlignment="1">
      <alignment horizontal="center"/>
    </xf>
    <xf numFmtId="164" fontId="168" fillId="0" borderId="14" xfId="0" applyNumberFormat="1" applyFont="1" applyBorder="1" applyAlignment="1">
      <alignment horizontal="center"/>
    </xf>
    <xf numFmtId="164" fontId="167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166" fontId="168" fillId="0" borderId="10" xfId="0" applyNumberFormat="1" applyFont="1" applyBorder="1" applyAlignment="1">
      <alignment horizontal="center"/>
    </xf>
    <xf numFmtId="166" fontId="167" fillId="0" borderId="10" xfId="0" applyNumberFormat="1" applyFont="1" applyBorder="1" applyAlignment="1">
      <alignment horizontal="center"/>
    </xf>
    <xf numFmtId="166" fontId="167" fillId="0" borderId="10" xfId="0" applyNumberFormat="1" applyFont="1" applyFill="1" applyBorder="1" applyAlignment="1">
      <alignment horizontal="center"/>
    </xf>
    <xf numFmtId="166" fontId="167" fillId="0" borderId="10" xfId="0" applyNumberFormat="1" applyFont="1" applyBorder="1" applyAlignment="1">
      <alignment horizontal="center"/>
    </xf>
    <xf numFmtId="166" fontId="168" fillId="24" borderId="10" xfId="0" applyNumberFormat="1" applyFont="1" applyFill="1" applyBorder="1" applyAlignment="1">
      <alignment horizontal="center"/>
    </xf>
    <xf numFmtId="166" fontId="167" fillId="24" borderId="10" xfId="0" applyNumberFormat="1" applyFont="1" applyFill="1" applyBorder="1" applyAlignment="1">
      <alignment horizontal="center"/>
    </xf>
    <xf numFmtId="0" fontId="108" fillId="0" borderId="0" xfId="60" applyFont="1">
      <alignment/>
      <protection/>
    </xf>
    <xf numFmtId="0" fontId="48" fillId="0" borderId="0" xfId="60" applyFont="1">
      <alignment/>
      <protection/>
    </xf>
    <xf numFmtId="0" fontId="169" fillId="0" borderId="0" xfId="60" applyFont="1" applyFill="1" applyBorder="1">
      <alignment/>
      <protection/>
    </xf>
    <xf numFmtId="0" fontId="170" fillId="0" borderId="0" xfId="60" applyFont="1" applyFill="1" applyBorder="1">
      <alignment/>
      <protection/>
    </xf>
    <xf numFmtId="0" fontId="146" fillId="0" borderId="14" xfId="60" applyFont="1" applyBorder="1" applyAlignment="1">
      <alignment horizontal="center" vertical="center" wrapText="1"/>
      <protection/>
    </xf>
    <xf numFmtId="0" fontId="146" fillId="0" borderId="14" xfId="60" applyFont="1" applyFill="1" applyBorder="1" applyAlignment="1">
      <alignment horizontal="center" vertical="center" wrapText="1"/>
      <protection/>
    </xf>
    <xf numFmtId="0" fontId="146" fillId="0" borderId="19" xfId="60" applyFont="1" applyBorder="1" applyAlignment="1">
      <alignment horizontal="center" vertical="center" wrapText="1"/>
      <protection/>
    </xf>
    <xf numFmtId="0" fontId="146" fillId="0" borderId="19" xfId="60" applyFont="1" applyFill="1" applyBorder="1" applyAlignment="1">
      <alignment horizontal="center" vertical="center" wrapText="1"/>
      <protection/>
    </xf>
    <xf numFmtId="0" fontId="147" fillId="7" borderId="11" xfId="60" applyFont="1" applyFill="1" applyBorder="1" applyAlignment="1">
      <alignment horizontal="right"/>
      <protection/>
    </xf>
    <xf numFmtId="0" fontId="147" fillId="7" borderId="13" xfId="60" applyFont="1" applyFill="1" applyBorder="1" applyAlignment="1">
      <alignment horizontal="right"/>
      <protection/>
    </xf>
    <xf numFmtId="0" fontId="147" fillId="7" borderId="12" xfId="60" applyFont="1" applyFill="1" applyBorder="1" applyAlignment="1">
      <alignment horizontal="right"/>
      <protection/>
    </xf>
    <xf numFmtId="167" fontId="147" fillId="7" borderId="15" xfId="60" applyNumberFormat="1" applyFont="1" applyFill="1" applyBorder="1" applyAlignment="1">
      <alignment horizontal="right"/>
      <protection/>
    </xf>
    <xf numFmtId="1" fontId="51" fillId="7" borderId="15" xfId="60" applyNumberFormat="1" applyFont="1" applyFill="1" applyBorder="1">
      <alignment/>
      <protection/>
    </xf>
    <xf numFmtId="0" fontId="147" fillId="7" borderId="15" xfId="60" applyFont="1" applyFill="1" applyBorder="1" applyAlignment="1">
      <alignment horizontal="center" vertical="center" wrapText="1"/>
      <protection/>
    </xf>
    <xf numFmtId="0" fontId="172" fillId="7" borderId="15" xfId="60" applyFont="1" applyFill="1" applyBorder="1">
      <alignment/>
      <protection/>
    </xf>
    <xf numFmtId="0" fontId="146" fillId="0" borderId="11" xfId="60" applyFont="1" applyBorder="1" applyAlignment="1">
      <alignment horizontal="left"/>
      <protection/>
    </xf>
    <xf numFmtId="0" fontId="146" fillId="0" borderId="13" xfId="60" applyFont="1" applyBorder="1" applyAlignment="1">
      <alignment horizontal="left"/>
      <protection/>
    </xf>
    <xf numFmtId="0" fontId="146" fillId="0" borderId="12" xfId="60" applyFont="1" applyBorder="1" applyAlignment="1">
      <alignment horizontal="left"/>
      <protection/>
    </xf>
    <xf numFmtId="167" fontId="146" fillId="0" borderId="10" xfId="60" applyNumberFormat="1" applyFont="1" applyBorder="1">
      <alignment/>
      <protection/>
    </xf>
    <xf numFmtId="1" fontId="146" fillId="0" borderId="10" xfId="60" applyNumberFormat="1" applyFont="1" applyBorder="1">
      <alignment/>
      <protection/>
    </xf>
    <xf numFmtId="0" fontId="147" fillId="0" borderId="10" xfId="60" applyFont="1" applyFill="1" applyBorder="1" applyAlignment="1">
      <alignment horizontal="center" vertical="center" wrapText="1"/>
      <protection/>
    </xf>
    <xf numFmtId="0" fontId="15" fillId="0" borderId="10" xfId="60" applyBorder="1">
      <alignment/>
      <protection/>
    </xf>
    <xf numFmtId="0" fontId="146" fillId="0" borderId="0" xfId="60" applyFont="1" applyBorder="1" applyAlignment="1">
      <alignment/>
      <protection/>
    </xf>
    <xf numFmtId="1" fontId="173" fillId="0" borderId="10" xfId="60" applyNumberFormat="1" applyFont="1" applyBorder="1">
      <alignment/>
      <protection/>
    </xf>
    <xf numFmtId="0" fontId="51" fillId="0" borderId="10" xfId="60" applyFont="1" applyBorder="1">
      <alignment/>
      <protection/>
    </xf>
    <xf numFmtId="0" fontId="136" fillId="0" borderId="0" xfId="60" applyFont="1" applyBorder="1">
      <alignment/>
      <protection/>
    </xf>
    <xf numFmtId="0" fontId="174" fillId="0" borderId="0" xfId="60" applyFont="1" applyFill="1" applyBorder="1" applyAlignment="1">
      <alignment/>
      <protection/>
    </xf>
    <xf numFmtId="0" fontId="175" fillId="0" borderId="12" xfId="60" applyFont="1" applyBorder="1" applyAlignment="1">
      <alignment horizontal="center"/>
      <protection/>
    </xf>
    <xf numFmtId="0" fontId="176" fillId="0" borderId="10" xfId="60" applyFont="1" applyFill="1" applyBorder="1" applyAlignment="1">
      <alignment horizontal="center" vertical="center" wrapText="1"/>
      <protection/>
    </xf>
    <xf numFmtId="0" fontId="146" fillId="0" borderId="0" xfId="60" applyFont="1" applyFill="1" applyBorder="1" applyAlignment="1">
      <alignment vertical="center" wrapText="1"/>
      <protection/>
    </xf>
    <xf numFmtId="0" fontId="175" fillId="0" borderId="10" xfId="60" applyFont="1" applyBorder="1" applyAlignment="1">
      <alignment horizontal="center"/>
      <protection/>
    </xf>
    <xf numFmtId="0" fontId="178" fillId="24" borderId="0" xfId="60" applyFont="1" applyFill="1" applyBorder="1" applyAlignment="1">
      <alignment/>
      <protection/>
    </xf>
    <xf numFmtId="0" fontId="172" fillId="0" borderId="0" xfId="60" applyFont="1" applyFill="1" applyBorder="1">
      <alignment/>
      <protection/>
    </xf>
    <xf numFmtId="0" fontId="146" fillId="0" borderId="17" xfId="60" applyFont="1" applyBorder="1" applyAlignment="1">
      <alignment horizontal="center"/>
      <protection/>
    </xf>
    <xf numFmtId="167" fontId="146" fillId="0" borderId="0" xfId="60" applyNumberFormat="1" applyFont="1" applyBorder="1">
      <alignment/>
      <protection/>
    </xf>
    <xf numFmtId="1" fontId="173" fillId="0" borderId="0" xfId="60" applyNumberFormat="1" applyFont="1" applyBorder="1">
      <alignment/>
      <protection/>
    </xf>
    <xf numFmtId="0" fontId="147" fillId="0" borderId="0" xfId="60" applyFont="1" applyFill="1" applyBorder="1" applyAlignment="1">
      <alignment horizontal="center" vertical="center" wrapText="1"/>
      <protection/>
    </xf>
    <xf numFmtId="0" fontId="51" fillId="0" borderId="0" xfId="60" applyFont="1" applyBorder="1">
      <alignment/>
      <protection/>
    </xf>
    <xf numFmtId="0" fontId="146" fillId="0" borderId="0" xfId="60" applyFont="1" applyFill="1" applyBorder="1" applyAlignment="1">
      <alignment/>
      <protection/>
    </xf>
    <xf numFmtId="167" fontId="146" fillId="0" borderId="0" xfId="60" applyNumberFormat="1" applyFont="1" applyFill="1" applyBorder="1">
      <alignment/>
      <protection/>
    </xf>
    <xf numFmtId="1" fontId="146" fillId="0" borderId="0" xfId="60" applyNumberFormat="1" applyFont="1" applyFill="1" applyBorder="1">
      <alignment/>
      <protection/>
    </xf>
    <xf numFmtId="0" fontId="174" fillId="0" borderId="0" xfId="60" applyFont="1" applyFill="1" applyBorder="1" applyAlignment="1">
      <alignment horizontal="right"/>
      <protection/>
    </xf>
    <xf numFmtId="0" fontId="175" fillId="0" borderId="0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center"/>
      <protection/>
    </xf>
    <xf numFmtId="0" fontId="176" fillId="0" borderId="0" xfId="60" applyFont="1" applyFill="1" applyBorder="1" applyAlignment="1">
      <alignment horizontal="center" vertical="center" wrapText="1"/>
      <protection/>
    </xf>
    <xf numFmtId="0" fontId="15" fillId="0" borderId="0" xfId="60" applyFont="1" applyFill="1" applyBorder="1">
      <alignment/>
      <protection/>
    </xf>
    <xf numFmtId="1" fontId="173" fillId="0" borderId="0" xfId="60" applyNumberFormat="1" applyFont="1" applyFill="1" applyBorder="1">
      <alignment/>
      <protection/>
    </xf>
    <xf numFmtId="0" fontId="51" fillId="0" borderId="0" xfId="60" applyFont="1" applyFill="1" applyBorder="1">
      <alignment/>
      <protection/>
    </xf>
    <xf numFmtId="0" fontId="146" fillId="0" borderId="15" xfId="60" applyFont="1" applyBorder="1" applyAlignment="1">
      <alignment horizontal="center" vertical="center" wrapText="1"/>
      <protection/>
    </xf>
    <xf numFmtId="0" fontId="146" fillId="0" borderId="15" xfId="60" applyFont="1" applyFill="1" applyBorder="1" applyAlignment="1">
      <alignment horizontal="center" vertical="center" wrapText="1"/>
      <protection/>
    </xf>
    <xf numFmtId="0" fontId="178" fillId="0" borderId="0" xfId="60" applyFont="1" applyFill="1" applyBorder="1" applyAlignment="1">
      <alignment/>
      <protection/>
    </xf>
    <xf numFmtId="167" fontId="147" fillId="7" borderId="10" xfId="60" applyNumberFormat="1" applyFont="1" applyFill="1" applyBorder="1" applyAlignment="1">
      <alignment horizontal="right"/>
      <protection/>
    </xf>
    <xf numFmtId="1" fontId="51" fillId="7" borderId="10" xfId="60" applyNumberFormat="1" applyFont="1" applyFill="1" applyBorder="1">
      <alignment/>
      <protection/>
    </xf>
    <xf numFmtId="0" fontId="147" fillId="7" borderId="10" xfId="60" applyFont="1" applyFill="1" applyBorder="1" applyAlignment="1">
      <alignment horizontal="center" vertical="center" wrapText="1"/>
      <protection/>
    </xf>
    <xf numFmtId="164" fontId="172" fillId="7" borderId="10" xfId="60" applyNumberFormat="1" applyFont="1" applyFill="1" applyBorder="1">
      <alignment/>
      <protection/>
    </xf>
    <xf numFmtId="164" fontId="15" fillId="0" borderId="10" xfId="60" applyNumberFormat="1" applyBorder="1">
      <alignment/>
      <protection/>
    </xf>
    <xf numFmtId="4" fontId="15" fillId="0" borderId="0" xfId="60" applyNumberFormat="1" applyFill="1" applyBorder="1">
      <alignment/>
      <protection/>
    </xf>
    <xf numFmtId="0" fontId="18" fillId="0" borderId="0" xfId="60" applyFont="1" applyFill="1" applyBorder="1">
      <alignment/>
      <protection/>
    </xf>
    <xf numFmtId="4" fontId="18" fillId="0" borderId="0" xfId="60" applyNumberFormat="1" applyFont="1" applyFill="1" applyBorder="1">
      <alignment/>
      <protection/>
    </xf>
    <xf numFmtId="2" fontId="18" fillId="0" borderId="0" xfId="60" applyNumberFormat="1" applyFont="1" applyFill="1" applyBorder="1">
      <alignment/>
      <protection/>
    </xf>
    <xf numFmtId="0" fontId="15" fillId="0" borderId="0" xfId="60" applyFont="1">
      <alignment/>
      <protection/>
    </xf>
    <xf numFmtId="1" fontId="108" fillId="0" borderId="0" xfId="60" applyNumberFormat="1" applyFont="1" applyFill="1" applyBorder="1">
      <alignment/>
      <protection/>
    </xf>
    <xf numFmtId="168" fontId="51" fillId="7" borderId="15" xfId="60" applyNumberFormat="1" applyFont="1" applyFill="1" applyBorder="1" applyAlignment="1">
      <alignment horizontal="center"/>
      <protection/>
    </xf>
    <xf numFmtId="164" fontId="51" fillId="7" borderId="10" xfId="60" applyNumberFormat="1" applyFont="1" applyFill="1" applyBorder="1">
      <alignment/>
      <protection/>
    </xf>
    <xf numFmtId="168" fontId="180" fillId="0" borderId="10" xfId="60" applyNumberFormat="1" applyFont="1" applyBorder="1">
      <alignment/>
      <protection/>
    </xf>
    <xf numFmtId="164" fontId="180" fillId="0" borderId="10" xfId="60" applyNumberFormat="1" applyFont="1" applyBorder="1" applyAlignment="1">
      <alignment horizontal="center"/>
      <protection/>
    </xf>
    <xf numFmtId="164" fontId="180" fillId="0" borderId="10" xfId="60" applyNumberFormat="1" applyFont="1" applyBorder="1">
      <alignment/>
      <protection/>
    </xf>
    <xf numFmtId="164" fontId="135" fillId="0" borderId="10" xfId="60" applyNumberFormat="1" applyFont="1" applyFill="1" applyBorder="1" applyAlignment="1">
      <alignment horizontal="center" vertical="center" wrapText="1"/>
      <protection/>
    </xf>
    <xf numFmtId="168" fontId="173" fillId="0" borderId="10" xfId="60" applyNumberFormat="1" applyFont="1" applyBorder="1">
      <alignment/>
      <protection/>
    </xf>
    <xf numFmtId="0" fontId="17" fillId="0" borderId="10" xfId="60" applyFont="1" applyBorder="1" applyAlignment="1">
      <alignment horizontal="right"/>
      <protection/>
    </xf>
    <xf numFmtId="164" fontId="15" fillId="0" borderId="0" xfId="60" applyNumberFormat="1" applyFont="1" applyFill="1" applyBorder="1">
      <alignment/>
      <protection/>
    </xf>
    <xf numFmtId="164" fontId="173" fillId="0" borderId="10" xfId="60" applyNumberFormat="1" applyFont="1" applyBorder="1">
      <alignment/>
      <protection/>
    </xf>
    <xf numFmtId="0" fontId="16" fillId="0" borderId="0" xfId="60" applyFont="1" applyFill="1" applyBorder="1" applyAlignment="1">
      <alignment/>
      <protection/>
    </xf>
    <xf numFmtId="164" fontId="135" fillId="0" borderId="0" xfId="60" applyNumberFormat="1" applyFont="1" applyFill="1" applyBorder="1" applyAlignment="1">
      <alignment horizontal="center" vertical="center" wrapText="1"/>
      <protection/>
    </xf>
    <xf numFmtId="0" fontId="138" fillId="0" borderId="0" xfId="60" applyFont="1" applyFill="1" applyBorder="1" applyAlignment="1">
      <alignment/>
      <protection/>
    </xf>
    <xf numFmtId="168" fontId="173" fillId="0" borderId="0" xfId="60" applyNumberFormat="1" applyFont="1" applyFill="1" applyBorder="1">
      <alignment/>
      <protection/>
    </xf>
    <xf numFmtId="164" fontId="180" fillId="0" borderId="0" xfId="60" applyNumberFormat="1" applyFont="1" applyFill="1" applyBorder="1">
      <alignment/>
      <protection/>
    </xf>
    <xf numFmtId="0" fontId="139" fillId="0" borderId="0" xfId="60" applyFont="1" applyFill="1" applyBorder="1" applyAlignment="1">
      <alignment/>
      <protection/>
    </xf>
    <xf numFmtId="0" fontId="17" fillId="0" borderId="0" xfId="60" applyFont="1" applyFill="1" applyBorder="1" applyAlignment="1">
      <alignment horizontal="right"/>
      <protection/>
    </xf>
    <xf numFmtId="0" fontId="16" fillId="0" borderId="0" xfId="60" applyFont="1">
      <alignment/>
      <protection/>
    </xf>
    <xf numFmtId="0" fontId="146" fillId="0" borderId="0" xfId="60" applyFont="1" applyFill="1" applyBorder="1" applyAlignment="1">
      <alignment horizontal="center" vertical="center" wrapText="1"/>
      <protection/>
    </xf>
    <xf numFmtId="0" fontId="147" fillId="0" borderId="0" xfId="60" applyFont="1" applyFill="1" applyBorder="1" applyAlignment="1">
      <alignment horizontal="right"/>
      <protection/>
    </xf>
    <xf numFmtId="167" fontId="147" fillId="0" borderId="0" xfId="60" applyNumberFormat="1" applyFont="1" applyFill="1" applyBorder="1" applyAlignment="1">
      <alignment horizontal="right"/>
      <protection/>
    </xf>
    <xf numFmtId="1" fontId="51" fillId="0" borderId="0" xfId="60" applyNumberFormat="1" applyFont="1" applyFill="1" applyBorder="1">
      <alignment/>
      <protection/>
    </xf>
    <xf numFmtId="0" fontId="147" fillId="0" borderId="0" xfId="60" applyFont="1" applyFill="1" applyBorder="1" applyAlignment="1">
      <alignment horizontal="center" vertical="center" wrapText="1"/>
      <protection/>
    </xf>
    <xf numFmtId="0" fontId="172" fillId="0" borderId="0" xfId="60" applyFont="1" applyFill="1" applyBorder="1">
      <alignment/>
      <protection/>
    </xf>
    <xf numFmtId="0" fontId="146" fillId="0" borderId="0" xfId="60" applyFont="1" applyFill="1" applyBorder="1" applyAlignment="1">
      <alignment horizontal="left"/>
      <protection/>
    </xf>
    <xf numFmtId="167" fontId="146" fillId="0" borderId="0" xfId="60" applyNumberFormat="1" applyFont="1" applyFill="1" applyBorder="1">
      <alignment/>
      <protection/>
    </xf>
    <xf numFmtId="1" fontId="146" fillId="0" borderId="0" xfId="60" applyNumberFormat="1" applyFont="1" applyFill="1" applyBorder="1">
      <alignment/>
      <protection/>
    </xf>
    <xf numFmtId="0" fontId="15" fillId="0" borderId="0" xfId="60" applyFill="1" applyBorder="1">
      <alignment/>
      <protection/>
    </xf>
    <xf numFmtId="1" fontId="173" fillId="0" borderId="0" xfId="60" applyNumberFormat="1" applyFont="1" applyFill="1" applyBorder="1">
      <alignment/>
      <protection/>
    </xf>
    <xf numFmtId="0" fontId="51" fillId="0" borderId="0" xfId="60" applyFont="1" applyFill="1" applyBorder="1">
      <alignment/>
      <protection/>
    </xf>
    <xf numFmtId="0" fontId="175" fillId="0" borderId="0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center"/>
      <protection/>
    </xf>
    <xf numFmtId="0" fontId="176" fillId="0" borderId="0" xfId="60" applyFont="1" applyFill="1" applyBorder="1" applyAlignment="1">
      <alignment horizontal="center" vertical="center" wrapText="1"/>
      <protection/>
    </xf>
    <xf numFmtId="0" fontId="15" fillId="0" borderId="0" xfId="60" applyFont="1" applyFill="1" applyBorder="1">
      <alignment/>
      <protection/>
    </xf>
    <xf numFmtId="0" fontId="146" fillId="0" borderId="0" xfId="60" applyFont="1" applyFill="1" applyBorder="1" applyAlignment="1">
      <alignment/>
      <protection/>
    </xf>
    <xf numFmtId="181" fontId="146" fillId="0" borderId="0" xfId="60" applyNumberFormat="1" applyFont="1" applyFill="1" applyBorder="1">
      <alignment/>
      <protection/>
    </xf>
    <xf numFmtId="0" fontId="178" fillId="0" borderId="0" xfId="60" applyFont="1" applyFill="1" applyBorder="1" applyAlignment="1">
      <alignment/>
      <protection/>
    </xf>
    <xf numFmtId="0" fontId="174" fillId="0" borderId="0" xfId="60" applyFont="1" applyFill="1" applyBorder="1" applyAlignment="1">
      <alignment/>
      <protection/>
    </xf>
    <xf numFmtId="1" fontId="15" fillId="0" borderId="0" xfId="60" applyNumberFormat="1" applyFill="1" applyBorder="1">
      <alignment/>
      <protection/>
    </xf>
    <xf numFmtId="4" fontId="15" fillId="0" borderId="0" xfId="60" applyNumberFormat="1" applyFill="1" applyBorder="1">
      <alignment/>
      <protection/>
    </xf>
    <xf numFmtId="1" fontId="108" fillId="0" borderId="0" xfId="60" applyNumberFormat="1" applyFont="1" applyFill="1" applyBorder="1">
      <alignment/>
      <protection/>
    </xf>
    <xf numFmtId="181" fontId="147" fillId="0" borderId="10" xfId="60" applyNumberFormat="1" applyFont="1" applyFill="1" applyBorder="1" applyAlignment="1">
      <alignment horizontal="center"/>
      <protection/>
    </xf>
    <xf numFmtId="164" fontId="1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1" fillId="2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6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14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6" fillId="0" borderId="0" xfId="0" applyFont="1" applyFill="1" applyBorder="1" applyAlignment="1">
      <alignment/>
    </xf>
    <xf numFmtId="0" fontId="142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143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144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96" fillId="0" borderId="0" xfId="0" applyFont="1" applyFill="1" applyBorder="1" applyAlignment="1">
      <alignment wrapText="1"/>
    </xf>
    <xf numFmtId="164" fontId="24" fillId="20" borderId="10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6" fontId="93" fillId="0" borderId="10" xfId="0" applyNumberFormat="1" applyFont="1" applyBorder="1" applyAlignment="1">
      <alignment horizontal="center"/>
    </xf>
    <xf numFmtId="166" fontId="93" fillId="0" borderId="10" xfId="0" applyNumberFormat="1" applyFont="1" applyBorder="1" applyAlignment="1">
      <alignment horizontal="center"/>
    </xf>
    <xf numFmtId="166" fontId="94" fillId="0" borderId="10" xfId="0" applyNumberFormat="1" applyFont="1" applyBorder="1" applyAlignment="1">
      <alignment horizontal="center"/>
    </xf>
    <xf numFmtId="166" fontId="94" fillId="0" borderId="10" xfId="0" applyNumberFormat="1" applyFont="1" applyFill="1" applyBorder="1" applyAlignment="1">
      <alignment horizontal="center"/>
    </xf>
    <xf numFmtId="166" fontId="94" fillId="0" borderId="10" xfId="0" applyNumberFormat="1" applyFont="1" applyBorder="1" applyAlignment="1">
      <alignment horizontal="center"/>
    </xf>
    <xf numFmtId="166" fontId="94" fillId="0" borderId="10" xfId="0" applyNumberFormat="1" applyFont="1" applyFill="1" applyBorder="1" applyAlignment="1">
      <alignment horizontal="center"/>
    </xf>
    <xf numFmtId="166" fontId="93" fillId="24" borderId="10" xfId="0" applyNumberFormat="1" applyFont="1" applyFill="1" applyBorder="1" applyAlignment="1">
      <alignment horizontal="center"/>
    </xf>
    <xf numFmtId="166" fontId="94" fillId="24" borderId="10" xfId="0" applyNumberFormat="1" applyFont="1" applyFill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24" fillId="0" borderId="43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165" fontId="168" fillId="0" borderId="10" xfId="0" applyNumberFormat="1" applyFont="1" applyBorder="1" applyAlignment="1">
      <alignment horizontal="center"/>
    </xf>
    <xf numFmtId="165" fontId="167" fillId="0" borderId="10" xfId="0" applyNumberFormat="1" applyFont="1" applyBorder="1" applyAlignment="1">
      <alignment horizontal="center"/>
    </xf>
    <xf numFmtId="164" fontId="167" fillId="0" borderId="10" xfId="0" applyNumberFormat="1" applyFont="1" applyBorder="1" applyAlignment="1">
      <alignment horizontal="center"/>
    </xf>
    <xf numFmtId="164" fontId="168" fillId="0" borderId="10" xfId="0" applyNumberFormat="1" applyFont="1" applyBorder="1" applyAlignment="1">
      <alignment horizontal="center"/>
    </xf>
    <xf numFmtId="164" fontId="167" fillId="0" borderId="43" xfId="0" applyNumberFormat="1" applyFont="1" applyBorder="1" applyAlignment="1">
      <alignment horizontal="center"/>
    </xf>
    <xf numFmtId="165" fontId="168" fillId="0" borderId="15" xfId="0" applyNumberFormat="1" applyFont="1" applyBorder="1" applyAlignment="1">
      <alignment horizontal="center"/>
    </xf>
    <xf numFmtId="4" fontId="168" fillId="0" borderId="10" xfId="0" applyNumberFormat="1" applyFont="1" applyBorder="1" applyAlignment="1">
      <alignment horizontal="center"/>
    </xf>
    <xf numFmtId="4" fontId="167" fillId="0" borderId="10" xfId="0" applyNumberFormat="1" applyFont="1" applyBorder="1" applyAlignment="1">
      <alignment horizontal="center"/>
    </xf>
    <xf numFmtId="3" fontId="168" fillId="0" borderId="10" xfId="0" applyNumberFormat="1" applyFont="1" applyBorder="1" applyAlignment="1">
      <alignment horizontal="center"/>
    </xf>
    <xf numFmtId="3" fontId="167" fillId="0" borderId="10" xfId="0" applyNumberFormat="1" applyFont="1" applyBorder="1" applyAlignment="1">
      <alignment horizontal="center"/>
    </xf>
    <xf numFmtId="0" fontId="182" fillId="0" borderId="12" xfId="0" applyFont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wrapText="1"/>
    </xf>
    <xf numFmtId="172" fontId="8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19" fillId="0" borderId="0" xfId="69" applyBorder="1" applyAlignment="1">
      <alignment horizontal="center"/>
      <protection/>
    </xf>
    <xf numFmtId="0" fontId="19" fillId="0" borderId="0" xfId="69" applyFont="1" applyFill="1" applyBorder="1" applyAlignment="1">
      <alignment horizontal="center" vertical="center" wrapText="1"/>
      <protection/>
    </xf>
    <xf numFmtId="0" fontId="19" fillId="22" borderId="0" xfId="69" applyFill="1" applyBorder="1">
      <alignment/>
      <protection/>
    </xf>
    <xf numFmtId="0" fontId="24" fillId="0" borderId="0" xfId="69" applyFont="1" applyFill="1" applyBorder="1" applyAlignment="1">
      <alignment horizontal="left" vertical="center" wrapText="1"/>
      <protection/>
    </xf>
    <xf numFmtId="0" fontId="96" fillId="0" borderId="0" xfId="69" applyFont="1" applyBorder="1" applyAlignment="1">
      <alignment horizontal="center" vertical="center" wrapText="1"/>
      <protection/>
    </xf>
    <xf numFmtId="49" fontId="1" fillId="24" borderId="0" xfId="69" applyNumberFormat="1" applyFont="1" applyFill="1" applyBorder="1" applyAlignment="1">
      <alignment horizontal="center" vertical="center"/>
      <protection/>
    </xf>
    <xf numFmtId="3" fontId="96" fillId="24" borderId="0" xfId="69" applyNumberFormat="1" applyFont="1" applyFill="1" applyBorder="1" applyAlignment="1">
      <alignment horizontal="center" vertical="center"/>
      <protection/>
    </xf>
    <xf numFmtId="10" fontId="1" fillId="24" borderId="0" xfId="69" applyNumberFormat="1" applyFont="1" applyFill="1" applyBorder="1" applyAlignment="1">
      <alignment horizontal="center" vertical="center"/>
      <protection/>
    </xf>
    <xf numFmtId="3" fontId="1" fillId="24" borderId="0" xfId="69" applyNumberFormat="1" applyFont="1" applyFill="1" applyBorder="1" applyAlignment="1">
      <alignment horizontal="center" vertical="center"/>
      <protection/>
    </xf>
    <xf numFmtId="3" fontId="19" fillId="0" borderId="0" xfId="69" applyNumberFormat="1" applyBorder="1" applyAlignment="1">
      <alignment horizontal="center"/>
      <protection/>
    </xf>
    <xf numFmtId="1" fontId="19" fillId="0" borderId="0" xfId="69" applyNumberFormat="1" applyBorder="1" applyAlignment="1">
      <alignment horizontal="center"/>
      <protection/>
    </xf>
    <xf numFmtId="0" fontId="19" fillId="22" borderId="0" xfId="69" applyFill="1" applyBorder="1" applyAlignment="1">
      <alignment horizontal="center" vertical="center" wrapText="1"/>
      <protection/>
    </xf>
    <xf numFmtId="0" fontId="96" fillId="0" borderId="0" xfId="69" applyFont="1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center" vertical="center"/>
      <protection/>
    </xf>
    <xf numFmtId="3" fontId="96" fillId="0" borderId="0" xfId="69" applyNumberFormat="1" applyFont="1" applyFill="1" applyBorder="1" applyAlignment="1">
      <alignment horizontal="center" vertical="center"/>
      <protection/>
    </xf>
    <xf numFmtId="10" fontId="1" fillId="0" borderId="0" xfId="69" applyNumberFormat="1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/>
      <protection/>
    </xf>
    <xf numFmtId="0" fontId="96" fillId="0" borderId="10" xfId="70" applyFont="1" applyFill="1" applyBorder="1" applyAlignment="1">
      <alignment horizontal="center" vertical="center" wrapText="1"/>
      <protection/>
    </xf>
    <xf numFmtId="0" fontId="1" fillId="0" borderId="10" xfId="70" applyNumberFormat="1" applyFont="1" applyFill="1" applyBorder="1" applyAlignment="1">
      <alignment horizontal="center" vertical="center"/>
      <protection/>
    </xf>
    <xf numFmtId="10" fontId="1" fillId="0" borderId="10" xfId="70" applyNumberFormat="1" applyFont="1" applyFill="1" applyBorder="1" applyAlignment="1">
      <alignment horizontal="center" vertical="center"/>
      <protection/>
    </xf>
    <xf numFmtId="3" fontId="1" fillId="0" borderId="10" xfId="70" applyNumberFormat="1" applyFont="1" applyFill="1" applyBorder="1" applyAlignment="1">
      <alignment horizontal="center" vertical="center"/>
      <protection/>
    </xf>
    <xf numFmtId="3" fontId="24" fillId="0" borderId="10" xfId="70" applyNumberFormat="1" applyFont="1" applyFill="1" applyBorder="1" applyAlignment="1">
      <alignment horizontal="center" vertical="center"/>
      <protection/>
    </xf>
    <xf numFmtId="3" fontId="1" fillId="0" borderId="10" xfId="70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16" fontId="7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58" fillId="0" borderId="0" xfId="0" applyFont="1" applyAlignment="1">
      <alignment wrapText="1"/>
    </xf>
    <xf numFmtId="0" fontId="13" fillId="0" borderId="0" xfId="0" applyFont="1" applyAlignment="1">
      <alignment/>
    </xf>
    <xf numFmtId="3" fontId="8" fillId="2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22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29" xfId="0" applyFont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53" xfId="0" applyFont="1" applyFill="1" applyBorder="1" applyAlignment="1">
      <alignment horizontal="center" vertical="center" wrapText="1"/>
    </xf>
    <xf numFmtId="0" fontId="101" fillId="0" borderId="5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7" fontId="1" fillId="0" borderId="29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63" fillId="0" borderId="10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167" fontId="1" fillId="0" borderId="53" xfId="0" applyNumberFormat="1" applyFont="1" applyFill="1" applyBorder="1" applyAlignment="1">
      <alignment horizontal="center"/>
    </xf>
    <xf numFmtId="167" fontId="1" fillId="0" borderId="54" xfId="0" applyNumberFormat="1" applyFont="1" applyFill="1" applyBorder="1" applyAlignment="1">
      <alignment horizontal="center"/>
    </xf>
    <xf numFmtId="49" fontId="184" fillId="0" borderId="10" xfId="0" applyNumberFormat="1" applyFont="1" applyFill="1" applyBorder="1" applyAlignment="1">
      <alignment horizontal="center" vertical="center"/>
    </xf>
    <xf numFmtId="0" fontId="184" fillId="0" borderId="13" xfId="0" applyFont="1" applyFill="1" applyBorder="1" applyAlignment="1">
      <alignment horizontal="left" wrapText="1"/>
    </xf>
    <xf numFmtId="0" fontId="184" fillId="0" borderId="10" xfId="0" applyFont="1" applyFill="1" applyBorder="1" applyAlignment="1">
      <alignment horizontal="center" wrapText="1"/>
    </xf>
    <xf numFmtId="0" fontId="184" fillId="0" borderId="11" xfId="0" applyFont="1" applyFill="1" applyBorder="1" applyAlignment="1">
      <alignment horizontal="center" wrapText="1"/>
    </xf>
    <xf numFmtId="0" fontId="184" fillId="0" borderId="29" xfId="0" applyFont="1" applyFill="1" applyBorder="1" applyAlignment="1">
      <alignment horizontal="center" wrapText="1"/>
    </xf>
    <xf numFmtId="1" fontId="184" fillId="0" borderId="12" xfId="0" applyNumberFormat="1" applyFont="1" applyFill="1" applyBorder="1" applyAlignment="1">
      <alignment horizontal="center"/>
    </xf>
    <xf numFmtId="167" fontId="184" fillId="0" borderId="10" xfId="0" applyNumberFormat="1" applyFont="1" applyFill="1" applyBorder="1" applyAlignment="1">
      <alignment horizontal="center"/>
    </xf>
    <xf numFmtId="1" fontId="184" fillId="0" borderId="11" xfId="0" applyNumberFormat="1" applyFont="1" applyFill="1" applyBorder="1" applyAlignment="1">
      <alignment horizontal="center"/>
    </xf>
    <xf numFmtId="167" fontId="184" fillId="0" borderId="29" xfId="0" applyNumberFormat="1" applyFont="1" applyFill="1" applyBorder="1" applyAlignment="1">
      <alignment horizontal="center"/>
    </xf>
    <xf numFmtId="1" fontId="184" fillId="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49" fontId="185" fillId="0" borderId="10" xfId="0" applyNumberFormat="1" applyFont="1" applyFill="1" applyBorder="1" applyAlignment="1">
      <alignment horizontal="center" vertical="center"/>
    </xf>
    <xf numFmtId="0" fontId="185" fillId="0" borderId="10" xfId="0" applyFont="1" applyBorder="1" applyAlignment="1">
      <alignment horizontal="left" wrapText="1"/>
    </xf>
    <xf numFmtId="0" fontId="185" fillId="0" borderId="10" xfId="0" applyFont="1" applyFill="1" applyBorder="1" applyAlignment="1">
      <alignment horizontal="center" wrapText="1"/>
    </xf>
    <xf numFmtId="0" fontId="185" fillId="0" borderId="11" xfId="0" applyFont="1" applyFill="1" applyBorder="1" applyAlignment="1">
      <alignment horizontal="center" wrapText="1"/>
    </xf>
    <xf numFmtId="0" fontId="185" fillId="0" borderId="29" xfId="0" applyFont="1" applyFill="1" applyBorder="1" applyAlignment="1">
      <alignment horizontal="center" wrapText="1"/>
    </xf>
    <xf numFmtId="1" fontId="185" fillId="0" borderId="12" xfId="0" applyNumberFormat="1" applyFont="1" applyFill="1" applyBorder="1" applyAlignment="1">
      <alignment horizontal="center"/>
    </xf>
    <xf numFmtId="1" fontId="185" fillId="0" borderId="10" xfId="0" applyNumberFormat="1" applyFont="1" applyFill="1" applyBorder="1" applyAlignment="1">
      <alignment horizontal="center"/>
    </xf>
    <xf numFmtId="1" fontId="185" fillId="0" borderId="11" xfId="0" applyNumberFormat="1" applyFont="1" applyFill="1" applyBorder="1" applyAlignment="1">
      <alignment horizontal="center"/>
    </xf>
    <xf numFmtId="1" fontId="185" fillId="0" borderId="29" xfId="0" applyNumberFormat="1" applyFont="1" applyFill="1" applyBorder="1" applyAlignment="1">
      <alignment horizontal="center"/>
    </xf>
    <xf numFmtId="0" fontId="185" fillId="0" borderId="0" xfId="0" applyFont="1" applyAlignment="1">
      <alignment/>
    </xf>
    <xf numFmtId="4" fontId="21" fillId="0" borderId="29" xfId="0" applyNumberFormat="1" applyFont="1" applyFill="1" applyBorder="1" applyAlignment="1">
      <alignment horizontal="center" wrapText="1"/>
    </xf>
    <xf numFmtId="0" fontId="21" fillId="0" borderId="29" xfId="0" applyFont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wrapText="1"/>
    </xf>
    <xf numFmtId="3" fontId="63" fillId="0" borderId="12" xfId="0" applyNumberFormat="1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3" fontId="63" fillId="0" borderId="29" xfId="0" applyNumberFormat="1" applyFont="1" applyBorder="1" applyAlignment="1">
      <alignment horizontal="center"/>
    </xf>
    <xf numFmtId="3" fontId="63" fillId="0" borderId="12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/>
    </xf>
    <xf numFmtId="3" fontId="63" fillId="0" borderId="53" xfId="0" applyNumberFormat="1" applyFont="1" applyFill="1" applyBorder="1" applyAlignment="1">
      <alignment horizontal="center"/>
    </xf>
    <xf numFmtId="3" fontId="63" fillId="0" borderId="54" xfId="0" applyNumberFormat="1" applyFont="1" applyFill="1" applyBorder="1" applyAlignment="1">
      <alignment horizontal="center"/>
    </xf>
    <xf numFmtId="49" fontId="63" fillId="0" borderId="10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64" fontId="63" fillId="0" borderId="29" xfId="0" applyNumberFormat="1" applyFont="1" applyFill="1" applyBorder="1" applyAlignment="1">
      <alignment horizontal="center" wrapText="1"/>
    </xf>
    <xf numFmtId="164" fontId="63" fillId="0" borderId="12" xfId="0" applyNumberFormat="1" applyFont="1" applyBorder="1" applyAlignment="1">
      <alignment horizontal="center"/>
    </xf>
    <xf numFmtId="3" fontId="21" fillId="0" borderId="29" xfId="0" applyNumberFormat="1" applyFont="1" applyFill="1" applyBorder="1" applyAlignment="1">
      <alignment horizontal="center"/>
    </xf>
    <xf numFmtId="3" fontId="21" fillId="0" borderId="53" xfId="0" applyNumberFormat="1" applyFont="1" applyFill="1" applyBorder="1" applyAlignment="1">
      <alignment horizontal="center"/>
    </xf>
    <xf numFmtId="3" fontId="21" fillId="0" borderId="54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 wrapText="1"/>
    </xf>
    <xf numFmtId="2" fontId="63" fillId="0" borderId="12" xfId="0" applyNumberFormat="1" applyFont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2" fontId="63" fillId="0" borderId="11" xfId="0" applyNumberFormat="1" applyFont="1" applyBorder="1" applyAlignment="1">
      <alignment horizontal="center"/>
    </xf>
    <xf numFmtId="2" fontId="24" fillId="0" borderId="29" xfId="0" applyNumberFormat="1" applyFont="1" applyBorder="1" applyAlignment="1">
      <alignment horizontal="center"/>
    </xf>
    <xf numFmtId="2" fontId="63" fillId="0" borderId="29" xfId="0" applyNumberFormat="1" applyFont="1" applyBorder="1" applyAlignment="1">
      <alignment horizontal="center"/>
    </xf>
    <xf numFmtId="4" fontId="63" fillId="0" borderId="12" xfId="0" applyNumberFormat="1" applyFont="1" applyFill="1" applyBorder="1" applyAlignment="1">
      <alignment horizontal="center"/>
    </xf>
    <xf numFmtId="2" fontId="63" fillId="0" borderId="12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horizontal="center"/>
    </xf>
    <xf numFmtId="2" fontId="63" fillId="0" borderId="53" xfId="0" applyNumberFormat="1" applyFont="1" applyFill="1" applyBorder="1" applyAlignment="1">
      <alignment horizontal="center"/>
    </xf>
    <xf numFmtId="2" fontId="63" fillId="0" borderId="54" xfId="0" applyNumberFormat="1" applyFont="1" applyFill="1" applyBorder="1" applyAlignment="1">
      <alignment horizontal="center"/>
    </xf>
    <xf numFmtId="167" fontId="63" fillId="0" borderId="12" xfId="0" applyNumberFormat="1" applyFont="1" applyBorder="1" applyAlignment="1">
      <alignment horizontal="center"/>
    </xf>
    <xf numFmtId="167" fontId="63" fillId="0" borderId="10" xfId="0" applyNumberFormat="1" applyFont="1" applyBorder="1" applyAlignment="1">
      <alignment horizontal="center"/>
    </xf>
    <xf numFmtId="167" fontId="63" fillId="0" borderId="11" xfId="0" applyNumberFormat="1" applyFont="1" applyBorder="1" applyAlignment="1">
      <alignment horizontal="center"/>
    </xf>
    <xf numFmtId="167" fontId="24" fillId="0" borderId="29" xfId="0" applyNumberFormat="1" applyFont="1" applyBorder="1" applyAlignment="1">
      <alignment horizontal="center"/>
    </xf>
    <xf numFmtId="167" fontId="63" fillId="0" borderId="29" xfId="0" applyNumberFormat="1" applyFont="1" applyBorder="1" applyAlignment="1">
      <alignment horizontal="center"/>
    </xf>
    <xf numFmtId="168" fontId="63" fillId="0" borderId="12" xfId="0" applyNumberFormat="1" applyFont="1" applyFill="1" applyBorder="1" applyAlignment="1">
      <alignment horizontal="center"/>
    </xf>
    <xf numFmtId="167" fontId="6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1" fontId="24" fillId="0" borderId="29" xfId="0" applyNumberFormat="1" applyFont="1" applyBorder="1" applyAlignment="1">
      <alignment horizontal="center"/>
    </xf>
    <xf numFmtId="1" fontId="63" fillId="0" borderId="29" xfId="0" applyNumberFormat="1" applyFont="1" applyBorder="1" applyAlignment="1">
      <alignment horizontal="center"/>
    </xf>
    <xf numFmtId="1" fontId="63" fillId="0" borderId="12" xfId="0" applyNumberFormat="1" applyFont="1" applyFill="1" applyBorder="1" applyAlignment="1">
      <alignment horizontal="center"/>
    </xf>
    <xf numFmtId="1" fontId="63" fillId="0" borderId="10" xfId="0" applyNumberFormat="1" applyFont="1" applyFill="1" applyBorder="1" applyAlignment="1">
      <alignment horizontal="center"/>
    </xf>
    <xf numFmtId="1" fontId="63" fillId="0" borderId="53" xfId="0" applyNumberFormat="1" applyFont="1" applyFill="1" applyBorder="1" applyAlignment="1">
      <alignment horizontal="center"/>
    </xf>
    <xf numFmtId="1" fontId="63" fillId="0" borderId="54" xfId="0" applyNumberFormat="1" applyFont="1" applyFill="1" applyBorder="1" applyAlignment="1">
      <alignment horizontal="center"/>
    </xf>
    <xf numFmtId="3" fontId="24" fillId="0" borderId="29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4" fillId="0" borderId="53" xfId="0" applyNumberFormat="1" applyFont="1" applyFill="1" applyBorder="1" applyAlignment="1">
      <alignment horizontal="center"/>
    </xf>
    <xf numFmtId="3" fontId="24" fillId="0" borderId="54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3" fontId="63" fillId="0" borderId="57" xfId="0" applyNumberFormat="1" applyFont="1" applyFill="1" applyBorder="1" applyAlignment="1">
      <alignment horizontal="center"/>
    </xf>
    <xf numFmtId="3" fontId="63" fillId="0" borderId="32" xfId="0" applyNumberFormat="1" applyFont="1" applyFill="1" applyBorder="1" applyAlignment="1">
      <alignment horizontal="center"/>
    </xf>
    <xf numFmtId="49" fontId="27" fillId="20" borderId="10" xfId="0" applyNumberFormat="1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left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3" fontId="27" fillId="20" borderId="29" xfId="0" applyNumberFormat="1" applyFont="1" applyFill="1" applyBorder="1" applyAlignment="1">
      <alignment horizontal="center"/>
    </xf>
    <xf numFmtId="3" fontId="27" fillId="20" borderId="53" xfId="0" applyNumberFormat="1" applyFont="1" applyFill="1" applyBorder="1" applyAlignment="1">
      <alignment horizontal="center"/>
    </xf>
    <xf numFmtId="3" fontId="27" fillId="20" borderId="54" xfId="0" applyNumberFormat="1" applyFont="1" applyFill="1" applyBorder="1" applyAlignment="1">
      <alignment horizontal="center"/>
    </xf>
    <xf numFmtId="3" fontId="63" fillId="0" borderId="1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8" fillId="0" borderId="54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 wrapText="1"/>
    </xf>
    <xf numFmtId="3" fontId="8" fillId="0" borderId="33" xfId="0" applyNumberFormat="1" applyFont="1" applyFill="1" applyBorder="1" applyAlignment="1">
      <alignment horizontal="center"/>
    </xf>
    <xf numFmtId="3" fontId="8" fillId="0" borderId="58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8" fillId="0" borderId="59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86" fillId="0" borderId="0" xfId="0" applyNumberFormat="1" applyFont="1" applyAlignment="1">
      <alignment horizontal="center"/>
    </xf>
    <xf numFmtId="165" fontId="98" fillId="0" borderId="0" xfId="78" applyNumberFormat="1" applyFont="1" applyAlignment="1">
      <alignment horizontal="center"/>
    </xf>
    <xf numFmtId="0" fontId="22" fillId="0" borderId="0" xfId="58" applyFont="1">
      <alignment/>
      <protection/>
    </xf>
    <xf numFmtId="165" fontId="27" fillId="0" borderId="0" xfId="78" applyNumberFormat="1" applyFont="1" applyAlignment="1">
      <alignment horizontal="center"/>
    </xf>
    <xf numFmtId="165" fontId="8" fillId="0" borderId="0" xfId="78" applyNumberFormat="1" applyFont="1" applyAlignment="1">
      <alignment horizontal="center"/>
    </xf>
    <xf numFmtId="3" fontId="8" fillId="0" borderId="0" xfId="78" applyNumberFormat="1" applyFont="1" applyFill="1" applyAlignment="1">
      <alignment horizontal="center"/>
    </xf>
    <xf numFmtId="3" fontId="27" fillId="0" borderId="0" xfId="78" applyNumberFormat="1" applyFont="1" applyFill="1" applyAlignment="1">
      <alignment horizontal="center"/>
    </xf>
    <xf numFmtId="3" fontId="186" fillId="0" borderId="0" xfId="78" applyNumberFormat="1" applyFont="1" applyFill="1" applyAlignment="1">
      <alignment horizontal="center"/>
    </xf>
    <xf numFmtId="3" fontId="1" fillId="0" borderId="0" xfId="78" applyNumberFormat="1" applyFont="1" applyFill="1" applyAlignment="1">
      <alignment horizontal="center"/>
    </xf>
    <xf numFmtId="0" fontId="26" fillId="0" borderId="10" xfId="58" applyFont="1" applyBorder="1" applyAlignment="1">
      <alignment horizontal="center" vertical="center" wrapText="1"/>
      <protection/>
    </xf>
    <xf numFmtId="3" fontId="21" fillId="0" borderId="0" xfId="0" applyNumberFormat="1" applyFont="1" applyAlignment="1">
      <alignment horizontal="center"/>
    </xf>
    <xf numFmtId="3" fontId="182" fillId="0" borderId="0" xfId="0" applyNumberFormat="1" applyFont="1" applyAlignment="1">
      <alignment horizontal="center"/>
    </xf>
    <xf numFmtId="0" fontId="24" fillId="0" borderId="10" xfId="58" applyFont="1" applyBorder="1" applyAlignment="1">
      <alignment horizontal="center"/>
      <protection/>
    </xf>
    <xf numFmtId="0" fontId="24" fillId="0" borderId="10" xfId="58" applyFont="1" applyBorder="1">
      <alignment/>
      <protection/>
    </xf>
    <xf numFmtId="167" fontId="24" fillId="25" borderId="10" xfId="58" applyNumberFormat="1" applyFont="1" applyFill="1" applyBorder="1">
      <alignment/>
      <protection/>
    </xf>
    <xf numFmtId="3" fontId="24" fillId="0" borderId="10" xfId="58" applyNumberFormat="1" applyFont="1" applyBorder="1">
      <alignment/>
      <protection/>
    </xf>
    <xf numFmtId="2" fontId="22" fillId="25" borderId="0" xfId="58" applyNumberFormat="1" applyFont="1" applyFill="1">
      <alignment/>
      <protection/>
    </xf>
    <xf numFmtId="4" fontId="24" fillId="0" borderId="10" xfId="58" applyNumberFormat="1" applyFont="1" applyBorder="1">
      <alignment/>
      <protection/>
    </xf>
    <xf numFmtId="4" fontId="24" fillId="0" borderId="10" xfId="58" applyNumberFormat="1" applyFont="1" applyBorder="1" applyAlignment="1">
      <alignment horizontal="center"/>
      <protection/>
    </xf>
    <xf numFmtId="3" fontId="24" fillId="0" borderId="10" xfId="58" applyNumberFormat="1" applyFont="1" applyBorder="1" applyAlignment="1">
      <alignment horizontal="center"/>
      <protection/>
    </xf>
    <xf numFmtId="10" fontId="24" fillId="0" borderId="10" xfId="58" applyNumberFormat="1" applyFont="1" applyBorder="1" applyAlignment="1">
      <alignment horizontal="center"/>
      <protection/>
    </xf>
    <xf numFmtId="3" fontId="23" fillId="0" borderId="0" xfId="0" applyNumberFormat="1" applyFont="1" applyAlignment="1">
      <alignment horizontal="center"/>
    </xf>
    <xf numFmtId="4" fontId="24" fillId="25" borderId="10" xfId="58" applyNumberFormat="1" applyFont="1" applyFill="1" applyBorder="1">
      <alignment/>
      <protection/>
    </xf>
    <xf numFmtId="0" fontId="26" fillId="0" borderId="10" xfId="58" applyFont="1" applyBorder="1">
      <alignment/>
      <protection/>
    </xf>
    <xf numFmtId="167" fontId="26" fillId="0" borderId="10" xfId="58" applyNumberFormat="1" applyFont="1" applyBorder="1">
      <alignment/>
      <protection/>
    </xf>
    <xf numFmtId="3" fontId="26" fillId="0" borderId="10" xfId="58" applyNumberFormat="1" applyFont="1" applyBorder="1">
      <alignment/>
      <protection/>
    </xf>
    <xf numFmtId="0" fontId="26" fillId="0" borderId="10" xfId="58" applyFont="1" applyBorder="1" applyAlignment="1">
      <alignment horizontal="center"/>
      <protection/>
    </xf>
    <xf numFmtId="2" fontId="26" fillId="0" borderId="10" xfId="58" applyNumberFormat="1" applyFont="1" applyBorder="1">
      <alignment/>
      <protection/>
    </xf>
    <xf numFmtId="2" fontId="26" fillId="0" borderId="10" xfId="58" applyNumberFormat="1" applyFont="1" applyBorder="1" applyAlignment="1">
      <alignment horizontal="center"/>
      <protection/>
    </xf>
    <xf numFmtId="3" fontId="26" fillId="0" borderId="10" xfId="58" applyNumberFormat="1" applyFont="1" applyBorder="1" applyAlignment="1">
      <alignment horizontal="center"/>
      <protection/>
    </xf>
    <xf numFmtId="10" fontId="26" fillId="0" borderId="10" xfId="58" applyNumberFormat="1" applyFont="1" applyBorder="1" applyAlignment="1">
      <alignment horizontal="center"/>
      <protection/>
    </xf>
    <xf numFmtId="0" fontId="101" fillId="0" borderId="46" xfId="0" applyFont="1" applyBorder="1" applyAlignment="1">
      <alignment horizontal="center" vertical="center" wrapText="1"/>
    </xf>
    <xf numFmtId="167" fontId="1" fillId="0" borderId="46" xfId="0" applyNumberFormat="1" applyFont="1" applyFill="1" applyBorder="1" applyAlignment="1">
      <alignment horizontal="center"/>
    </xf>
    <xf numFmtId="1" fontId="184" fillId="0" borderId="46" xfId="0" applyNumberFormat="1" applyFont="1" applyFill="1" applyBorder="1" applyAlignment="1">
      <alignment horizontal="center"/>
    </xf>
    <xf numFmtId="1" fontId="185" fillId="0" borderId="46" xfId="0" applyNumberFormat="1" applyFont="1" applyFill="1" applyBorder="1" applyAlignment="1">
      <alignment horizontal="center"/>
    </xf>
    <xf numFmtId="0" fontId="21" fillId="0" borderId="46" xfId="0" applyFont="1" applyBorder="1" applyAlignment="1">
      <alignment horizontal="center" vertical="top"/>
    </xf>
    <xf numFmtId="3" fontId="63" fillId="0" borderId="46" xfId="0" applyNumberFormat="1" applyFont="1" applyBorder="1" applyAlignment="1">
      <alignment horizontal="center"/>
    </xf>
    <xf numFmtId="164" fontId="63" fillId="0" borderId="46" xfId="0" applyNumberFormat="1" applyFont="1" applyBorder="1" applyAlignment="1">
      <alignment horizontal="center"/>
    </xf>
    <xf numFmtId="3" fontId="21" fillId="0" borderId="46" xfId="0" applyNumberFormat="1" applyFont="1" applyBorder="1" applyAlignment="1">
      <alignment horizontal="center"/>
    </xf>
    <xf numFmtId="2" fontId="63" fillId="0" borderId="46" xfId="0" applyNumberFormat="1" applyFont="1" applyBorder="1" applyAlignment="1">
      <alignment horizontal="center"/>
    </xf>
    <xf numFmtId="167" fontId="63" fillId="0" borderId="46" xfId="0" applyNumberFormat="1" applyFont="1" applyBorder="1" applyAlignment="1">
      <alignment horizontal="center"/>
    </xf>
    <xf numFmtId="3" fontId="21" fillId="0" borderId="46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3" fontId="1" fillId="0" borderId="46" xfId="0" applyNumberFormat="1" applyFont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0" fontId="8" fillId="0" borderId="46" xfId="0" applyFont="1" applyBorder="1" applyAlignment="1">
      <alignment horizontal="center" vertical="top"/>
    </xf>
    <xf numFmtId="0" fontId="63" fillId="0" borderId="46" xfId="0" applyFont="1" applyBorder="1" applyAlignment="1">
      <alignment horizontal="center"/>
    </xf>
    <xf numFmtId="3" fontId="27" fillId="20" borderId="46" xfId="0" applyNumberFormat="1" applyFont="1" applyFill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3" fontId="21" fillId="0" borderId="29" xfId="0" applyNumberFormat="1" applyFont="1" applyFill="1" applyBorder="1" applyAlignment="1">
      <alignment horizontal="center"/>
    </xf>
    <xf numFmtId="0" fontId="101" fillId="22" borderId="60" xfId="0" applyFont="1" applyFill="1" applyBorder="1" applyAlignment="1">
      <alignment horizontal="center" vertical="center" wrapText="1"/>
    </xf>
    <xf numFmtId="0" fontId="101" fillId="22" borderId="10" xfId="0" applyFont="1" applyFill="1" applyBorder="1" applyAlignment="1">
      <alignment horizontal="center" vertical="center" wrapText="1"/>
    </xf>
    <xf numFmtId="0" fontId="101" fillId="22" borderId="11" xfId="0" applyFont="1" applyFill="1" applyBorder="1" applyAlignment="1">
      <alignment horizontal="center" vertical="center" wrapText="1"/>
    </xf>
    <xf numFmtId="0" fontId="101" fillId="22" borderId="27" xfId="0" applyFont="1" applyFill="1" applyBorder="1" applyAlignment="1">
      <alignment horizontal="center" vertical="center" wrapText="1"/>
    </xf>
    <xf numFmtId="0" fontId="101" fillId="22" borderId="29" xfId="0" applyFont="1" applyFill="1" applyBorder="1" applyAlignment="1">
      <alignment horizontal="center" vertical="center" wrapText="1"/>
    </xf>
    <xf numFmtId="0" fontId="1" fillId="22" borderId="61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29" xfId="0" applyFont="1" applyFill="1" applyBorder="1" applyAlignment="1">
      <alignment horizontal="center" vertical="center" wrapText="1"/>
    </xf>
    <xf numFmtId="167" fontId="63" fillId="22" borderId="60" xfId="0" applyNumberFormat="1" applyFont="1" applyFill="1" applyBorder="1" applyAlignment="1">
      <alignment horizontal="center"/>
    </xf>
    <xf numFmtId="167" fontId="63" fillId="22" borderId="10" xfId="0" applyNumberFormat="1" applyFont="1" applyFill="1" applyBorder="1" applyAlignment="1">
      <alignment horizontal="center"/>
    </xf>
    <xf numFmtId="167" fontId="63" fillId="22" borderId="11" xfId="0" applyNumberFormat="1" applyFont="1" applyFill="1" applyBorder="1" applyAlignment="1">
      <alignment horizontal="center"/>
    </xf>
    <xf numFmtId="167" fontId="1" fillId="22" borderId="29" xfId="0" applyNumberFormat="1" applyFont="1" applyFill="1" applyBorder="1" applyAlignment="1">
      <alignment horizontal="center"/>
    </xf>
    <xf numFmtId="3" fontId="63" fillId="22" borderId="60" xfId="0" applyNumberFormat="1" applyFont="1" applyFill="1" applyBorder="1" applyAlignment="1">
      <alignment horizontal="center"/>
    </xf>
    <xf numFmtId="3" fontId="63" fillId="22" borderId="10" xfId="0" applyNumberFormat="1" applyFont="1" applyFill="1" applyBorder="1" applyAlignment="1">
      <alignment horizontal="center"/>
    </xf>
    <xf numFmtId="3" fontId="63" fillId="22" borderId="29" xfId="0" applyNumberFormat="1" applyFont="1" applyFill="1" applyBorder="1" applyAlignment="1">
      <alignment horizontal="center"/>
    </xf>
    <xf numFmtId="3" fontId="21" fillId="22" borderId="60" xfId="0" applyNumberFormat="1" applyFont="1" applyFill="1" applyBorder="1" applyAlignment="1">
      <alignment horizontal="center"/>
    </xf>
    <xf numFmtId="3" fontId="21" fillId="22" borderId="10" xfId="0" applyNumberFormat="1" applyFont="1" applyFill="1" applyBorder="1" applyAlignment="1">
      <alignment horizontal="center"/>
    </xf>
    <xf numFmtId="3" fontId="21" fillId="22" borderId="11" xfId="0" applyNumberFormat="1" applyFont="1" applyFill="1" applyBorder="1" applyAlignment="1">
      <alignment horizontal="center"/>
    </xf>
    <xf numFmtId="3" fontId="21" fillId="22" borderId="29" xfId="0" applyNumberFormat="1" applyFont="1" applyFill="1" applyBorder="1" applyAlignment="1">
      <alignment horizontal="center"/>
    </xf>
    <xf numFmtId="2" fontId="63" fillId="22" borderId="60" xfId="0" applyNumberFormat="1" applyFont="1" applyFill="1" applyBorder="1" applyAlignment="1">
      <alignment horizontal="center"/>
    </xf>
    <xf numFmtId="2" fontId="63" fillId="22" borderId="10" xfId="0" applyNumberFormat="1" applyFont="1" applyFill="1" applyBorder="1" applyAlignment="1">
      <alignment horizontal="center"/>
    </xf>
    <xf numFmtId="2" fontId="63" fillId="22" borderId="11" xfId="0" applyNumberFormat="1" applyFont="1" applyFill="1" applyBorder="1" applyAlignment="1">
      <alignment horizontal="center"/>
    </xf>
    <xf numFmtId="2" fontId="63" fillId="22" borderId="29" xfId="0" applyNumberFormat="1" applyFont="1" applyFill="1" applyBorder="1" applyAlignment="1">
      <alignment horizontal="center"/>
    </xf>
    <xf numFmtId="167" fontId="63" fillId="22" borderId="29" xfId="0" applyNumberFormat="1" applyFont="1" applyFill="1" applyBorder="1" applyAlignment="1">
      <alignment horizontal="center"/>
    </xf>
    <xf numFmtId="0" fontId="1" fillId="22" borderId="60" xfId="0" applyFont="1" applyFill="1" applyBorder="1" applyAlignment="1">
      <alignment horizontal="center" vertical="top"/>
    </xf>
    <xf numFmtId="0" fontId="1" fillId="22" borderId="10" xfId="0" applyFont="1" applyFill="1" applyBorder="1" applyAlignment="1">
      <alignment horizontal="center" vertical="top"/>
    </xf>
    <xf numFmtId="0" fontId="1" fillId="22" borderId="11" xfId="0" applyFont="1" applyFill="1" applyBorder="1" applyAlignment="1">
      <alignment horizontal="center" vertical="top"/>
    </xf>
    <xf numFmtId="0" fontId="1" fillId="22" borderId="29" xfId="0" applyFont="1" applyFill="1" applyBorder="1" applyAlignment="1">
      <alignment horizontal="center" vertical="top"/>
    </xf>
    <xf numFmtId="1" fontId="63" fillId="22" borderId="60" xfId="0" applyNumberFormat="1" applyFont="1" applyFill="1" applyBorder="1" applyAlignment="1">
      <alignment horizontal="center"/>
    </xf>
    <xf numFmtId="1" fontId="63" fillId="22" borderId="10" xfId="0" applyNumberFormat="1" applyFont="1" applyFill="1" applyBorder="1" applyAlignment="1">
      <alignment horizontal="center"/>
    </xf>
    <xf numFmtId="1" fontId="63" fillId="22" borderId="11" xfId="0" applyNumberFormat="1" applyFont="1" applyFill="1" applyBorder="1" applyAlignment="1">
      <alignment horizontal="center"/>
    </xf>
    <xf numFmtId="1" fontId="63" fillId="22" borderId="29" xfId="0" applyNumberFormat="1" applyFont="1" applyFill="1" applyBorder="1" applyAlignment="1">
      <alignment horizontal="center"/>
    </xf>
    <xf numFmtId="3" fontId="1" fillId="22" borderId="60" xfId="0" applyNumberFormat="1" applyFon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3" fontId="1" fillId="22" borderId="11" xfId="0" applyNumberFormat="1" applyFont="1" applyFill="1" applyBorder="1" applyAlignment="1">
      <alignment horizontal="center"/>
    </xf>
    <xf numFmtId="3" fontId="24" fillId="22" borderId="29" xfId="0" applyNumberFormat="1" applyFont="1" applyFill="1" applyBorder="1" applyAlignment="1">
      <alignment horizontal="center"/>
    </xf>
    <xf numFmtId="0" fontId="1" fillId="22" borderId="6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29" xfId="0" applyFont="1" applyFill="1" applyBorder="1" applyAlignment="1">
      <alignment horizontal="center"/>
    </xf>
    <xf numFmtId="1" fontId="63" fillId="22" borderId="62" xfId="0" applyNumberFormat="1" applyFont="1" applyFill="1" applyBorder="1" applyAlignment="1">
      <alignment horizontal="center"/>
    </xf>
    <xf numFmtId="0" fontId="8" fillId="22" borderId="60" xfId="0" applyFont="1" applyFill="1" applyBorder="1" applyAlignment="1">
      <alignment horizontal="center" vertical="top"/>
    </xf>
    <xf numFmtId="0" fontId="8" fillId="22" borderId="10" xfId="0" applyFont="1" applyFill="1" applyBorder="1" applyAlignment="1">
      <alignment horizontal="center" vertical="top"/>
    </xf>
    <xf numFmtId="0" fontId="8" fillId="22" borderId="11" xfId="0" applyFont="1" applyFill="1" applyBorder="1" applyAlignment="1">
      <alignment horizontal="center" vertical="top"/>
    </xf>
    <xf numFmtId="0" fontId="63" fillId="22" borderId="60" xfId="0" applyFont="1" applyFill="1" applyBorder="1" applyAlignment="1">
      <alignment horizontal="center"/>
    </xf>
    <xf numFmtId="0" fontId="63" fillId="22" borderId="10" xfId="0" applyFont="1" applyFill="1" applyBorder="1" applyAlignment="1">
      <alignment horizontal="center"/>
    </xf>
    <xf numFmtId="0" fontId="63" fillId="22" borderId="11" xfId="0" applyFont="1" applyFill="1" applyBorder="1" applyAlignment="1">
      <alignment horizontal="center"/>
    </xf>
    <xf numFmtId="3" fontId="27" fillId="22" borderId="60" xfId="0" applyNumberFormat="1" applyFont="1" applyFill="1" applyBorder="1" applyAlignment="1">
      <alignment horizontal="center"/>
    </xf>
    <xf numFmtId="3" fontId="27" fillId="22" borderId="10" xfId="0" applyNumberFormat="1" applyFont="1" applyFill="1" applyBorder="1" applyAlignment="1">
      <alignment horizontal="center"/>
    </xf>
    <xf numFmtId="3" fontId="27" fillId="22" borderId="11" xfId="0" applyNumberFormat="1" applyFont="1" applyFill="1" applyBorder="1" applyAlignment="1">
      <alignment horizontal="center"/>
    </xf>
    <xf numFmtId="3" fontId="27" fillId="22" borderId="29" xfId="0" applyNumberFormat="1" applyFont="1" applyFill="1" applyBorder="1" applyAlignment="1">
      <alignment horizontal="center"/>
    </xf>
    <xf numFmtId="3" fontId="63" fillId="22" borderId="11" xfId="0" applyNumberFormat="1" applyFont="1" applyFill="1" applyBorder="1" applyAlignment="1">
      <alignment horizontal="center"/>
    </xf>
    <xf numFmtId="3" fontId="8" fillId="22" borderId="60" xfId="0" applyNumberFormat="1" applyFont="1" applyFill="1" applyBorder="1" applyAlignment="1">
      <alignment horizontal="center"/>
    </xf>
    <xf numFmtId="3" fontId="8" fillId="22" borderId="10" xfId="0" applyNumberFormat="1" applyFont="1" applyFill="1" applyBorder="1" applyAlignment="1">
      <alignment horizontal="center"/>
    </xf>
    <xf numFmtId="3" fontId="8" fillId="22" borderId="11" xfId="0" applyNumberFormat="1" applyFont="1" applyFill="1" applyBorder="1" applyAlignment="1">
      <alignment horizontal="center"/>
    </xf>
    <xf numFmtId="3" fontId="1" fillId="22" borderId="2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168" fontId="1" fillId="0" borderId="53" xfId="0" applyNumberFormat="1" applyFont="1" applyFill="1" applyBorder="1" applyAlignment="1">
      <alignment horizontal="center"/>
    </xf>
    <xf numFmtId="168" fontId="8" fillId="0" borderId="53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/>
    </xf>
    <xf numFmtId="1" fontId="1" fillId="0" borderId="53" xfId="0" applyNumberFormat="1" applyFont="1" applyFill="1" applyBorder="1" applyAlignment="1">
      <alignment horizontal="center"/>
    </xf>
    <xf numFmtId="9" fontId="1" fillId="0" borderId="53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8" fillId="0" borderId="53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left" wrapText="1"/>
    </xf>
    <xf numFmtId="1" fontId="98" fillId="0" borderId="53" xfId="0" applyNumberFormat="1" applyFont="1" applyFill="1" applyBorder="1" applyAlignment="1">
      <alignment horizontal="center"/>
    </xf>
    <xf numFmtId="1" fontId="98" fillId="0" borderId="10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164" fontId="1" fillId="0" borderId="53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8" fillId="0" borderId="53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/>
    </xf>
    <xf numFmtId="49" fontId="8" fillId="20" borderId="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5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165" fontId="1" fillId="0" borderId="10" xfId="78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Fill="1" applyAlignment="1">
      <alignment/>
    </xf>
    <xf numFmtId="171" fontId="1" fillId="0" borderId="0" xfId="0" applyNumberFormat="1" applyFont="1" applyAlignment="1">
      <alignment/>
    </xf>
    <xf numFmtId="0" fontId="99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98" fillId="22" borderId="11" xfId="0" applyNumberFormat="1" applyFont="1" applyFill="1" applyBorder="1" applyAlignment="1">
      <alignment horizontal="center"/>
    </xf>
    <xf numFmtId="1" fontId="8" fillId="22" borderId="11" xfId="0" applyNumberFormat="1" applyFont="1" applyFill="1" applyBorder="1" applyAlignment="1">
      <alignment horizont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53" xfId="0" applyFont="1" applyFill="1" applyBorder="1" applyAlignment="1">
      <alignment horizontal="center" vertical="center" wrapText="1"/>
    </xf>
    <xf numFmtId="0" fontId="101" fillId="0" borderId="5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53" xfId="0" applyNumberFormat="1" applyFont="1" applyFill="1" applyBorder="1" applyAlignment="1">
      <alignment horizontal="center"/>
    </xf>
    <xf numFmtId="167" fontId="1" fillId="0" borderId="54" xfId="0" applyNumberFormat="1" applyFont="1" applyFill="1" applyBorder="1" applyAlignment="1">
      <alignment horizontal="center"/>
    </xf>
    <xf numFmtId="1" fontId="184" fillId="0" borderId="12" xfId="0" applyNumberFormat="1" applyFont="1" applyFill="1" applyBorder="1" applyAlignment="1">
      <alignment horizontal="center"/>
    </xf>
    <xf numFmtId="167" fontId="184" fillId="0" borderId="12" xfId="0" applyNumberFormat="1" applyFont="1" applyFill="1" applyBorder="1" applyAlignment="1">
      <alignment horizontal="center"/>
    </xf>
    <xf numFmtId="0" fontId="184" fillId="0" borderId="10" xfId="0" applyFont="1" applyFill="1" applyBorder="1" applyAlignment="1">
      <alignment horizontal="center"/>
    </xf>
    <xf numFmtId="167" fontId="184" fillId="0" borderId="57" xfId="0" applyNumberFormat="1" applyFont="1" applyFill="1" applyBorder="1" applyAlignment="1">
      <alignment horizontal="center"/>
    </xf>
    <xf numFmtId="167" fontId="184" fillId="0" borderId="10" xfId="0" applyNumberFormat="1" applyFont="1" applyFill="1" applyBorder="1" applyAlignment="1">
      <alignment horizontal="center"/>
    </xf>
    <xf numFmtId="167" fontId="184" fillId="0" borderId="32" xfId="0" applyNumberFormat="1" applyFont="1" applyFill="1" applyBorder="1" applyAlignment="1">
      <alignment horizontal="center"/>
    </xf>
    <xf numFmtId="1" fontId="185" fillId="0" borderId="12" xfId="0" applyNumberFormat="1" applyFont="1" applyFill="1" applyBorder="1" applyAlignment="1">
      <alignment horizontal="center"/>
    </xf>
    <xf numFmtId="0" fontId="185" fillId="0" borderId="10" xfId="0" applyFont="1" applyFill="1" applyBorder="1" applyAlignment="1">
      <alignment horizontal="center"/>
    </xf>
    <xf numFmtId="0" fontId="185" fillId="0" borderId="11" xfId="0" applyFont="1" applyFill="1" applyBorder="1" applyAlignment="1">
      <alignment horizontal="center"/>
    </xf>
    <xf numFmtId="1" fontId="185" fillId="0" borderId="53" xfId="0" applyNumberFormat="1" applyFont="1" applyFill="1" applyBorder="1" applyAlignment="1">
      <alignment horizontal="center"/>
    </xf>
    <xf numFmtId="1" fontId="185" fillId="0" borderId="10" xfId="0" applyNumberFormat="1" applyFont="1" applyFill="1" applyBorder="1" applyAlignment="1">
      <alignment horizontal="center"/>
    </xf>
    <xf numFmtId="1" fontId="185" fillId="0" borderId="54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53" xfId="0" applyFont="1" applyFill="1" applyBorder="1" applyAlignment="1">
      <alignment horizontal="center" vertical="top"/>
    </xf>
    <xf numFmtId="0" fontId="21" fillId="0" borderId="54" xfId="0" applyFont="1" applyFill="1" applyBorder="1" applyAlignment="1">
      <alignment horizontal="center" vertical="top"/>
    </xf>
    <xf numFmtId="3" fontId="63" fillId="0" borderId="12" xfId="0" applyNumberFormat="1" applyFont="1" applyFill="1" applyBorder="1" applyAlignment="1">
      <alignment horizontal="center"/>
    </xf>
    <xf numFmtId="3" fontId="63" fillId="0" borderId="13" xfId="0" applyNumberFormat="1" applyFont="1" applyFill="1" applyBorder="1" applyAlignment="1">
      <alignment horizontal="center"/>
    </xf>
    <xf numFmtId="3" fontId="63" fillId="0" borderId="53" xfId="0" applyNumberFormat="1" applyFont="1" applyFill="1" applyBorder="1" applyAlignment="1">
      <alignment horizontal="center"/>
    </xf>
    <xf numFmtId="3" fontId="63" fillId="0" borderId="32" xfId="0" applyNumberFormat="1" applyFont="1" applyFill="1" applyBorder="1" applyAlignment="1">
      <alignment horizontal="center"/>
    </xf>
    <xf numFmtId="164" fontId="63" fillId="0" borderId="12" xfId="0" applyNumberFormat="1" applyFont="1" applyFill="1" applyBorder="1" applyAlignment="1">
      <alignment horizontal="center"/>
    </xf>
    <xf numFmtId="164" fontId="63" fillId="0" borderId="13" xfId="0" applyNumberFormat="1" applyFont="1" applyFill="1" applyBorder="1" applyAlignment="1">
      <alignment horizontal="center"/>
    </xf>
    <xf numFmtId="164" fontId="63" fillId="0" borderId="53" xfId="0" applyNumberFormat="1" applyFont="1" applyFill="1" applyBorder="1" applyAlignment="1">
      <alignment horizontal="center"/>
    </xf>
    <xf numFmtId="164" fontId="63" fillId="0" borderId="32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57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4" fontId="63" fillId="0" borderId="12" xfId="0" applyNumberFormat="1" applyFont="1" applyFill="1" applyBorder="1" applyAlignment="1">
      <alignment horizontal="center"/>
    </xf>
    <xf numFmtId="2" fontId="63" fillId="0" borderId="12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horizontal="center"/>
    </xf>
    <xf numFmtId="2" fontId="63" fillId="0" borderId="11" xfId="0" applyNumberFormat="1" applyFont="1" applyFill="1" applyBorder="1" applyAlignment="1">
      <alignment horizontal="center"/>
    </xf>
    <xf numFmtId="2" fontId="63" fillId="0" borderId="57" xfId="0" applyNumberFormat="1" applyFont="1" applyFill="1" applyBorder="1" applyAlignment="1">
      <alignment horizontal="center"/>
    </xf>
    <xf numFmtId="2" fontId="63" fillId="0" borderId="32" xfId="0" applyNumberFormat="1" applyFont="1" applyFill="1" applyBorder="1" applyAlignment="1">
      <alignment horizontal="center"/>
    </xf>
    <xf numFmtId="167" fontId="63" fillId="0" borderId="10" xfId="0" applyNumberFormat="1" applyFont="1" applyFill="1" applyBorder="1" applyAlignment="1">
      <alignment horizontal="center"/>
    </xf>
    <xf numFmtId="167" fontId="63" fillId="0" borderId="11" xfId="0" applyNumberFormat="1" applyFont="1" applyFill="1" applyBorder="1" applyAlignment="1">
      <alignment horizontal="center"/>
    </xf>
    <xf numFmtId="168" fontId="63" fillId="0" borderId="12" xfId="0" applyNumberFormat="1" applyFont="1" applyFill="1" applyBorder="1" applyAlignment="1">
      <alignment horizontal="center"/>
    </xf>
    <xf numFmtId="168" fontId="63" fillId="0" borderId="13" xfId="0" applyNumberFormat="1" applyFont="1" applyFill="1" applyBorder="1" applyAlignment="1">
      <alignment horizontal="center"/>
    </xf>
    <xf numFmtId="168" fontId="63" fillId="0" borderId="57" xfId="0" applyNumberFormat="1" applyFont="1" applyFill="1" applyBorder="1" applyAlignment="1">
      <alignment horizontal="center"/>
    </xf>
    <xf numFmtId="168" fontId="63" fillId="0" borderId="10" xfId="0" applyNumberFormat="1" applyFont="1" applyFill="1" applyBorder="1" applyAlignment="1">
      <alignment horizontal="center"/>
    </xf>
    <xf numFmtId="168" fontId="63" fillId="0" borderId="32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1" fontId="63" fillId="0" borderId="10" xfId="0" applyNumberFormat="1" applyFont="1" applyFill="1" applyBorder="1" applyAlignment="1">
      <alignment horizontal="center"/>
    </xf>
    <xf numFmtId="1" fontId="63" fillId="0" borderId="11" xfId="0" applyNumberFormat="1" applyFont="1" applyFill="1" applyBorder="1" applyAlignment="1">
      <alignment horizontal="center"/>
    </xf>
    <xf numFmtId="1" fontId="63" fillId="0" borderId="57" xfId="0" applyNumberFormat="1" applyFont="1" applyFill="1" applyBorder="1" applyAlignment="1">
      <alignment horizontal="center"/>
    </xf>
    <xf numFmtId="1" fontId="63" fillId="0" borderId="3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24" fillId="0" borderId="57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3" fontId="24" fillId="0" borderId="32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3" fontId="63" fillId="0" borderId="57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57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3" fontId="27" fillId="0" borderId="12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/>
    </xf>
    <xf numFmtId="3" fontId="27" fillId="0" borderId="57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3" fontId="27" fillId="0" borderId="3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3" fontId="8" fillId="0" borderId="57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58" xfId="0" applyNumberFormat="1" applyFont="1" applyFill="1" applyBorder="1" applyAlignment="1">
      <alignment horizontal="center"/>
    </xf>
    <xf numFmtId="3" fontId="8" fillId="0" borderId="63" xfId="0" applyNumberFormat="1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center"/>
    </xf>
    <xf numFmtId="0" fontId="101" fillId="0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63" fillId="0" borderId="46" xfId="0" applyNumberFormat="1" applyFont="1" applyFill="1" applyBorder="1" applyAlignment="1">
      <alignment horizontal="center"/>
    </xf>
    <xf numFmtId="167" fontId="63" fillId="0" borderId="64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63" fillId="0" borderId="46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top"/>
    </xf>
    <xf numFmtId="167" fontId="63" fillId="0" borderId="57" xfId="0" applyNumberFormat="1" applyFont="1" applyFill="1" applyBorder="1" applyAlignment="1">
      <alignment horizontal="center"/>
    </xf>
    <xf numFmtId="3" fontId="21" fillId="0" borderId="57" xfId="0" applyNumberFormat="1" applyFont="1" applyFill="1" applyBorder="1" applyAlignment="1">
      <alignment horizontal="center"/>
    </xf>
    <xf numFmtId="167" fontId="63" fillId="0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2" fontId="63" fillId="0" borderId="65" xfId="0" applyNumberFormat="1" applyFont="1" applyFill="1" applyBorder="1" applyAlignment="1">
      <alignment horizontal="center"/>
    </xf>
    <xf numFmtId="0" fontId="10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67" fontId="1" fillId="0" borderId="60" xfId="0" applyNumberFormat="1" applyFont="1" applyFill="1" applyBorder="1" applyAlignment="1">
      <alignment horizontal="center"/>
    </xf>
    <xf numFmtId="1" fontId="184" fillId="0" borderId="60" xfId="0" applyNumberFormat="1" applyFont="1" applyFill="1" applyBorder="1" applyAlignment="1">
      <alignment horizontal="center"/>
    </xf>
    <xf numFmtId="1" fontId="185" fillId="0" borderId="60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 vertical="top"/>
    </xf>
    <xf numFmtId="3" fontId="63" fillId="0" borderId="60" xfId="0" applyNumberFormat="1" applyFont="1" applyFill="1" applyBorder="1" applyAlignment="1">
      <alignment horizontal="center"/>
    </xf>
    <xf numFmtId="164" fontId="63" fillId="0" borderId="60" xfId="0" applyNumberFormat="1" applyFont="1" applyFill="1" applyBorder="1" applyAlignment="1">
      <alignment horizontal="center"/>
    </xf>
    <xf numFmtId="3" fontId="21" fillId="0" borderId="60" xfId="0" applyNumberFormat="1" applyFont="1" applyFill="1" applyBorder="1" applyAlignment="1">
      <alignment horizontal="center"/>
    </xf>
    <xf numFmtId="4" fontId="63" fillId="0" borderId="60" xfId="0" applyNumberFormat="1" applyFont="1" applyFill="1" applyBorder="1" applyAlignment="1">
      <alignment horizontal="center"/>
    </xf>
    <xf numFmtId="168" fontId="63" fillId="0" borderId="60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top"/>
    </xf>
    <xf numFmtId="3" fontId="1" fillId="0" borderId="60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 vertical="top"/>
    </xf>
    <xf numFmtId="3" fontId="27" fillId="0" borderId="60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8" fillId="0" borderId="60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167" fontId="8" fillId="0" borderId="29" xfId="0" applyNumberFormat="1" applyFont="1" applyFill="1" applyBorder="1" applyAlignment="1">
      <alignment horizontal="center"/>
    </xf>
    <xf numFmtId="1" fontId="8" fillId="22" borderId="60" xfId="0" applyNumberFormat="1" applyFont="1" applyFill="1" applyBorder="1" applyAlignment="1">
      <alignment horizontal="center"/>
    </xf>
    <xf numFmtId="1" fontId="8" fillId="22" borderId="10" xfId="0" applyNumberFormat="1" applyFont="1" applyFill="1" applyBorder="1" applyAlignment="1">
      <alignment horizontal="center"/>
    </xf>
    <xf numFmtId="167" fontId="8" fillId="22" borderId="29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167" fontId="8" fillId="0" borderId="54" xfId="0" applyNumberFormat="1" applyFont="1" applyFill="1" applyBorder="1" applyAlignment="1">
      <alignment horizontal="center"/>
    </xf>
    <xf numFmtId="1" fontId="98" fillId="0" borderId="29" xfId="0" applyNumberFormat="1" applyFont="1" applyFill="1" applyBorder="1" applyAlignment="1">
      <alignment horizontal="center"/>
    </xf>
    <xf numFmtId="1" fontId="98" fillId="22" borderId="60" xfId="0" applyNumberFormat="1" applyFont="1" applyFill="1" applyBorder="1" applyAlignment="1">
      <alignment horizontal="center"/>
    </xf>
    <xf numFmtId="1" fontId="98" fillId="22" borderId="10" xfId="0" applyNumberFormat="1" applyFont="1" applyFill="1" applyBorder="1" applyAlignment="1">
      <alignment horizontal="center"/>
    </xf>
    <xf numFmtId="1" fontId="98" fillId="22" borderId="29" xfId="0" applyNumberFormat="1" applyFont="1" applyFill="1" applyBorder="1" applyAlignment="1">
      <alignment horizontal="center"/>
    </xf>
    <xf numFmtId="1" fontId="98" fillId="0" borderId="12" xfId="0" applyNumberFormat="1" applyFont="1" applyFill="1" applyBorder="1" applyAlignment="1">
      <alignment horizontal="center"/>
    </xf>
    <xf numFmtId="0" fontId="98" fillId="0" borderId="10" xfId="0" applyFont="1" applyFill="1" applyBorder="1" applyAlignment="1">
      <alignment horizontal="center"/>
    </xf>
    <xf numFmtId="0" fontId="98" fillId="0" borderId="46" xfId="0" applyFont="1" applyFill="1" applyBorder="1" applyAlignment="1">
      <alignment horizontal="center"/>
    </xf>
    <xf numFmtId="1" fontId="98" fillId="0" borderId="54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22" borderId="60" xfId="0" applyNumberFormat="1" applyFont="1" applyFill="1" applyBorder="1" applyAlignment="1">
      <alignment horizontal="center"/>
    </xf>
    <xf numFmtId="164" fontId="1" fillId="22" borderId="10" xfId="0" applyNumberFormat="1" applyFont="1" applyFill="1" applyBorder="1" applyAlignment="1">
      <alignment horizontal="center"/>
    </xf>
    <xf numFmtId="164" fontId="1" fillId="22" borderId="29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46" xfId="0" applyNumberFormat="1" applyFont="1" applyFill="1" applyBorder="1" applyAlignment="1">
      <alignment horizontal="center"/>
    </xf>
    <xf numFmtId="164" fontId="1" fillId="0" borderId="54" xfId="0" applyNumberFormat="1" applyFont="1" applyFill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46" xfId="0" applyNumberFormat="1" applyFont="1" applyFill="1" applyBorder="1" applyAlignment="1">
      <alignment horizontal="center"/>
    </xf>
    <xf numFmtId="3" fontId="27" fillId="0" borderId="53" xfId="0" applyNumberFormat="1" applyFont="1" applyFill="1" applyBorder="1" applyAlignment="1">
      <alignment horizontal="center"/>
    </xf>
    <xf numFmtId="3" fontId="27" fillId="0" borderId="54" xfId="0" applyNumberFormat="1" applyFont="1" applyFill="1" applyBorder="1" applyAlignment="1">
      <alignment horizontal="center"/>
    </xf>
    <xf numFmtId="2" fontId="63" fillId="0" borderId="57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top"/>
    </xf>
    <xf numFmtId="2" fontId="63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/>
    </xf>
    <xf numFmtId="1" fontId="63" fillId="0" borderId="50" xfId="0" applyNumberFormat="1" applyFont="1" applyFill="1" applyBorder="1" applyAlignment="1">
      <alignment horizontal="center"/>
    </xf>
    <xf numFmtId="0" fontId="1" fillId="27" borderId="0" xfId="0" applyFont="1" applyFill="1" applyAlignment="1">
      <alignment/>
    </xf>
    <xf numFmtId="0" fontId="1" fillId="25" borderId="0" xfId="0" applyFont="1" applyFill="1" applyAlignment="1">
      <alignment/>
    </xf>
    <xf numFmtId="3" fontId="4" fillId="28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3" fontId="4" fillId="27" borderId="10" xfId="0" applyNumberFormat="1" applyFont="1" applyFill="1" applyBorder="1" applyAlignment="1">
      <alignment horizontal="left" wrapText="1" indent="1"/>
    </xf>
    <xf numFmtId="3" fontId="4" fillId="27" borderId="10" xfId="0" applyNumberFormat="1" applyFont="1" applyFill="1" applyBorder="1" applyAlignment="1">
      <alignment horizontal="left" indent="1"/>
    </xf>
    <xf numFmtId="0" fontId="4" fillId="25" borderId="13" xfId="0" applyFont="1" applyFill="1" applyBorder="1" applyAlignment="1">
      <alignment horizontal="left" wrapText="1" indent="1"/>
    </xf>
    <xf numFmtId="0" fontId="4" fillId="28" borderId="13" xfId="0" applyFont="1" applyFill="1" applyBorder="1" applyAlignment="1">
      <alignment horizontal="left" wrapText="1" indent="1"/>
    </xf>
    <xf numFmtId="0" fontId="4" fillId="28" borderId="13" xfId="0" applyFont="1" applyFill="1" applyBorder="1" applyAlignment="1">
      <alignment horizontal="left" wrapText="1" indent="3"/>
    </xf>
    <xf numFmtId="0" fontId="13" fillId="11" borderId="13" xfId="0" applyFont="1" applyFill="1" applyBorder="1" applyAlignment="1">
      <alignment horizontal="left" wrapText="1"/>
    </xf>
    <xf numFmtId="0" fontId="4" fillId="11" borderId="13" xfId="0" applyFont="1" applyFill="1" applyBorder="1" applyAlignment="1">
      <alignment horizontal="left" wrapText="1" indent="1"/>
    </xf>
    <xf numFmtId="0" fontId="13" fillId="28" borderId="13" xfId="0" applyFont="1" applyFill="1" applyBorder="1" applyAlignment="1">
      <alignment horizontal="left" wrapText="1"/>
    </xf>
    <xf numFmtId="0" fontId="14" fillId="0" borderId="13" xfId="0" applyFont="1" applyBorder="1" applyAlignment="1">
      <alignment wrapText="1"/>
    </xf>
    <xf numFmtId="0" fontId="14" fillId="0" borderId="10" xfId="0" applyFont="1" applyBorder="1" applyAlignment="1">
      <alignment horizontal="justify" wrapText="1"/>
    </xf>
    <xf numFmtId="0" fontId="14" fillId="0" borderId="13" xfId="0" applyFont="1" applyBorder="1" applyAlignment="1">
      <alignment horizontal="justify" wrapText="1"/>
    </xf>
    <xf numFmtId="0" fontId="98" fillId="0" borderId="13" xfId="0" applyNumberFormat="1" applyFont="1" applyBorder="1" applyAlignment="1">
      <alignment wrapText="1"/>
    </xf>
    <xf numFmtId="3" fontId="8" fillId="25" borderId="33" xfId="0" applyNumberFormat="1" applyFont="1" applyFill="1" applyBorder="1" applyAlignment="1">
      <alignment horizontal="center"/>
    </xf>
    <xf numFmtId="4" fontId="167" fillId="0" borderId="10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1" fontId="98" fillId="0" borderId="53" xfId="0" applyNumberFormat="1" applyFont="1" applyFill="1" applyBorder="1" applyAlignment="1">
      <alignment horizontal="center"/>
    </xf>
    <xf numFmtId="1" fontId="98" fillId="0" borderId="10" xfId="0" applyNumberFormat="1" applyFont="1" applyFill="1" applyBorder="1" applyAlignment="1">
      <alignment horizontal="center"/>
    </xf>
    <xf numFmtId="1" fontId="98" fillId="0" borderId="54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8" fillId="0" borderId="54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4" fontId="1" fillId="0" borderId="53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168" fontId="1" fillId="0" borderId="46" xfId="0" applyNumberFormat="1" applyFont="1" applyFill="1" applyBorder="1" applyAlignment="1">
      <alignment horizontal="center"/>
    </xf>
    <xf numFmtId="168" fontId="8" fillId="0" borderId="46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9" fontId="1" fillId="0" borderId="46" xfId="0" applyNumberFormat="1" applyFont="1" applyFill="1" applyBorder="1" applyAlignment="1">
      <alignment horizontal="center"/>
    </xf>
    <xf numFmtId="167" fontId="8" fillId="0" borderId="46" xfId="0" applyNumberFormat="1" applyFont="1" applyFill="1" applyBorder="1" applyAlignment="1">
      <alignment horizontal="center"/>
    </xf>
    <xf numFmtId="1" fontId="98" fillId="0" borderId="46" xfId="0" applyNumberFormat="1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 vertical="top"/>
    </xf>
    <xf numFmtId="3" fontId="8" fillId="20" borderId="46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98" fillId="0" borderId="46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164" fontId="1" fillId="0" borderId="46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3" fontId="8" fillId="20" borderId="53" xfId="0" applyNumberFormat="1" applyFont="1" applyFill="1" applyBorder="1" applyAlignment="1">
      <alignment horizontal="center"/>
    </xf>
    <xf numFmtId="3" fontId="8" fillId="20" borderId="10" xfId="0" applyNumberFormat="1" applyFont="1" applyFill="1" applyBorder="1" applyAlignment="1">
      <alignment horizontal="center"/>
    </xf>
    <xf numFmtId="3" fontId="8" fillId="20" borderId="46" xfId="0" applyNumberFormat="1" applyFont="1" applyFill="1" applyBorder="1" applyAlignment="1">
      <alignment horizontal="center"/>
    </xf>
    <xf numFmtId="3" fontId="8" fillId="20" borderId="54" xfId="0" applyNumberFormat="1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top"/>
    </xf>
    <xf numFmtId="0" fontId="1" fillId="0" borderId="65" xfId="0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top"/>
    </xf>
    <xf numFmtId="167" fontId="8" fillId="0" borderId="70" xfId="0" applyNumberFormat="1" applyFont="1" applyFill="1" applyBorder="1" applyAlignment="1">
      <alignment horizontal="center"/>
    </xf>
    <xf numFmtId="167" fontId="8" fillId="0" borderId="71" xfId="0" applyNumberFormat="1" applyFont="1" applyFill="1" applyBorder="1" applyAlignment="1">
      <alignment horizontal="center"/>
    </xf>
    <xf numFmtId="167" fontId="8" fillId="0" borderId="72" xfId="0" applyNumberFormat="1" applyFont="1" applyFill="1" applyBorder="1" applyAlignment="1">
      <alignment horizontal="center"/>
    </xf>
    <xf numFmtId="3" fontId="1" fillId="0" borderId="57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8" fillId="20" borderId="65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top"/>
    </xf>
    <xf numFmtId="0" fontId="187" fillId="0" borderId="13" xfId="0" applyFont="1" applyBorder="1" applyAlignment="1">
      <alignment wrapText="1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1" fillId="0" borderId="10" xfId="70" applyNumberFormat="1" applyFont="1" applyBorder="1" applyAlignment="1">
      <alignment horizontal="center" vertical="center" wrapText="1"/>
      <protection/>
    </xf>
    <xf numFmtId="0" fontId="8" fillId="0" borderId="0" xfId="70" applyFont="1">
      <alignment/>
      <protection/>
    </xf>
    <xf numFmtId="0" fontId="13" fillId="0" borderId="10" xfId="0" applyFont="1" applyBorder="1" applyAlignment="1">
      <alignment vertical="top" wrapText="1"/>
    </xf>
    <xf numFmtId="3" fontId="30" fillId="2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top"/>
    </xf>
    <xf numFmtId="0" fontId="1" fillId="20" borderId="10" xfId="0" applyFont="1" applyFill="1" applyBorder="1" applyAlignment="1">
      <alignment horizontal="center" vertical="center" wrapText="1"/>
    </xf>
    <xf numFmtId="4" fontId="8" fillId="20" borderId="10" xfId="0" applyNumberFormat="1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/>
    </xf>
    <xf numFmtId="1" fontId="1" fillId="0" borderId="10" xfId="70" applyNumberFormat="1" applyFont="1" applyFill="1" applyBorder="1" applyAlignment="1">
      <alignment horizontal="center" vertical="center" wrapText="1"/>
      <protection/>
    </xf>
    <xf numFmtId="0" fontId="148" fillId="0" borderId="0" xfId="61" applyFont="1" applyAlignment="1">
      <alignment horizontal="center" vertical="center" wrapText="1"/>
      <protection/>
    </xf>
    <xf numFmtId="0" fontId="146" fillId="24" borderId="10" xfId="61" applyFont="1" applyFill="1" applyBorder="1" applyAlignment="1">
      <alignment horizontal="center" vertical="center" wrapText="1"/>
      <protection/>
    </xf>
    <xf numFmtId="0" fontId="26" fillId="0" borderId="6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75" fontId="26" fillId="0" borderId="10" xfId="83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5" fontId="26" fillId="0" borderId="65" xfId="83" applyNumberFormat="1" applyFont="1" applyBorder="1" applyAlignment="1">
      <alignment horizontal="center" vertical="center"/>
    </xf>
    <xf numFmtId="175" fontId="26" fillId="0" borderId="47" xfId="83" applyNumberFormat="1" applyFont="1" applyBorder="1" applyAlignment="1">
      <alignment horizontal="center" vertical="center"/>
    </xf>
    <xf numFmtId="175" fontId="26" fillId="0" borderId="60" xfId="83" applyNumberFormat="1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75" fontId="26" fillId="0" borderId="50" xfId="83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1" wrapText="1"/>
    </xf>
    <xf numFmtId="0" fontId="1" fillId="0" borderId="15" xfId="0" applyFont="1" applyBorder="1" applyAlignment="1">
      <alignment horizontal="center" vertical="center" textRotation="1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15" fillId="0" borderId="14" xfId="73" applyFont="1" applyFill="1" applyBorder="1" applyAlignment="1">
      <alignment horizontal="center" vertical="top" wrapText="1"/>
      <protection/>
    </xf>
    <xf numFmtId="0" fontId="121" fillId="0" borderId="19" xfId="73" applyFont="1" applyFill="1" applyBorder="1" applyAlignment="1">
      <alignment horizontal="center" vertical="top" wrapText="1"/>
      <protection/>
    </xf>
    <xf numFmtId="0" fontId="121" fillId="0" borderId="15" xfId="73" applyFont="1" applyFill="1" applyBorder="1" applyAlignment="1">
      <alignment horizontal="center" vertical="top" wrapText="1"/>
      <protection/>
    </xf>
    <xf numFmtId="0" fontId="18" fillId="9" borderId="14" xfId="73" applyFont="1" applyFill="1" applyBorder="1" applyAlignment="1">
      <alignment horizontal="center" vertical="top" wrapText="1"/>
      <protection/>
    </xf>
    <xf numFmtId="0" fontId="18" fillId="9" borderId="19" xfId="73" applyFont="1" applyFill="1" applyBorder="1" applyAlignment="1">
      <alignment horizontal="center" vertical="top" wrapText="1"/>
      <protection/>
    </xf>
    <xf numFmtId="0" fontId="18" fillId="9" borderId="15" xfId="73" applyFont="1" applyFill="1" applyBorder="1" applyAlignment="1">
      <alignment horizontal="center" vertical="top" wrapText="1"/>
      <protection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2" fillId="0" borderId="14" xfId="72" applyFont="1" applyFill="1" applyBorder="1" applyAlignment="1">
      <alignment horizontal="left" vertical="center" textRotation="90" wrapText="1"/>
      <protection/>
    </xf>
    <xf numFmtId="0" fontId="42" fillId="0" borderId="15" xfId="72" applyFont="1" applyFill="1" applyBorder="1" applyAlignment="1">
      <alignment horizontal="left" vertical="center" textRotation="90" wrapText="1"/>
      <protection/>
    </xf>
    <xf numFmtId="0" fontId="42" fillId="0" borderId="14" xfId="72" applyFont="1" applyFill="1" applyBorder="1" applyAlignment="1">
      <alignment horizontal="center" vertical="center" textRotation="90" wrapText="1"/>
      <protection/>
    </xf>
    <xf numFmtId="0" fontId="42" fillId="0" borderId="15" xfId="72" applyFont="1" applyFill="1" applyBorder="1" applyAlignment="1">
      <alignment horizontal="center" vertical="center" textRotation="90" wrapText="1"/>
      <protection/>
    </xf>
    <xf numFmtId="0" fontId="18" fillId="0" borderId="14" xfId="73" applyFont="1" applyFill="1" applyBorder="1" applyAlignment="1">
      <alignment horizontal="center" vertical="center" wrapText="1"/>
      <protection/>
    </xf>
    <xf numFmtId="0" fontId="18" fillId="0" borderId="19" xfId="73" applyFont="1" applyFill="1" applyBorder="1" applyAlignment="1">
      <alignment horizontal="center" vertical="center" wrapText="1"/>
      <protection/>
    </xf>
    <xf numFmtId="0" fontId="42" fillId="0" borderId="18" xfId="72" applyFont="1" applyFill="1" applyBorder="1" applyAlignment="1">
      <alignment horizontal="center" vertical="center" wrapText="1"/>
      <protection/>
    </xf>
    <xf numFmtId="0" fontId="42" fillId="0" borderId="21" xfId="72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42" fillId="0" borderId="14" xfId="72" applyFont="1" applyFill="1" applyBorder="1" applyAlignment="1">
      <alignment horizontal="center" vertical="center" wrapText="1"/>
      <protection/>
    </xf>
    <xf numFmtId="0" fontId="42" fillId="0" borderId="19" xfId="72" applyFont="1" applyFill="1" applyBorder="1" applyAlignment="1">
      <alignment horizontal="center" vertical="center" wrapText="1"/>
      <protection/>
    </xf>
    <xf numFmtId="0" fontId="18" fillId="24" borderId="11" xfId="68" applyFont="1" applyFill="1" applyBorder="1" applyAlignment="1">
      <alignment horizontal="center" vertical="center" wrapText="1"/>
      <protection/>
    </xf>
    <xf numFmtId="0" fontId="18" fillId="24" borderId="13" xfId="68" applyFont="1" applyFill="1" applyBorder="1" applyAlignment="1">
      <alignment horizontal="center" vertical="center" wrapText="1"/>
      <protection/>
    </xf>
    <xf numFmtId="0" fontId="18" fillId="24" borderId="12" xfId="68" applyFont="1" applyFill="1" applyBorder="1" applyAlignment="1">
      <alignment horizontal="center" vertical="center" wrapText="1"/>
      <protection/>
    </xf>
    <xf numFmtId="0" fontId="74" fillId="0" borderId="0" xfId="44" applyAlignment="1">
      <alignment wrapText="1"/>
    </xf>
    <xf numFmtId="0" fontId="74" fillId="0" borderId="10" xfId="44" applyBorder="1" applyAlignment="1" applyProtection="1">
      <alignment horizontal="center"/>
      <protection/>
    </xf>
    <xf numFmtId="0" fontId="74" fillId="0" borderId="10" xfId="44" applyBorder="1" applyAlignment="1" quotePrefix="1">
      <alignment horizontal="center"/>
    </xf>
    <xf numFmtId="0" fontId="22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18" fillId="0" borderId="11" xfId="68" applyFont="1" applyFill="1" applyBorder="1" applyAlignment="1">
      <alignment horizontal="center" vertical="center" wrapText="1"/>
      <protection/>
    </xf>
    <xf numFmtId="0" fontId="18" fillId="0" borderId="13" xfId="68" applyFont="1" applyFill="1" applyBorder="1" applyAlignment="1">
      <alignment horizontal="center" vertical="center" wrapText="1"/>
      <protection/>
    </xf>
    <xf numFmtId="0" fontId="18" fillId="0" borderId="12" xfId="68" applyFont="1" applyFill="1" applyBorder="1" applyAlignment="1">
      <alignment horizontal="center" vertical="center" wrapText="1"/>
      <protection/>
    </xf>
    <xf numFmtId="0" fontId="114" fillId="0" borderId="11" xfId="68" applyFont="1" applyFill="1" applyBorder="1" applyAlignment="1">
      <alignment horizontal="center" vertical="center" wrapText="1"/>
      <protection/>
    </xf>
    <xf numFmtId="0" fontId="114" fillId="0" borderId="13" xfId="68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2" wrapText="1"/>
    </xf>
    <xf numFmtId="0" fontId="1" fillId="0" borderId="15" xfId="0" applyFont="1" applyBorder="1" applyAlignment="1">
      <alignment horizontal="center" vertical="center" textRotation="92" wrapText="1"/>
    </xf>
    <xf numFmtId="0" fontId="1" fillId="0" borderId="4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horizontal="justify" vertical="top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36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5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top"/>
    </xf>
    <xf numFmtId="0" fontId="13" fillId="20" borderId="13" xfId="0" applyFont="1" applyFill="1" applyBorder="1" applyAlignment="1">
      <alignment horizontal="center" vertical="top"/>
    </xf>
    <xf numFmtId="0" fontId="13" fillId="20" borderId="12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5" xfId="56" applyFont="1" applyFill="1" applyBorder="1" applyAlignment="1">
      <alignment horizontal="center" vertical="center" wrapText="1"/>
      <protection/>
    </xf>
    <xf numFmtId="0" fontId="1" fillId="0" borderId="36" xfId="56" applyFont="1" applyFill="1" applyBorder="1" applyAlignment="1">
      <alignment horizontal="center" vertical="center" wrapText="1"/>
      <protection/>
    </xf>
    <xf numFmtId="0" fontId="8" fillId="3" borderId="10" xfId="56" applyFont="1" applyFill="1" applyBorder="1" applyAlignment="1">
      <alignment horizontal="center" vertical="center"/>
      <protection/>
    </xf>
    <xf numFmtId="0" fontId="1" fillId="0" borderId="14" xfId="56" applyFont="1" applyBorder="1" applyAlignment="1">
      <alignment horizontal="center"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1" fontId="1" fillId="0" borderId="11" xfId="56" applyNumberFormat="1" applyFont="1" applyBorder="1" applyAlignment="1">
      <alignment horizontal="center" vertical="center" wrapText="1"/>
      <protection/>
    </xf>
    <xf numFmtId="1" fontId="1" fillId="0" borderId="12" xfId="56" applyNumberFormat="1" applyFont="1" applyBorder="1" applyAlignment="1">
      <alignment horizontal="center" vertical="center" wrapText="1"/>
      <protection/>
    </xf>
    <xf numFmtId="0" fontId="39" fillId="0" borderId="11" xfId="56" applyFont="1" applyBorder="1" applyAlignment="1">
      <alignment horizontal="center"/>
      <protection/>
    </xf>
    <xf numFmtId="0" fontId="39" fillId="0" borderId="13" xfId="56" applyFont="1" applyBorder="1" applyAlignment="1">
      <alignment horizontal="center"/>
      <protection/>
    </xf>
    <xf numFmtId="0" fontId="39" fillId="0" borderId="12" xfId="56" applyFont="1" applyBorder="1" applyAlignment="1">
      <alignment horizontal="center"/>
      <protection/>
    </xf>
    <xf numFmtId="0" fontId="26" fillId="3" borderId="10" xfId="56" applyFont="1" applyFill="1" applyBorder="1" applyAlignment="1">
      <alignment horizontal="center" vertical="center" wrapText="1"/>
      <protection/>
    </xf>
    <xf numFmtId="0" fontId="26" fillId="3" borderId="11" xfId="56" applyFont="1" applyFill="1" applyBorder="1" applyAlignment="1">
      <alignment horizontal="center" vertical="center" wrapText="1"/>
      <protection/>
    </xf>
    <xf numFmtId="0" fontId="26" fillId="3" borderId="13" xfId="56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23" fillId="5" borderId="10" xfId="56" applyFont="1" applyFill="1" applyBorder="1" applyAlignment="1">
      <alignment horizontal="center"/>
      <protection/>
    </xf>
    <xf numFmtId="0" fontId="1" fillId="0" borderId="14" xfId="56" applyFont="1" applyBorder="1" applyAlignment="1">
      <alignment horizontal="center" vertical="center"/>
      <protection/>
    </xf>
    <xf numFmtId="0" fontId="1" fillId="0" borderId="15" xfId="56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left" vertical="top"/>
    </xf>
    <xf numFmtId="0" fontId="2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20" borderId="11" xfId="0" applyFont="1" applyFill="1" applyBorder="1" applyAlignment="1">
      <alignment horizontal="center"/>
    </xf>
    <xf numFmtId="0" fontId="13" fillId="20" borderId="13" xfId="0" applyFont="1" applyFill="1" applyBorder="1" applyAlignment="1">
      <alignment horizontal="center"/>
    </xf>
    <xf numFmtId="0" fontId="13" fillId="2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7" fillId="0" borderId="0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 vertical="top"/>
    </xf>
    <xf numFmtId="0" fontId="8" fillId="20" borderId="13" xfId="0" applyFont="1" applyFill="1" applyBorder="1" applyAlignment="1">
      <alignment horizontal="center" vertical="top"/>
    </xf>
    <xf numFmtId="0" fontId="8" fillId="20" borderId="12" xfId="0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8" fillId="20" borderId="11" xfId="0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2" fillId="0" borderId="0" xfId="71" applyFont="1" applyAlignment="1">
      <alignment horizontal="center"/>
      <protection/>
    </xf>
    <xf numFmtId="0" fontId="8" fillId="0" borderId="11" xfId="71" applyFont="1" applyBorder="1" applyAlignment="1">
      <alignment horizontal="left" wrapText="1"/>
      <protection/>
    </xf>
    <xf numFmtId="0" fontId="8" fillId="0" borderId="13" xfId="71" applyFont="1" applyBorder="1" applyAlignment="1">
      <alignment horizontal="left" wrapText="1"/>
      <protection/>
    </xf>
    <xf numFmtId="0" fontId="8" fillId="0" borderId="12" xfId="71" applyFont="1" applyBorder="1" applyAlignment="1">
      <alignment horizontal="left" wrapText="1"/>
      <protection/>
    </xf>
    <xf numFmtId="0" fontId="8" fillId="0" borderId="46" xfId="71" applyFont="1" applyBorder="1" applyAlignment="1">
      <alignment horizontal="center"/>
      <protection/>
    </xf>
    <xf numFmtId="0" fontId="8" fillId="0" borderId="47" xfId="71" applyFont="1" applyBorder="1" applyAlignment="1">
      <alignment horizontal="center"/>
      <protection/>
    </xf>
    <xf numFmtId="0" fontId="8" fillId="0" borderId="60" xfId="71" applyFont="1" applyBorder="1" applyAlignment="1">
      <alignment horizontal="center"/>
      <protection/>
    </xf>
    <xf numFmtId="0" fontId="8" fillId="0" borderId="46" xfId="71" applyFont="1" applyBorder="1" applyAlignment="1">
      <alignment horizontal="left" wrapText="1"/>
      <protection/>
    </xf>
    <xf numFmtId="0" fontId="8" fillId="0" borderId="47" xfId="71" applyFont="1" applyBorder="1" applyAlignment="1">
      <alignment horizontal="left" wrapText="1"/>
      <protection/>
    </xf>
    <xf numFmtId="0" fontId="8" fillId="0" borderId="60" xfId="71" applyFont="1" applyBorder="1" applyAlignment="1">
      <alignment horizontal="left" wrapText="1"/>
      <protection/>
    </xf>
    <xf numFmtId="0" fontId="99" fillId="0" borderId="0" xfId="71" applyFont="1" applyAlignment="1">
      <alignment horizontal="left" wrapText="1"/>
      <protection/>
    </xf>
    <xf numFmtId="0" fontId="0" fillId="0" borderId="0" xfId="71" applyAlignment="1">
      <alignment wrapText="1"/>
      <protection/>
    </xf>
    <xf numFmtId="0" fontId="0" fillId="0" borderId="0" xfId="71" applyAlignment="1">
      <alignment/>
      <protection/>
    </xf>
    <xf numFmtId="0" fontId="1" fillId="0" borderId="11" xfId="71" applyFont="1" applyBorder="1" applyAlignment="1">
      <alignment horizontal="left" wrapText="1"/>
      <protection/>
    </xf>
    <xf numFmtId="0" fontId="1" fillId="0" borderId="13" xfId="71" applyFont="1" applyBorder="1" applyAlignment="1">
      <alignment horizontal="left" wrapText="1"/>
      <protection/>
    </xf>
    <xf numFmtId="0" fontId="1" fillId="0" borderId="12" xfId="71" applyFont="1" applyBorder="1" applyAlignment="1">
      <alignment horizontal="left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1" fillId="0" borderId="62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2" fillId="0" borderId="82" xfId="0" applyFont="1" applyFill="1" applyBorder="1" applyAlignment="1">
      <alignment horizontal="center" vertical="center" wrapText="1"/>
    </xf>
    <xf numFmtId="0" fontId="102" fillId="0" borderId="83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102" fillId="0" borderId="82" xfId="0" applyFont="1" applyFill="1" applyBorder="1" applyAlignment="1">
      <alignment horizontal="center" vertical="center" wrapText="1"/>
    </xf>
    <xf numFmtId="0" fontId="102" fillId="0" borderId="83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9" fillId="0" borderId="0" xfId="58" applyFont="1" applyAlignment="1">
      <alignment horizontal="center"/>
      <protection/>
    </xf>
    <xf numFmtId="0" fontId="22" fillId="0" borderId="0" xfId="58" applyFont="1" applyAlignment="1">
      <alignment horizontal="left" wrapText="1"/>
      <protection/>
    </xf>
    <xf numFmtId="0" fontId="22" fillId="0" borderId="0" xfId="58" applyFont="1" applyAlignment="1">
      <alignment horizontal="left" wrapText="1"/>
      <protection/>
    </xf>
    <xf numFmtId="0" fontId="8" fillId="0" borderId="3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8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64" xfId="0" applyFont="1" applyFill="1" applyBorder="1" applyAlignment="1">
      <alignment horizontal="center" vertical="center" wrapText="1"/>
    </xf>
    <xf numFmtId="0" fontId="8" fillId="0" borderId="14" xfId="70" applyFont="1" applyBorder="1" applyAlignment="1">
      <alignment horizontal="center" vertical="center" wrapText="1"/>
      <protection/>
    </xf>
    <xf numFmtId="0" fontId="8" fillId="0" borderId="15" xfId="70" applyFont="1" applyBorder="1" applyAlignment="1">
      <alignment horizontal="center" vertical="center" wrapText="1"/>
      <protection/>
    </xf>
    <xf numFmtId="0" fontId="23" fillId="5" borderId="10" xfId="70" applyFont="1" applyFill="1" applyBorder="1" applyAlignment="1">
      <alignment horizontal="center"/>
      <protection/>
    </xf>
    <xf numFmtId="0" fontId="1" fillId="0" borderId="14" xfId="70" applyFont="1" applyBorder="1" applyAlignment="1">
      <alignment horizontal="center" vertical="center"/>
      <protection/>
    </xf>
    <xf numFmtId="0" fontId="1" fillId="0" borderId="15" xfId="70" applyFont="1" applyBorder="1" applyAlignment="1">
      <alignment horizontal="center" vertical="center"/>
      <protection/>
    </xf>
    <xf numFmtId="1" fontId="8" fillId="0" borderId="11" xfId="70" applyNumberFormat="1" applyFont="1" applyBorder="1" applyAlignment="1">
      <alignment horizontal="center" vertical="center" wrapText="1"/>
      <protection/>
    </xf>
    <xf numFmtId="1" fontId="8" fillId="0" borderId="12" xfId="70" applyNumberFormat="1" applyFont="1" applyBorder="1" applyAlignment="1">
      <alignment horizontal="center" vertical="center" wrapText="1"/>
      <protection/>
    </xf>
    <xf numFmtId="0" fontId="8" fillId="3" borderId="10" xfId="70" applyFont="1" applyFill="1" applyBorder="1" applyAlignment="1">
      <alignment horizontal="center" vertical="center"/>
      <protection/>
    </xf>
    <xf numFmtId="0" fontId="8" fillId="0" borderId="10" xfId="70" applyFont="1" applyFill="1" applyBorder="1" applyAlignment="1">
      <alignment horizontal="center" vertical="center"/>
      <protection/>
    </xf>
    <xf numFmtId="0" fontId="54" fillId="0" borderId="0" xfId="56" applyFont="1" applyAlignment="1">
      <alignment horizontal="center" wrapText="1"/>
      <protection/>
    </xf>
    <xf numFmtId="0" fontId="68" fillId="0" borderId="0" xfId="56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6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13" fillId="0" borderId="46" xfId="0" applyNumberFormat="1" applyFont="1" applyBorder="1" applyAlignment="1">
      <alignment horizontal="center" vertical="top"/>
    </xf>
    <xf numFmtId="0" fontId="13" fillId="0" borderId="47" xfId="0" applyNumberFormat="1" applyFont="1" applyBorder="1" applyAlignment="1">
      <alignment horizontal="center" vertical="top"/>
    </xf>
    <xf numFmtId="0" fontId="13" fillId="0" borderId="6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25" fillId="0" borderId="0" xfId="0" applyFont="1" applyFill="1" applyAlignment="1">
      <alignment horizontal="center" wrapText="1"/>
    </xf>
    <xf numFmtId="0" fontId="4" fillId="0" borderId="7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3" fillId="0" borderId="46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2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top"/>
    </xf>
    <xf numFmtId="0" fontId="1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78" fillId="0" borderId="0" xfId="60" applyFont="1" applyFill="1" applyBorder="1" applyAlignment="1">
      <alignment horizontal="right"/>
      <protection/>
    </xf>
    <xf numFmtId="0" fontId="174" fillId="0" borderId="0" xfId="60" applyFont="1" applyFill="1" applyBorder="1" applyAlignment="1">
      <alignment horizontal="right"/>
      <protection/>
    </xf>
    <xf numFmtId="0" fontId="146" fillId="0" borderId="0" xfId="60" applyFont="1" applyFill="1" applyBorder="1" applyAlignment="1">
      <alignment horizontal="center"/>
      <protection/>
    </xf>
    <xf numFmtId="0" fontId="171" fillId="0" borderId="0" xfId="60" applyFont="1" applyFill="1" applyBorder="1" applyAlignment="1">
      <alignment horizontal="center" vertical="center"/>
      <protection/>
    </xf>
    <xf numFmtId="0" fontId="146" fillId="0" borderId="0" xfId="60" applyFont="1" applyFill="1" applyBorder="1" applyAlignment="1">
      <alignment horizontal="center" vertical="center" wrapText="1"/>
      <protection/>
    </xf>
    <xf numFmtId="0" fontId="147" fillId="0" borderId="0" xfId="60" applyFont="1" applyFill="1" applyBorder="1" applyAlignment="1">
      <alignment horizontal="center" vertical="center"/>
      <protection/>
    </xf>
    <xf numFmtId="0" fontId="146" fillId="0" borderId="10" xfId="60" applyFont="1" applyBorder="1" applyAlignment="1">
      <alignment horizontal="center"/>
      <protection/>
    </xf>
    <xf numFmtId="0" fontId="174" fillId="0" borderId="10" xfId="60" applyFont="1" applyFill="1" applyBorder="1" applyAlignment="1">
      <alignment horizontal="right"/>
      <protection/>
    </xf>
    <xf numFmtId="0" fontId="178" fillId="0" borderId="0" xfId="60" applyFont="1" applyFill="1" applyBorder="1" applyAlignment="1">
      <alignment horizontal="right"/>
      <protection/>
    </xf>
    <xf numFmtId="0" fontId="140" fillId="0" borderId="10" xfId="60" applyFont="1" applyFill="1" applyBorder="1" applyAlignment="1">
      <alignment horizontal="right"/>
      <protection/>
    </xf>
    <xf numFmtId="0" fontId="16" fillId="24" borderId="36" xfId="60" applyFont="1" applyFill="1" applyBorder="1" applyAlignment="1">
      <alignment horizontal="right"/>
      <protection/>
    </xf>
    <xf numFmtId="0" fontId="16" fillId="24" borderId="16" xfId="60" applyFont="1" applyFill="1" applyBorder="1" applyAlignment="1">
      <alignment horizontal="right"/>
      <protection/>
    </xf>
    <xf numFmtId="0" fontId="16" fillId="24" borderId="52" xfId="60" applyFont="1" applyFill="1" applyBorder="1" applyAlignment="1">
      <alignment horizontal="right"/>
      <protection/>
    </xf>
    <xf numFmtId="0" fontId="16" fillId="24" borderId="11" xfId="60" applyFont="1" applyFill="1" applyBorder="1" applyAlignment="1">
      <alignment horizontal="right"/>
      <protection/>
    </xf>
    <xf numFmtId="0" fontId="16" fillId="24" borderId="13" xfId="60" applyFont="1" applyFill="1" applyBorder="1" applyAlignment="1">
      <alignment horizontal="right"/>
      <protection/>
    </xf>
    <xf numFmtId="0" fontId="16" fillId="24" borderId="12" xfId="60" applyFont="1" applyFill="1" applyBorder="1" applyAlignment="1">
      <alignment horizontal="right"/>
      <protection/>
    </xf>
    <xf numFmtId="0" fontId="138" fillId="0" borderId="11" xfId="60" applyFont="1" applyBorder="1" applyAlignment="1">
      <alignment horizontal="center"/>
      <protection/>
    </xf>
    <xf numFmtId="0" fontId="138" fillId="0" borderId="13" xfId="60" applyFont="1" applyBorder="1" applyAlignment="1">
      <alignment horizontal="center"/>
      <protection/>
    </xf>
    <xf numFmtId="0" fontId="138" fillId="0" borderId="12" xfId="60" applyFont="1" applyBorder="1" applyAlignment="1">
      <alignment horizontal="center"/>
      <protection/>
    </xf>
    <xf numFmtId="0" fontId="147" fillId="7" borderId="11" xfId="60" applyFont="1" applyFill="1" applyBorder="1" applyAlignment="1">
      <alignment horizontal="right"/>
      <protection/>
    </xf>
    <xf numFmtId="0" fontId="147" fillId="7" borderId="13" xfId="60" applyFont="1" applyFill="1" applyBorder="1" applyAlignment="1">
      <alignment horizontal="right"/>
      <protection/>
    </xf>
    <xf numFmtId="0" fontId="147" fillId="7" borderId="12" xfId="60" applyFont="1" applyFill="1" applyBorder="1" applyAlignment="1">
      <alignment horizontal="right"/>
      <protection/>
    </xf>
    <xf numFmtId="0" fontId="146" fillId="0" borderId="11" xfId="60" applyFont="1" applyBorder="1" applyAlignment="1">
      <alignment horizontal="left"/>
      <protection/>
    </xf>
    <xf numFmtId="0" fontId="146" fillId="0" borderId="13" xfId="60" applyFont="1" applyBorder="1" applyAlignment="1">
      <alignment horizontal="left"/>
      <protection/>
    </xf>
    <xf numFmtId="0" fontId="146" fillId="0" borderId="12" xfId="60" applyFont="1" applyBorder="1" applyAlignment="1">
      <alignment horizontal="left"/>
      <protection/>
    </xf>
    <xf numFmtId="0" fontId="181" fillId="0" borderId="0" xfId="60" applyFont="1" applyFill="1" applyBorder="1" applyAlignment="1">
      <alignment horizontal="center"/>
      <protection/>
    </xf>
    <xf numFmtId="0" fontId="171" fillId="0" borderId="35" xfId="60" applyFont="1" applyBorder="1" applyAlignment="1">
      <alignment horizontal="center" vertical="center"/>
      <protection/>
    </xf>
    <xf numFmtId="0" fontId="171" fillId="0" borderId="17" xfId="60" applyFont="1" applyBorder="1" applyAlignment="1">
      <alignment horizontal="center" vertical="center"/>
      <protection/>
    </xf>
    <xf numFmtId="0" fontId="171" fillId="0" borderId="36" xfId="60" applyFont="1" applyBorder="1" applyAlignment="1">
      <alignment horizontal="center" vertical="center"/>
      <protection/>
    </xf>
    <xf numFmtId="0" fontId="171" fillId="0" borderId="16" xfId="60" applyFont="1" applyBorder="1" applyAlignment="1">
      <alignment horizontal="center" vertical="center"/>
      <protection/>
    </xf>
    <xf numFmtId="0" fontId="42" fillId="0" borderId="14" xfId="60" applyFont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146" fillId="0" borderId="18" xfId="60" applyFont="1" applyFill="1" applyBorder="1" applyAlignment="1">
      <alignment horizontal="center" vertical="center" wrapText="1"/>
      <protection/>
    </xf>
    <xf numFmtId="0" fontId="146" fillId="0" borderId="52" xfId="60" applyFont="1" applyFill="1" applyBorder="1" applyAlignment="1">
      <alignment horizontal="center" vertical="center" wrapText="1"/>
      <protection/>
    </xf>
    <xf numFmtId="0" fontId="146" fillId="0" borderId="14" xfId="60" applyFont="1" applyFill="1" applyBorder="1" applyAlignment="1">
      <alignment horizontal="center" vertical="center" wrapText="1"/>
      <protection/>
    </xf>
    <xf numFmtId="0" fontId="146" fillId="0" borderId="15" xfId="60" applyFont="1" applyFill="1" applyBorder="1" applyAlignment="1">
      <alignment horizontal="center" vertical="center" wrapText="1"/>
      <protection/>
    </xf>
    <xf numFmtId="0" fontId="139" fillId="0" borderId="10" xfId="60" applyFont="1" applyFill="1" applyBorder="1" applyAlignment="1">
      <alignment horizontal="right"/>
      <protection/>
    </xf>
    <xf numFmtId="0" fontId="146" fillId="0" borderId="11" xfId="60" applyFont="1" applyFill="1" applyBorder="1" applyAlignment="1">
      <alignment horizontal="center" vertical="center" wrapText="1"/>
      <protection/>
    </xf>
    <xf numFmtId="0" fontId="146" fillId="0" borderId="13" xfId="60" applyFont="1" applyFill="1" applyBorder="1" applyAlignment="1">
      <alignment horizontal="center" vertical="center" wrapText="1"/>
      <protection/>
    </xf>
    <xf numFmtId="0" fontId="146" fillId="0" borderId="12" xfId="60" applyFont="1" applyFill="1" applyBorder="1" applyAlignment="1">
      <alignment horizontal="center" vertical="center" wrapText="1"/>
      <protection/>
    </xf>
    <xf numFmtId="0" fontId="51" fillId="0" borderId="0" xfId="60" applyFont="1" applyAlignment="1">
      <alignment horizontal="center"/>
      <protection/>
    </xf>
    <xf numFmtId="0" fontId="178" fillId="24" borderId="10" xfId="60" applyFont="1" applyFill="1" applyBorder="1" applyAlignment="1">
      <alignment horizontal="right"/>
      <protection/>
    </xf>
    <xf numFmtId="0" fontId="178" fillId="24" borderId="11" xfId="60" applyFont="1" applyFill="1" applyBorder="1" applyAlignment="1">
      <alignment horizontal="right"/>
      <protection/>
    </xf>
    <xf numFmtId="0" fontId="178" fillId="24" borderId="13" xfId="60" applyFont="1" applyFill="1" applyBorder="1" applyAlignment="1">
      <alignment horizontal="right"/>
      <protection/>
    </xf>
    <xf numFmtId="0" fontId="178" fillId="24" borderId="12" xfId="60" applyFont="1" applyFill="1" applyBorder="1" applyAlignment="1">
      <alignment horizontal="right"/>
      <protection/>
    </xf>
    <xf numFmtId="0" fontId="145" fillId="0" borderId="16" xfId="60" applyFont="1" applyBorder="1" applyAlignment="1">
      <alignment horizontal="center"/>
      <protection/>
    </xf>
    <xf numFmtId="0" fontId="171" fillId="0" borderId="18" xfId="60" applyFont="1" applyBorder="1" applyAlignment="1">
      <alignment horizontal="center" vertical="center"/>
      <protection/>
    </xf>
    <xf numFmtId="0" fontId="171" fillId="0" borderId="52" xfId="60" applyFont="1" applyBorder="1" applyAlignment="1">
      <alignment horizontal="center" vertical="center"/>
      <protection/>
    </xf>
    <xf numFmtId="0" fontId="147" fillId="0" borderId="11" xfId="60" applyFont="1" applyBorder="1" applyAlignment="1">
      <alignment horizontal="center" vertical="center"/>
      <protection/>
    </xf>
    <xf numFmtId="0" fontId="147" fillId="0" borderId="13" xfId="60" applyFont="1" applyBorder="1" applyAlignment="1">
      <alignment horizontal="center" vertical="center"/>
      <protection/>
    </xf>
    <xf numFmtId="0" fontId="147" fillId="0" borderId="12" xfId="60" applyFont="1" applyBorder="1" applyAlignment="1">
      <alignment horizontal="center" vertical="center"/>
      <protection/>
    </xf>
    <xf numFmtId="0" fontId="146" fillId="0" borderId="11" xfId="60" applyFont="1" applyBorder="1" applyAlignment="1">
      <alignment horizontal="center"/>
      <protection/>
    </xf>
    <xf numFmtId="0" fontId="146" fillId="0" borderId="13" xfId="60" applyFont="1" applyBorder="1" applyAlignment="1">
      <alignment horizontal="center"/>
      <protection/>
    </xf>
    <xf numFmtId="0" fontId="146" fillId="0" borderId="12" xfId="60" applyFont="1" applyBorder="1" applyAlignment="1">
      <alignment horizontal="center"/>
      <protection/>
    </xf>
    <xf numFmtId="0" fontId="179" fillId="0" borderId="16" xfId="60" applyFont="1" applyFill="1" applyBorder="1" applyAlignment="1">
      <alignment horizontal="center"/>
      <protection/>
    </xf>
    <xf numFmtId="0" fontId="0" fillId="20" borderId="11" xfId="61" applyFont="1" applyFill="1" applyBorder="1" applyAlignment="1">
      <alignment horizontal="center"/>
      <protection/>
    </xf>
    <xf numFmtId="0" fontId="0" fillId="20" borderId="13" xfId="61" applyFont="1" applyFill="1" applyBorder="1" applyAlignment="1">
      <alignment horizontal="center"/>
      <protection/>
    </xf>
    <xf numFmtId="0" fontId="0" fillId="20" borderId="12" xfId="61" applyFont="1" applyFill="1" applyBorder="1" applyAlignment="1">
      <alignment horizontal="center"/>
      <protection/>
    </xf>
    <xf numFmtId="0" fontId="146" fillId="0" borderId="19" xfId="61" applyFont="1" applyBorder="1" applyAlignment="1">
      <alignment horizontal="center" vertical="center" wrapText="1"/>
      <protection/>
    </xf>
    <xf numFmtId="0" fontId="146" fillId="0" borderId="15" xfId="61" applyFont="1" applyBorder="1" applyAlignment="1">
      <alignment horizontal="center" vertical="center" wrapText="1"/>
      <protection/>
    </xf>
    <xf numFmtId="0" fontId="146" fillId="0" borderId="11" xfId="61" applyFont="1" applyBorder="1" applyAlignment="1">
      <alignment horizontal="center" wrapText="1"/>
      <protection/>
    </xf>
    <xf numFmtId="0" fontId="146" fillId="0" borderId="13" xfId="61" applyFont="1" applyBorder="1" applyAlignment="1">
      <alignment horizontal="center" wrapText="1"/>
      <protection/>
    </xf>
    <xf numFmtId="0" fontId="146" fillId="0" borderId="12" xfId="61" applyFont="1" applyBorder="1" applyAlignment="1">
      <alignment horizontal="center" wrapText="1"/>
      <protection/>
    </xf>
    <xf numFmtId="0" fontId="147" fillId="0" borderId="10" xfId="61" applyFont="1" applyBorder="1" applyAlignment="1">
      <alignment horizontal="center" vertical="center" wrapText="1"/>
      <protection/>
    </xf>
    <xf numFmtId="0" fontId="34" fillId="0" borderId="0" xfId="61" applyFont="1" applyAlignment="1">
      <alignment horizontal="center"/>
      <protection/>
    </xf>
    <xf numFmtId="0" fontId="146" fillId="0" borderId="14" xfId="61" applyFont="1" applyBorder="1" applyAlignment="1">
      <alignment horizontal="center" vertical="center"/>
      <protection/>
    </xf>
    <xf numFmtId="0" fontId="146" fillId="0" borderId="19" xfId="61" applyFont="1" applyBorder="1" applyAlignment="1">
      <alignment horizontal="center" vertical="center"/>
      <protection/>
    </xf>
    <xf numFmtId="0" fontId="146" fillId="0" borderId="15" xfId="61" applyFont="1" applyBorder="1" applyAlignment="1">
      <alignment horizontal="center" vertical="center"/>
      <protection/>
    </xf>
    <xf numFmtId="0" fontId="146" fillId="0" borderId="14" xfId="61" applyFont="1" applyBorder="1" applyAlignment="1">
      <alignment horizontal="center" vertical="center" wrapText="1"/>
      <protection/>
    </xf>
    <xf numFmtId="0" fontId="147" fillId="0" borderId="46" xfId="61" applyFont="1" applyBorder="1" applyAlignment="1">
      <alignment horizontal="center" vertical="center" wrapText="1"/>
      <protection/>
    </xf>
    <xf numFmtId="0" fontId="147" fillId="0" borderId="47" xfId="61" applyFont="1" applyBorder="1" applyAlignment="1">
      <alignment horizontal="center" vertical="center" wrapText="1"/>
      <protection/>
    </xf>
    <xf numFmtId="0" fontId="147" fillId="0" borderId="60" xfId="61" applyFont="1" applyBorder="1" applyAlignment="1">
      <alignment horizontal="center" vertical="center" wrapText="1"/>
      <protection/>
    </xf>
    <xf numFmtId="0" fontId="161" fillId="0" borderId="0" xfId="61" applyFont="1" applyFill="1" applyAlignment="1">
      <alignment horizontal="left" vertical="top"/>
      <protection/>
    </xf>
    <xf numFmtId="0" fontId="161" fillId="0" borderId="0" xfId="61" applyFont="1" applyAlignment="1">
      <alignment horizontal="left"/>
      <protection/>
    </xf>
    <xf numFmtId="0" fontId="161" fillId="0" borderId="0" xfId="61" applyFont="1" applyAlignment="1">
      <alignment horizontal="left" wrapText="1"/>
      <protection/>
    </xf>
    <xf numFmtId="0" fontId="147" fillId="20" borderId="10" xfId="61" applyFont="1" applyFill="1" applyBorder="1" applyAlignment="1">
      <alignment horizontal="center"/>
      <protection/>
    </xf>
    <xf numFmtId="0" fontId="155" fillId="20" borderId="15" xfId="61" applyFont="1" applyFill="1" applyBorder="1" applyAlignment="1">
      <alignment horizontal="center"/>
      <protection/>
    </xf>
    <xf numFmtId="0" fontId="155" fillId="20" borderId="10" xfId="61" applyFont="1" applyFill="1" applyBorder="1" applyAlignment="1">
      <alignment horizontal="center"/>
      <protection/>
    </xf>
    <xf numFmtId="0" fontId="155" fillId="20" borderId="14" xfId="61" applyFont="1" applyFill="1" applyBorder="1" applyAlignment="1">
      <alignment horizontal="center"/>
      <protection/>
    </xf>
    <xf numFmtId="0" fontId="26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вод_ИНТЭКО утв. РСТ 2016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_Амортизация НОРД ФИШ 2015" xfId="59"/>
    <cellStyle name="Обычный 2_ИНТЭКО с ГВС на 2014" xfId="60"/>
    <cellStyle name="Обычный 3" xfId="61"/>
    <cellStyle name="Обычный 3 2" xfId="62"/>
    <cellStyle name="Обычный 4" xfId="63"/>
    <cellStyle name="Обычный 4 2" xfId="64"/>
    <cellStyle name="Обычный 4_1 Тарифная заявка ТЭ с. Пахачи 2016" xfId="65"/>
    <cellStyle name="Обычный 5" xfId="66"/>
    <cellStyle name="Обычный 6" xfId="67"/>
    <cellStyle name="Обычный_2008расчетОТОПЛ дог 1 3энр" xfId="68"/>
    <cellStyle name="Обычный_Амортизация НОРД ФИШ 2015" xfId="69"/>
    <cellStyle name="Обычный_Амортизация_лизинг" xfId="70"/>
    <cellStyle name="Обычный_Интэко  2015 долгосрочный тариф" xfId="71"/>
    <cellStyle name="Обычный_котельная №4" xfId="72"/>
    <cellStyle name="Обычный_Тариы индексная модель(Строй...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Процентный 3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[0] 2" xfId="85"/>
    <cellStyle name="Финансовый 2" xfId="86"/>
    <cellStyle name="Финансовый 3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56;&#1044;%20&#1060;&#1048;&#1064;%20&#1064;&#1072;&#1073;&#1083;&#1086;&#1085;%20&#1085;&#1072;%20&#1058;&#1069;%20&#1080;%20&#1043;&#1042;&#1057;%20&#1085;&#1072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4;&#1056;&#1044;%20&#1060;&#1048;&#1064;%20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&#1080;&#1085;\&#1044;&#1086;&#1083;&#1075;&#1086;&#1089;&#1088;&#1086;&#1095;&#1082;&#1072;%20(&#1085;&#1086;&#1074;&#1072;&#1103;)%202016-2018%20&#1075;.&#1075;.%20&#1048;&#1053;&#1058;&#1045;&#1050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6-2018%20%20&#1053;&#1054;&#1056;&#1044;%20&#1060;&#1048;&#1064;%20&#1082;&#1086;&#1085;&#1089;&#1077;&#1089;&#1089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9;&#1082;&#1086;&#1085;&#1086;&#1084;&#1080;&#1089;&#1090;\&#1058;&#1072;&#1088;&#1080;&#1092;&#1099;\&#1059;&#1090;&#1074;&#1077;&#1088;&#1078;&#1076;&#1077;&#1085;&#1085;&#1099;&#1077;%20&#1090;&#1072;&#1088;&#1080;&#1092;&#1099;%202016\&#1048;&#1053;&#1058;&#1069;&#1050;&#1054;%20&#1091;&#1090;&#1074;.%20&#1056;&#1057;&#1058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4.1"/>
      <sheetName val="4.2"/>
      <sheetName val="4.3"/>
      <sheetName val="4.4"/>
      <sheetName val="4.5"/>
      <sheetName val="4.6 Смета"/>
      <sheetName val="Аренда машины"/>
      <sheetName val="4.7"/>
      <sheetName val="ЭЭ-расчет"/>
      <sheetName val="4.8"/>
      <sheetName val="4.9"/>
      <sheetName val="Расшиф. 4.9"/>
      <sheetName val="4.10"/>
      <sheetName val="Прилож 4.10"/>
      <sheetName val="6.1"/>
      <sheetName val="6.2"/>
      <sheetName val="6.3"/>
      <sheetName val="6.4"/>
      <sheetName val="6.5"/>
      <sheetName val="6.6"/>
      <sheetName val="6.7"/>
      <sheetName val="6.8"/>
      <sheetName val="Произ.пррог"/>
      <sheetName val="Расчет ГВС"/>
      <sheetName val="Объекты НОРД ФИШ"/>
      <sheetName val="Перечень строений"/>
      <sheetName val="Т-график"/>
    </sheetNames>
    <sheetDataSet>
      <sheetData sheetId="2">
        <row r="37">
          <cell r="B37" t="str">
            <v>Генеральный директор ____________________С.Г. Бобряшов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прил 4.1. (ПП)"/>
      <sheetName val="прил 4.1. (отопл)"/>
      <sheetName val="прил 4.1. (ГВС м3)"/>
      <sheetName val="прил 4.1. (ГВС)"/>
      <sheetName val="прил 4.1. СВОД"/>
      <sheetName val="4.1"/>
      <sheetName val="4.2"/>
      <sheetName val="4.3"/>
      <sheetName val="4.4"/>
      <sheetName val="4.5"/>
      <sheetName val="Амортизация по лизингу"/>
      <sheetName val="4.11"/>
      <sheetName val="4.12"/>
      <sheetName val="4.13"/>
      <sheetName val="4.14"/>
      <sheetName val="4.15"/>
      <sheetName val="6.1"/>
      <sheetName val="6.2"/>
      <sheetName val="6.3"/>
      <sheetName val="4.6 Смета"/>
      <sheetName val="4.7"/>
      <sheetName val="ЭЭ-расчет"/>
      <sheetName val="4.8"/>
      <sheetName val="4.9"/>
      <sheetName val="Расшиф. 4.9"/>
      <sheetName val="4.10"/>
      <sheetName val="4.12-1"/>
      <sheetName val="5.1"/>
      <sheetName val="5.2"/>
      <sheetName val="5.3"/>
      <sheetName val="5.4"/>
      <sheetName val="5.5"/>
      <sheetName val="5.6"/>
      <sheetName val="5.7"/>
      <sheetName val="5.9"/>
      <sheetName val="6.1-1"/>
      <sheetName val="6.2-1"/>
      <sheetName val="6.3-1"/>
      <sheetName val="6.4"/>
      <sheetName val="6.5"/>
      <sheetName val="6.5-1"/>
      <sheetName val="6.6"/>
      <sheetName val="6.7"/>
      <sheetName val="6.8"/>
      <sheetName val="Расчет гвс"/>
      <sheetName val="Т-график"/>
      <sheetName val="Перечень строений"/>
    </sheetNames>
    <sheetDataSet>
      <sheetData sheetId="7">
        <row r="6">
          <cell r="B6" t="str">
            <v>Усть-Камчатское сельское поселение Усть-Камчатского муниципального района</v>
          </cell>
        </row>
        <row r="30">
          <cell r="L30">
            <v>0</v>
          </cell>
          <cell r="M30">
            <v>0</v>
          </cell>
        </row>
      </sheetData>
      <sheetData sheetId="8">
        <row r="14">
          <cell r="G14">
            <v>0</v>
          </cell>
          <cell r="H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Произв прогр"/>
      <sheetName val="4.1"/>
      <sheetName val="4.2"/>
      <sheetName val="4.3"/>
      <sheetName val="4.4"/>
      <sheetName val="4.5"/>
      <sheetName val="Амортизация по лизингу"/>
      <sheetName val="4.11"/>
      <sheetName val="4.12"/>
      <sheetName val="4.13"/>
      <sheetName val="4.14"/>
      <sheetName val="4.15"/>
      <sheetName val="6.1"/>
      <sheetName val="6.2"/>
      <sheetName val="6.3"/>
      <sheetName val="4.12-1"/>
      <sheetName val="5.1"/>
      <sheetName val="5.2"/>
      <sheetName val="5.3"/>
      <sheetName val="5.4"/>
      <sheetName val="5.5"/>
      <sheetName val="5.6"/>
      <sheetName val="5.7"/>
      <sheetName val="5.9"/>
      <sheetName val="6.5"/>
      <sheetName val="Расчет гвс"/>
      <sheetName val="Т-график"/>
      <sheetName val="Перечень строений"/>
    </sheetNames>
    <sheetDataSet>
      <sheetData sheetId="0">
        <row r="5">
          <cell r="A5" t="str">
            <v>Наименование    Усть - Камчатское муниципальное образование</v>
          </cell>
        </row>
      </sheetData>
      <sheetData sheetId="1">
        <row r="5">
          <cell r="A5" t="str">
            <v>Наименование    Усть - Камчатское муниципальное образование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роизв прогр"/>
      <sheetName val="3.1"/>
      <sheetName val="4.1"/>
      <sheetName val="4.2"/>
      <sheetName val="4.3"/>
      <sheetName val="4.4"/>
      <sheetName val="4.5"/>
      <sheetName val="4.6 Смета"/>
      <sheetName val="Амортизация по лизингу"/>
      <sheetName val="4.11"/>
      <sheetName val="4.12"/>
      <sheetName val="4.13"/>
      <sheetName val="4.14"/>
      <sheetName val="4.15"/>
      <sheetName val="6.1"/>
      <sheetName val="6.2"/>
      <sheetName val="6.3"/>
      <sheetName val="4.7"/>
      <sheetName val="ЭЭ-расчет"/>
      <sheetName val="4.8"/>
      <sheetName val="4.9"/>
      <sheetName val="Расшиф. 4.9 НФ"/>
      <sheetName val="4.10"/>
      <sheetName val="Аморт. НОРД ФИШ"/>
      <sheetName val="4.12-1"/>
      <sheetName val="5.1"/>
      <sheetName val="5.2"/>
      <sheetName val="5.3"/>
      <sheetName val="5.4"/>
      <sheetName val="5.5"/>
      <sheetName val="5.6"/>
      <sheetName val="5.7"/>
      <sheetName val="5.9"/>
      <sheetName val="6.5"/>
      <sheetName val="6.4"/>
      <sheetName val="6.6"/>
      <sheetName val="6.7"/>
      <sheetName val="6.8"/>
      <sheetName val="Расчет гвс"/>
      <sheetName val="Т-график"/>
      <sheetName val="Перечень строений"/>
      <sheetName val="i-d"/>
    </sheetNames>
    <sheetDataSet>
      <sheetData sheetId="3">
        <row r="30">
          <cell r="L30">
            <v>1.445</v>
          </cell>
        </row>
      </sheetData>
      <sheetData sheetId="4">
        <row r="26">
          <cell r="G26">
            <v>2.588</v>
          </cell>
        </row>
      </sheetData>
      <sheetData sheetId="20">
        <row r="12">
          <cell r="M12">
            <v>0.04802</v>
          </cell>
        </row>
      </sheetData>
      <sheetData sheetId="35">
        <row r="36">
          <cell r="J36">
            <v>11572.77</v>
          </cell>
          <cell r="M36" t="e">
            <v>#REF!</v>
          </cell>
          <cell r="S36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3.1"/>
      <sheetName val="4.1"/>
      <sheetName val="4.2"/>
      <sheetName val="4.3"/>
      <sheetName val="4.4"/>
      <sheetName val="4.5"/>
      <sheetName val="4.6 Смета"/>
      <sheetName val="4.7"/>
      <sheetName val="4.7 расшиф.-ээ"/>
      <sheetName val="4.8"/>
      <sheetName val="4.9"/>
      <sheetName val="Расшиф. 4.9"/>
      <sheetName val="Амортизация по лизингу"/>
      <sheetName val="i-d"/>
      <sheetName val="4.10"/>
      <sheetName val="4.11"/>
      <sheetName val="4.12"/>
      <sheetName val="4.13"/>
      <sheetName val="4.14"/>
      <sheetName val="4.15"/>
      <sheetName val="6.1"/>
      <sheetName val="6.2"/>
      <sheetName val="6.3"/>
      <sheetName val="Амортизация"/>
      <sheetName val="6.4"/>
      <sheetName val="6.5"/>
      <sheetName val="6.6"/>
      <sheetName val="6.7"/>
      <sheetName val="6.8"/>
      <sheetName val="Расчет ГВС"/>
      <sheetName val="перечень строений"/>
      <sheetName val="Т-график"/>
      <sheetName val="Произ.пррог"/>
    </sheetNames>
    <sheetDataSet>
      <sheetData sheetId="2">
        <row r="6">
          <cell r="B6" t="str">
            <v>Усть-Камчатское муниципальное образование</v>
          </cell>
        </row>
      </sheetData>
      <sheetData sheetId="12">
        <row r="10">
          <cell r="S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K11">
            <v>8.5</v>
          </cell>
          <cell r="S11">
            <v>8.5</v>
          </cell>
        </row>
        <row r="12">
          <cell r="S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M14">
            <v>4590</v>
          </cell>
          <cell r="N14">
            <v>4590</v>
          </cell>
        </row>
        <row r="15">
          <cell r="M15">
            <v>1.056</v>
          </cell>
          <cell r="N15">
            <v>1.056</v>
          </cell>
        </row>
        <row r="17">
          <cell r="G17">
            <v>6.18</v>
          </cell>
        </row>
        <row r="18">
          <cell r="G18">
            <v>1.74</v>
          </cell>
          <cell r="K18">
            <v>1.74</v>
          </cell>
        </row>
        <row r="19">
          <cell r="G19">
            <v>1.2</v>
          </cell>
          <cell r="S19">
            <v>1</v>
          </cell>
        </row>
        <row r="20">
          <cell r="G20">
            <v>10138</v>
          </cell>
          <cell r="K20">
            <v>10120.536</v>
          </cell>
        </row>
        <row r="22">
          <cell r="K22">
            <v>21</v>
          </cell>
          <cell r="AC22">
            <v>22.005518512099677</v>
          </cell>
        </row>
        <row r="23">
          <cell r="G23">
            <v>2081</v>
          </cell>
          <cell r="K23">
            <v>2125.31256</v>
          </cell>
        </row>
        <row r="25">
          <cell r="K25">
            <v>30</v>
          </cell>
          <cell r="L25">
            <v>30</v>
          </cell>
          <cell r="S25">
            <v>30</v>
          </cell>
        </row>
        <row r="28">
          <cell r="K28">
            <v>0</v>
          </cell>
          <cell r="S28">
            <v>0</v>
          </cell>
          <cell r="AC28">
            <v>0</v>
          </cell>
          <cell r="AD28">
            <v>0</v>
          </cell>
          <cell r="AE28">
            <v>0</v>
          </cell>
        </row>
        <row r="34">
          <cell r="K34">
            <v>160</v>
          </cell>
          <cell r="O34">
            <v>160</v>
          </cell>
          <cell r="S34">
            <v>160</v>
          </cell>
        </row>
        <row r="37">
          <cell r="K37">
            <v>4205</v>
          </cell>
        </row>
        <row r="38">
          <cell r="G38">
            <v>73</v>
          </cell>
          <cell r="O38">
            <v>78</v>
          </cell>
        </row>
        <row r="40">
          <cell r="G40">
            <v>1272</v>
          </cell>
          <cell r="K40">
            <v>1269</v>
          </cell>
        </row>
        <row r="48">
          <cell r="AE48" t="str">
            <v>Расчет отчислений на социальные нужды на 2016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7"/>
  <sheetViews>
    <sheetView zoomScaleSheetLayoutView="100" workbookViewId="0" topLeftCell="A1">
      <selection activeCell="V37" sqref="V37"/>
    </sheetView>
  </sheetViews>
  <sheetFormatPr defaultColWidth="9.140625" defaultRowHeight="15" outlineLevelRow="1"/>
  <cols>
    <col min="1" max="1" width="7.421875" style="148" customWidth="1"/>
    <col min="2" max="2" width="63.421875" style="147" customWidth="1"/>
    <col min="3" max="3" width="15.57421875" style="145" customWidth="1"/>
    <col min="4" max="4" width="21.57421875" style="145" customWidth="1"/>
    <col min="5" max="16384" width="9.140625" style="148" customWidth="1"/>
  </cols>
  <sheetData>
    <row r="1" spans="1:5" ht="14.25">
      <c r="A1" s="7" t="str">
        <f>'3.1'!A1</f>
        <v>Теплоснабжающая  организация: ООО "ИНТЭКО"</v>
      </c>
      <c r="C1" s="2127"/>
      <c r="D1" s="2127"/>
      <c r="E1" s="195"/>
    </row>
    <row r="2" ht="14.25">
      <c r="A2" s="1" t="str">
        <f>'3.1'!A2</f>
        <v>Базовый период/Период регулирования:2016/2017-2018г.г.</v>
      </c>
    </row>
    <row r="4" spans="1:4" ht="14.25">
      <c r="A4" s="2128" t="s">
        <v>342</v>
      </c>
      <c r="B4" s="2128"/>
      <c r="C4" s="2128"/>
      <c r="D4" s="2128"/>
    </row>
    <row r="5" ht="14.25">
      <c r="A5" s="306" t="s">
        <v>1144</v>
      </c>
    </row>
    <row r="6" spans="1:4" ht="14.25">
      <c r="A6" s="197" t="s">
        <v>254</v>
      </c>
      <c r="B6" s="2024" t="s">
        <v>343</v>
      </c>
      <c r="C6" s="196" t="s">
        <v>344</v>
      </c>
      <c r="D6" s="196" t="s">
        <v>345</v>
      </c>
    </row>
    <row r="7" spans="1:4" ht="14.25">
      <c r="A7" s="2061">
        <v>1</v>
      </c>
      <c r="B7" s="2062" t="s">
        <v>1281</v>
      </c>
      <c r="C7" s="199" t="s">
        <v>1668</v>
      </c>
      <c r="D7" s="144" t="s">
        <v>1251</v>
      </c>
    </row>
    <row r="8" spans="1:4" ht="27.75">
      <c r="A8" s="149">
        <v>2</v>
      </c>
      <c r="B8" s="150" t="s">
        <v>815</v>
      </c>
      <c r="C8" s="151"/>
      <c r="D8" s="146"/>
    </row>
    <row r="9" spans="1:4" ht="14.25">
      <c r="A9" s="199" t="s">
        <v>1665</v>
      </c>
      <c r="B9" s="2062" t="s">
        <v>942</v>
      </c>
      <c r="C9" s="199" t="s">
        <v>203</v>
      </c>
      <c r="D9" s="144" t="s">
        <v>1252</v>
      </c>
    </row>
    <row r="10" spans="1:4" ht="14.25">
      <c r="A10" s="199" t="s">
        <v>1695</v>
      </c>
      <c r="B10" s="2062" t="s">
        <v>273</v>
      </c>
      <c r="C10" s="199" t="s">
        <v>205</v>
      </c>
      <c r="D10" s="144" t="s">
        <v>1253</v>
      </c>
    </row>
    <row r="11" spans="1:4" ht="14.25">
      <c r="A11" s="199" t="s">
        <v>1657</v>
      </c>
      <c r="B11" s="2062" t="s">
        <v>1295</v>
      </c>
      <c r="C11" s="199" t="s">
        <v>207</v>
      </c>
      <c r="D11" s="144" t="s">
        <v>1254</v>
      </c>
    </row>
    <row r="12" spans="1:4" ht="14.25">
      <c r="A12" s="199" t="s">
        <v>79</v>
      </c>
      <c r="B12" s="2062" t="s">
        <v>704</v>
      </c>
      <c r="C12" s="199" t="s">
        <v>214</v>
      </c>
      <c r="D12" s="144" t="s">
        <v>1255</v>
      </c>
    </row>
    <row r="13" spans="1:4" ht="14.25">
      <c r="A13" s="199" t="s">
        <v>81</v>
      </c>
      <c r="B13" s="2062" t="s">
        <v>693</v>
      </c>
      <c r="C13" s="199" t="s">
        <v>215</v>
      </c>
      <c r="D13" s="144" t="s">
        <v>1256</v>
      </c>
    </row>
    <row r="14" spans="1:4" ht="14.25">
      <c r="A14" s="199" t="s">
        <v>83</v>
      </c>
      <c r="B14" s="2062" t="s">
        <v>1354</v>
      </c>
      <c r="C14" s="199" t="s">
        <v>1056</v>
      </c>
      <c r="D14" s="144" t="s">
        <v>1257</v>
      </c>
    </row>
    <row r="15" spans="1:4" ht="14.25">
      <c r="A15" s="199" t="s">
        <v>85</v>
      </c>
      <c r="B15" s="2062" t="s">
        <v>341</v>
      </c>
      <c r="C15" s="199" t="s">
        <v>1057</v>
      </c>
      <c r="D15" s="144" t="s">
        <v>1258</v>
      </c>
    </row>
    <row r="16" spans="1:4" ht="27.75">
      <c r="A16" s="199" t="s">
        <v>415</v>
      </c>
      <c r="B16" s="2062" t="s">
        <v>682</v>
      </c>
      <c r="C16" s="199" t="s">
        <v>1057</v>
      </c>
      <c r="D16" s="144" t="s">
        <v>1259</v>
      </c>
    </row>
    <row r="17" spans="1:4" ht="14.25">
      <c r="A17" s="199" t="s">
        <v>417</v>
      </c>
      <c r="B17" s="2062" t="s">
        <v>73</v>
      </c>
      <c r="C17" s="199" t="s">
        <v>1058</v>
      </c>
      <c r="D17" s="144" t="s">
        <v>1260</v>
      </c>
    </row>
    <row r="18" spans="1:4" ht="14.25">
      <c r="A18" s="199" t="s">
        <v>419</v>
      </c>
      <c r="B18" s="2062" t="s">
        <v>1355</v>
      </c>
      <c r="C18" s="199" t="s">
        <v>816</v>
      </c>
      <c r="D18" s="144" t="s">
        <v>1261</v>
      </c>
    </row>
    <row r="19" spans="1:4" ht="14.25" hidden="1">
      <c r="A19" s="199" t="s">
        <v>212</v>
      </c>
      <c r="B19" s="2062" t="s">
        <v>1246</v>
      </c>
      <c r="C19" s="199"/>
      <c r="D19" s="144"/>
    </row>
    <row r="20" spans="1:4" ht="27.75">
      <c r="A20" s="199" t="s">
        <v>213</v>
      </c>
      <c r="B20" s="2062" t="s">
        <v>1215</v>
      </c>
      <c r="C20" s="199" t="s">
        <v>817</v>
      </c>
      <c r="D20" s="2125" t="s">
        <v>1262</v>
      </c>
    </row>
    <row r="21" spans="1:4" ht="14.25" hidden="1">
      <c r="A21" s="199" t="s">
        <v>1112</v>
      </c>
      <c r="B21" s="2062" t="s">
        <v>1689</v>
      </c>
      <c r="C21" s="199"/>
      <c r="D21" s="144"/>
    </row>
    <row r="22" spans="1:4" ht="14.25" hidden="1">
      <c r="A22" s="199" t="s">
        <v>1113</v>
      </c>
      <c r="B22" s="2062" t="s">
        <v>1114</v>
      </c>
      <c r="C22" s="199"/>
      <c r="D22" s="144"/>
    </row>
    <row r="23" spans="1:4" ht="14.25" hidden="1">
      <c r="A23" s="199" t="s">
        <v>189</v>
      </c>
      <c r="B23" s="2062" t="s">
        <v>1119</v>
      </c>
      <c r="C23" s="199"/>
      <c r="D23" s="144"/>
    </row>
    <row r="24" spans="1:4" ht="14.25" hidden="1">
      <c r="A24" s="199" t="s">
        <v>141</v>
      </c>
      <c r="B24" s="2062" t="s">
        <v>115</v>
      </c>
      <c r="C24" s="199"/>
      <c r="D24" s="144"/>
    </row>
    <row r="25" spans="1:4" ht="42" hidden="1">
      <c r="A25" s="199" t="s">
        <v>142</v>
      </c>
      <c r="B25" s="2062" t="s">
        <v>294</v>
      </c>
      <c r="C25" s="199"/>
      <c r="D25" s="144"/>
    </row>
    <row r="26" spans="1:4" ht="14.25" outlineLevel="1">
      <c r="A26" s="199" t="s">
        <v>1112</v>
      </c>
      <c r="B26" s="2063" t="s">
        <v>1114</v>
      </c>
      <c r="C26" s="199" t="s">
        <v>818</v>
      </c>
      <c r="D26" s="2126" t="s">
        <v>1263</v>
      </c>
    </row>
    <row r="27" spans="1:4" ht="14.25" outlineLevel="1">
      <c r="A27" s="199" t="s">
        <v>1113</v>
      </c>
      <c r="B27" s="2062" t="s">
        <v>819</v>
      </c>
      <c r="C27" s="199" t="s">
        <v>428</v>
      </c>
      <c r="D27" s="2126" t="s">
        <v>1264</v>
      </c>
    </row>
    <row r="28" spans="1:4" ht="14.25" outlineLevel="1">
      <c r="A28" s="199" t="s">
        <v>189</v>
      </c>
      <c r="B28" s="2062" t="s">
        <v>820</v>
      </c>
      <c r="C28" s="199" t="s">
        <v>429</v>
      </c>
      <c r="D28" s="2126" t="s">
        <v>1265</v>
      </c>
    </row>
    <row r="29" spans="1:4" ht="14.25" outlineLevel="1">
      <c r="A29" s="199" t="s">
        <v>141</v>
      </c>
      <c r="B29" s="2062" t="s">
        <v>166</v>
      </c>
      <c r="C29" s="199" t="s">
        <v>430</v>
      </c>
      <c r="D29" s="2126" t="s">
        <v>1266</v>
      </c>
    </row>
    <row r="30" spans="1:4" ht="27.75" outlineLevel="1">
      <c r="A30" s="199" t="s">
        <v>142</v>
      </c>
      <c r="B30" s="2062" t="s">
        <v>821</v>
      </c>
      <c r="C30" s="199" t="s">
        <v>997</v>
      </c>
      <c r="D30" s="2126" t="s">
        <v>1267</v>
      </c>
    </row>
    <row r="31" spans="1:4" ht="14.25" outlineLevel="1">
      <c r="A31" s="199" t="s">
        <v>822</v>
      </c>
      <c r="B31" s="2062" t="s">
        <v>167</v>
      </c>
      <c r="C31" s="199" t="s">
        <v>998</v>
      </c>
      <c r="D31" s="2126" t="s">
        <v>1268</v>
      </c>
    </row>
    <row r="32" spans="1:4" ht="14.25" outlineLevel="1">
      <c r="A32" s="199" t="s">
        <v>823</v>
      </c>
      <c r="B32" s="2062" t="s">
        <v>1119</v>
      </c>
      <c r="C32" s="199" t="s">
        <v>1250</v>
      </c>
      <c r="D32" s="2126" t="s">
        <v>1269</v>
      </c>
    </row>
    <row r="33" spans="1:4" ht="27.75" outlineLevel="1">
      <c r="A33" s="199" t="s">
        <v>824</v>
      </c>
      <c r="B33" s="2062" t="s">
        <v>825</v>
      </c>
      <c r="C33" s="199" t="s">
        <v>1642</v>
      </c>
      <c r="D33" s="2126" t="s">
        <v>1270</v>
      </c>
    </row>
    <row r="34" spans="1:4" ht="27.75" outlineLevel="1">
      <c r="A34" s="199" t="s">
        <v>826</v>
      </c>
      <c r="B34" s="2062" t="s">
        <v>827</v>
      </c>
      <c r="C34" s="199" t="s">
        <v>828</v>
      </c>
      <c r="D34" s="2126" t="s">
        <v>1271</v>
      </c>
    </row>
    <row r="35" spans="1:4" ht="14.25" hidden="1" outlineLevel="1">
      <c r="A35" s="199" t="s">
        <v>829</v>
      </c>
      <c r="B35" s="2062"/>
      <c r="C35" s="199"/>
      <c r="D35" s="193"/>
    </row>
    <row r="36" spans="1:4" ht="14.25" hidden="1" outlineLevel="1">
      <c r="A36" s="199" t="s">
        <v>830</v>
      </c>
      <c r="B36" s="2062"/>
      <c r="C36" s="199"/>
      <c r="D36" s="193"/>
    </row>
    <row r="37" spans="1:4" ht="27.75" collapsed="1">
      <c r="A37" s="149">
        <v>3</v>
      </c>
      <c r="B37" s="150" t="s">
        <v>190</v>
      </c>
      <c r="C37" s="151"/>
      <c r="D37" s="193"/>
    </row>
    <row r="38" spans="1:4" ht="27.75" hidden="1">
      <c r="A38" s="199" t="s">
        <v>203</v>
      </c>
      <c r="B38" s="2062" t="s">
        <v>296</v>
      </c>
      <c r="C38" s="199"/>
      <c r="D38" s="144"/>
    </row>
    <row r="39" spans="1:4" ht="27.75" hidden="1">
      <c r="A39" s="199" t="s">
        <v>205</v>
      </c>
      <c r="B39" s="2062" t="s">
        <v>1320</v>
      </c>
      <c r="C39" s="199"/>
      <c r="D39" s="144"/>
    </row>
    <row r="40" spans="1:4" ht="69" hidden="1">
      <c r="A40" s="199" t="s">
        <v>207</v>
      </c>
      <c r="B40" s="2062" t="s">
        <v>1330</v>
      </c>
      <c r="C40" s="199"/>
      <c r="D40" s="144"/>
    </row>
    <row r="41" spans="1:4" ht="27.75">
      <c r="A41" s="199" t="s">
        <v>214</v>
      </c>
      <c r="B41" s="2062" t="s">
        <v>1331</v>
      </c>
      <c r="C41" s="199" t="s">
        <v>1174</v>
      </c>
      <c r="D41" s="144" t="s">
        <v>1272</v>
      </c>
    </row>
    <row r="42" spans="1:4" ht="27.75" hidden="1">
      <c r="A42" s="199" t="s">
        <v>215</v>
      </c>
      <c r="B42" s="2062" t="s">
        <v>1342</v>
      </c>
      <c r="C42" s="199"/>
      <c r="D42" s="144"/>
    </row>
    <row r="43" spans="1:4" ht="42">
      <c r="A43" s="199" t="s">
        <v>1056</v>
      </c>
      <c r="B43" s="2062" t="s">
        <v>1356</v>
      </c>
      <c r="C43" s="199" t="s">
        <v>1437</v>
      </c>
      <c r="D43" s="144" t="s">
        <v>1273</v>
      </c>
    </row>
    <row r="44" spans="1:4" ht="14.25">
      <c r="A44" s="199" t="s">
        <v>1057</v>
      </c>
      <c r="B44" s="2062" t="s">
        <v>1357</v>
      </c>
      <c r="C44" s="199" t="s">
        <v>831</v>
      </c>
      <c r="D44" s="144" t="s">
        <v>1274</v>
      </c>
    </row>
    <row r="45" spans="1:4" ht="55.5">
      <c r="A45" s="199" t="s">
        <v>1058</v>
      </c>
      <c r="B45" s="2062" t="s">
        <v>1214</v>
      </c>
      <c r="C45" s="199" t="s">
        <v>832</v>
      </c>
      <c r="D45" s="144" t="s">
        <v>1275</v>
      </c>
    </row>
    <row r="47" ht="14.25">
      <c r="B47" s="40" t="s">
        <v>833</v>
      </c>
    </row>
  </sheetData>
  <sheetProtection/>
  <mergeCells count="2">
    <mergeCell ref="C1:D1"/>
    <mergeCell ref="A4:D4"/>
  </mergeCells>
  <hyperlinks>
    <hyperlink ref="D7" location="'3.1'!A1" display="'3.1'!A1"/>
    <hyperlink ref="D9" location="'4.1'!A1" display="'4.1'!A1"/>
    <hyperlink ref="D10" location="'4.2'!A1" display="'4.2'!A1"/>
    <hyperlink ref="D11" location="'4.3'!A1" display="'4.3'!A1"/>
    <hyperlink ref="D12" location="'4.4'!A1" display="'4.4'!A1"/>
    <hyperlink ref="D13" location="'4.5'!A1" display="'4.5'!A1"/>
    <hyperlink ref="D14" location="'4.6 Смета'!A1" display="'4.6 Смета'!A1"/>
    <hyperlink ref="D15" location="'4.7 '!A1" display="'4.7 '!A1"/>
    <hyperlink ref="D16" location="'4.7 расшиф.-ээ'!A1" display="'4.7 расшиф.-ээ'!A1"/>
    <hyperlink ref="D17" location="'4.8'!A1" display="'4.8'!A1"/>
    <hyperlink ref="D18" location="'4.9 '!A1" display="'4.9 '!A1"/>
    <hyperlink ref="D20" location="Амортизация!A1" display="Амортизация!A1"/>
    <hyperlink ref="D26" location="'4.12-1'!A1" display="'4.12-1'!A1"/>
    <hyperlink ref="D27" location="'5.1'!A1" display="'5.1'!A1"/>
    <hyperlink ref="D28" location="'5.2'!A1" display="'5.2'!A1"/>
    <hyperlink ref="D29" location="'5.3'!A1" display="'5.3'!A1"/>
    <hyperlink ref="D30" location="'5.4'!A1" display="'5.4'!A1"/>
    <hyperlink ref="D31" location="'5.5'!A1" display="'5.5'!A1"/>
    <hyperlink ref="D32" location="'5.6'!A1" display="'5.6'!A1"/>
    <hyperlink ref="D33" location="'5.7'!A1" display="'5.7'!A1"/>
    <hyperlink ref="D34" location="'5.9'!A1" display="'5.9'!A1"/>
    <hyperlink ref="D41" location="'6.4'!A1" display="'6.4'!A1"/>
    <hyperlink ref="D43" location="'6.6'!A1" display="'6.6'!A1"/>
    <hyperlink ref="D44" location="'6.7'!A1" display="'6.7'!A1"/>
    <hyperlink ref="D45" location="'6.8'!A1" display="'6.8'!A1"/>
  </hyperlinks>
  <printOptions/>
  <pageMargins left="0.7" right="0.7" top="0.16" bottom="0.24" header="0.3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53"/>
  <sheetViews>
    <sheetView view="pageBreakPreview" zoomScaleSheetLayoutView="100" zoomScalePageLayoutView="0" workbookViewId="0" topLeftCell="A13">
      <selection activeCell="H41" sqref="H41:I41"/>
    </sheetView>
  </sheetViews>
  <sheetFormatPr defaultColWidth="9.140625" defaultRowHeight="15"/>
  <cols>
    <col min="1" max="1" width="9.7109375" style="304" customWidth="1"/>
    <col min="2" max="2" width="26.57421875" style="304" customWidth="1"/>
    <col min="3" max="3" width="25.8515625" style="304" hidden="1" customWidth="1"/>
    <col min="4" max="4" width="11.140625" style="304" hidden="1" customWidth="1"/>
    <col min="5" max="5" width="20.8515625" style="304" customWidth="1"/>
    <col min="6" max="7" width="9.140625" style="304" customWidth="1"/>
    <col min="8" max="8" width="11.57421875" style="304" bestFit="1" customWidth="1"/>
    <col min="9" max="9" width="11.7109375" style="304" customWidth="1"/>
    <col min="10" max="11" width="11.7109375" style="305" customWidth="1"/>
    <col min="12" max="16" width="11.7109375" style="304" customWidth="1"/>
    <col min="17" max="17" width="21.421875" style="304" customWidth="1"/>
    <col min="18" max="18" width="10.00390625" style="219" bestFit="1" customWidth="1"/>
    <col min="19" max="19" width="10.8515625" style="224" customWidth="1"/>
    <col min="20" max="20" width="10.00390625" style="219" hidden="1" customWidth="1"/>
    <col min="21" max="21" width="11.7109375" style="304" customWidth="1"/>
    <col min="22" max="22" width="13.28125" style="219" customWidth="1"/>
    <col min="23" max="23" width="15.8515625" style="218" customWidth="1"/>
    <col min="24" max="25" width="49.57421875" style="219" customWidth="1"/>
    <col min="26" max="16384" width="9.140625" style="219" customWidth="1"/>
  </cols>
  <sheetData>
    <row r="1" spans="1:22" ht="15.75">
      <c r="A1" s="214" t="s">
        <v>144</v>
      </c>
      <c r="B1" s="215"/>
      <c r="C1" s="215"/>
      <c r="D1" s="215"/>
      <c r="E1" s="215"/>
      <c r="F1" s="215"/>
      <c r="G1" s="215"/>
      <c r="H1" s="215"/>
      <c r="I1" s="215"/>
      <c r="J1" s="216"/>
      <c r="K1" s="216"/>
      <c r="L1" s="215"/>
      <c r="M1" s="215"/>
      <c r="N1" s="215"/>
      <c r="O1" s="215"/>
      <c r="P1" s="215"/>
      <c r="Q1" s="215"/>
      <c r="R1" s="215"/>
      <c r="S1" s="217"/>
      <c r="T1" s="215"/>
      <c r="U1" s="215"/>
      <c r="V1" s="215"/>
    </row>
    <row r="2" spans="1:21" ht="13.5">
      <c r="A2" s="220"/>
      <c r="B2" s="221"/>
      <c r="C2" s="221"/>
      <c r="D2" s="221"/>
      <c r="E2" s="221"/>
      <c r="F2" s="221"/>
      <c r="G2" s="221"/>
      <c r="H2" s="221"/>
      <c r="I2" s="221"/>
      <c r="J2" s="222"/>
      <c r="K2" s="222"/>
      <c r="L2" s="221"/>
      <c r="M2" s="221"/>
      <c r="N2" s="223"/>
      <c r="O2" s="221"/>
      <c r="P2" s="223"/>
      <c r="Q2" s="221"/>
      <c r="U2" s="221"/>
    </row>
    <row r="3" spans="1:23" ht="13.5" customHeight="1">
      <c r="A3" s="2211" t="s">
        <v>1245</v>
      </c>
      <c r="B3" s="2211"/>
      <c r="C3" s="2211"/>
      <c r="D3" s="2211"/>
      <c r="E3" s="2211"/>
      <c r="F3" s="2211"/>
      <c r="G3" s="225"/>
      <c r="H3" s="225"/>
      <c r="I3" s="225"/>
      <c r="J3" s="226"/>
      <c r="K3" s="226"/>
      <c r="L3" s="225"/>
      <c r="M3" s="225"/>
      <c r="N3" s="225"/>
      <c r="O3" s="225"/>
      <c r="P3" s="225"/>
      <c r="Q3" s="225"/>
      <c r="R3" s="225"/>
      <c r="S3" s="226"/>
      <c r="T3" s="225"/>
      <c r="U3" s="225"/>
      <c r="V3" s="225" t="s">
        <v>145</v>
      </c>
      <c r="W3" s="225"/>
    </row>
    <row r="4" spans="1:23" ht="76.5" customHeight="1">
      <c r="A4" s="2212" t="s">
        <v>254</v>
      </c>
      <c r="B4" s="2212" t="s">
        <v>146</v>
      </c>
      <c r="C4" s="227" t="s">
        <v>147</v>
      </c>
      <c r="D4" s="228" t="s">
        <v>148</v>
      </c>
      <c r="E4" s="2200" t="s">
        <v>149</v>
      </c>
      <c r="F4" s="2200" t="s">
        <v>150</v>
      </c>
      <c r="G4" s="2200" t="s">
        <v>151</v>
      </c>
      <c r="H4" s="2200" t="s">
        <v>152</v>
      </c>
      <c r="I4" s="2200" t="s">
        <v>153</v>
      </c>
      <c r="J4" s="2202" t="s">
        <v>154</v>
      </c>
      <c r="K4" s="2203"/>
      <c r="L4" s="2200" t="s">
        <v>155</v>
      </c>
      <c r="M4" s="2200" t="s">
        <v>156</v>
      </c>
      <c r="N4" s="2200" t="s">
        <v>157</v>
      </c>
      <c r="O4" s="2200" t="s">
        <v>158</v>
      </c>
      <c r="P4" s="2200" t="s">
        <v>159</v>
      </c>
      <c r="Q4" s="2200" t="s">
        <v>160</v>
      </c>
      <c r="R4" s="2210" t="s">
        <v>161</v>
      </c>
      <c r="S4" s="2210"/>
      <c r="T4" s="2210"/>
      <c r="U4" s="2200" t="s">
        <v>162</v>
      </c>
      <c r="V4" s="2200" t="s">
        <v>163</v>
      </c>
      <c r="W4" s="2197" t="s">
        <v>1201</v>
      </c>
    </row>
    <row r="5" spans="1:23" ht="25.5">
      <c r="A5" s="2213"/>
      <c r="B5" s="2213"/>
      <c r="C5" s="227"/>
      <c r="D5" s="228"/>
      <c r="E5" s="2201"/>
      <c r="F5" s="2201"/>
      <c r="G5" s="2201"/>
      <c r="H5" s="2201"/>
      <c r="I5" s="2201"/>
      <c r="J5" s="229" t="s">
        <v>1202</v>
      </c>
      <c r="K5" s="229" t="s">
        <v>1203</v>
      </c>
      <c r="L5" s="2201"/>
      <c r="M5" s="2201"/>
      <c r="N5" s="2201"/>
      <c r="O5" s="2201"/>
      <c r="P5" s="2201"/>
      <c r="Q5" s="2201"/>
      <c r="R5" s="228" t="s">
        <v>1204</v>
      </c>
      <c r="S5" s="229" t="s">
        <v>348</v>
      </c>
      <c r="T5" s="228" t="s">
        <v>349</v>
      </c>
      <c r="U5" s="2201"/>
      <c r="V5" s="2201"/>
      <c r="W5" s="2198"/>
    </row>
    <row r="6" spans="1:23" s="218" customFormat="1" ht="12.75">
      <c r="A6" s="227">
        <v>1</v>
      </c>
      <c r="B6" s="227">
        <v>2</v>
      </c>
      <c r="C6" s="227">
        <v>3</v>
      </c>
      <c r="D6" s="228"/>
      <c r="E6" s="228">
        <v>3</v>
      </c>
      <c r="F6" s="228">
        <v>4</v>
      </c>
      <c r="G6" s="228">
        <v>5</v>
      </c>
      <c r="H6" s="228">
        <v>6</v>
      </c>
      <c r="I6" s="228">
        <v>7</v>
      </c>
      <c r="J6" s="229">
        <v>8</v>
      </c>
      <c r="K6" s="229">
        <v>9</v>
      </c>
      <c r="L6" s="228">
        <v>10</v>
      </c>
      <c r="M6" s="228">
        <v>11</v>
      </c>
      <c r="N6" s="228">
        <v>12</v>
      </c>
      <c r="O6" s="228">
        <v>13</v>
      </c>
      <c r="P6" s="228">
        <v>14</v>
      </c>
      <c r="Q6" s="228">
        <v>15</v>
      </c>
      <c r="R6" s="228">
        <v>16</v>
      </c>
      <c r="S6" s="230">
        <v>17</v>
      </c>
      <c r="T6" s="231">
        <v>18</v>
      </c>
      <c r="U6" s="232">
        <v>18</v>
      </c>
      <c r="V6" s="231">
        <v>19</v>
      </c>
      <c r="W6" s="232">
        <v>20</v>
      </c>
    </row>
    <row r="7" spans="1:23" s="239" customFormat="1" ht="22.5">
      <c r="A7" s="233"/>
      <c r="B7" s="233"/>
      <c r="C7" s="233"/>
      <c r="D7" s="234"/>
      <c r="E7" s="234"/>
      <c r="F7" s="234"/>
      <c r="G7" s="234"/>
      <c r="H7" s="234"/>
      <c r="I7" s="234"/>
      <c r="J7" s="235"/>
      <c r="K7" s="235"/>
      <c r="L7" s="234"/>
      <c r="M7" s="234"/>
      <c r="N7" s="234"/>
      <c r="O7" s="234"/>
      <c r="P7" s="234"/>
      <c r="Q7" s="236" t="s">
        <v>350</v>
      </c>
      <c r="R7" s="236" t="s">
        <v>351</v>
      </c>
      <c r="S7" s="235" t="s">
        <v>352</v>
      </c>
      <c r="T7" s="236"/>
      <c r="U7" s="234"/>
      <c r="V7" s="237"/>
      <c r="W7" s="238"/>
    </row>
    <row r="8" spans="1:23" s="245" customFormat="1" ht="12.75">
      <c r="A8" s="2199" t="s">
        <v>353</v>
      </c>
      <c r="B8" s="2199"/>
      <c r="C8" s="2199"/>
      <c r="D8" s="2199"/>
      <c r="E8" s="2199"/>
      <c r="F8" s="2199"/>
      <c r="G8" s="240"/>
      <c r="H8" s="240"/>
      <c r="I8" s="240"/>
      <c r="J8" s="241"/>
      <c r="K8" s="241"/>
      <c r="L8" s="240"/>
      <c r="M8" s="242">
        <f>SUM(M9:M13)</f>
        <v>1759.788640032284</v>
      </c>
      <c r="N8" s="242">
        <f>SUM(N9:N13)</f>
        <v>14352.832425343018</v>
      </c>
      <c r="O8" s="242">
        <f>SUM(O9:O13)</f>
        <v>2466.7978208232444</v>
      </c>
      <c r="P8" s="242">
        <f>SUM(P9:P13)</f>
        <v>11886.034604519775</v>
      </c>
      <c r="Q8" s="243"/>
      <c r="R8" s="243"/>
      <c r="S8" s="241">
        <f>SUM(S9:S13)</f>
        <v>298.79379113405315</v>
      </c>
      <c r="T8" s="241">
        <f>S8/12</f>
        <v>24.89948259450443</v>
      </c>
      <c r="U8" s="241">
        <f>SUM(U9:U13)</f>
        <v>2765.591611957298</v>
      </c>
      <c r="V8" s="244">
        <v>5435.55973</v>
      </c>
      <c r="W8" s="241">
        <f aca="true" t="shared" si="0" ref="W8:W13">U8</f>
        <v>2765.591611957298</v>
      </c>
    </row>
    <row r="9" spans="1:23" ht="38.25">
      <c r="A9" s="246">
        <v>1</v>
      </c>
      <c r="B9" s="247" t="s">
        <v>354</v>
      </c>
      <c r="C9" s="248" t="s">
        <v>169</v>
      </c>
      <c r="D9" s="246">
        <v>6</v>
      </c>
      <c r="E9" s="249" t="s">
        <v>170</v>
      </c>
      <c r="F9" s="250">
        <v>4</v>
      </c>
      <c r="G9" s="250">
        <v>84</v>
      </c>
      <c r="H9" s="251" t="s">
        <v>171</v>
      </c>
      <c r="I9" s="252">
        <f>2045*2/1.18</f>
        <v>3466.1016949152545</v>
      </c>
      <c r="J9" s="253">
        <f>100/G9/12</f>
        <v>0.0992063492063492</v>
      </c>
      <c r="K9" s="253">
        <f>J9/12</f>
        <v>0.008267195767195767</v>
      </c>
      <c r="L9" s="252">
        <f>I9/G9</f>
        <v>41.26311541565779</v>
      </c>
      <c r="M9" s="252">
        <f>L9*12</f>
        <v>495.1573849878935</v>
      </c>
      <c r="N9" s="252">
        <f>I9-M9-L9*6-L9*12</f>
        <v>2228.2082324455205</v>
      </c>
      <c r="O9" s="254">
        <f>L9*12</f>
        <v>495.1573849878935</v>
      </c>
      <c r="P9" s="252">
        <f>N9-O9</f>
        <v>1733.050847457627</v>
      </c>
      <c r="Q9" s="253">
        <f>0.011917*J9</f>
        <v>0.0011822420634920634</v>
      </c>
      <c r="R9" s="255">
        <f>2.2%-Q9</f>
        <v>0.02081775793650794</v>
      </c>
      <c r="S9" s="256">
        <f>N9*R9</f>
        <v>46.38629961518506</v>
      </c>
      <c r="T9" s="257"/>
      <c r="U9" s="254">
        <f>O9+S9</f>
        <v>541.5436846030785</v>
      </c>
      <c r="V9" s="258"/>
      <c r="W9" s="259">
        <f t="shared" si="0"/>
        <v>541.5436846030785</v>
      </c>
    </row>
    <row r="10" spans="1:23" ht="38.25">
      <c r="A10" s="246">
        <v>2</v>
      </c>
      <c r="B10" s="247" t="s">
        <v>354</v>
      </c>
      <c r="C10" s="248"/>
      <c r="D10" s="246"/>
      <c r="E10" s="249" t="s">
        <v>172</v>
      </c>
      <c r="F10" s="250">
        <v>4</v>
      </c>
      <c r="G10" s="250">
        <v>84</v>
      </c>
      <c r="H10" s="251" t="s">
        <v>171</v>
      </c>
      <c r="I10" s="252">
        <f>2270/1.18</f>
        <v>1923.7288135593221</v>
      </c>
      <c r="J10" s="253">
        <f aca="true" t="shared" si="1" ref="J10:J29">100/G10/12</f>
        <v>0.0992063492063492</v>
      </c>
      <c r="K10" s="253">
        <f aca="true" t="shared" si="2" ref="K10:K29">J10/12</f>
        <v>0.008267195767195767</v>
      </c>
      <c r="L10" s="252">
        <f>I10/G10</f>
        <v>22.901533494753835</v>
      </c>
      <c r="M10" s="252">
        <f>L10*12</f>
        <v>274.818401937046</v>
      </c>
      <c r="N10" s="252">
        <f>I10-M10-L10*6-L10*12</f>
        <v>1236.682808716707</v>
      </c>
      <c r="O10" s="254">
        <f>L10*12</f>
        <v>274.818401937046</v>
      </c>
      <c r="P10" s="252">
        <f>N10-O10</f>
        <v>961.8644067796611</v>
      </c>
      <c r="Q10" s="253">
        <f aca="true" t="shared" si="3" ref="Q10:Q31">0.011917*J10</f>
        <v>0.0011822420634920634</v>
      </c>
      <c r="R10" s="255">
        <f aca="true" t="shared" si="4" ref="R10:R31">2.2%-Q10</f>
        <v>0.02081775793650794</v>
      </c>
      <c r="S10" s="256">
        <f>N10*R10</f>
        <v>25.74496335610516</v>
      </c>
      <c r="T10" s="257"/>
      <c r="U10" s="254">
        <f aca="true" t="shared" si="5" ref="U10:U31">O10+S10</f>
        <v>300.56336529315115</v>
      </c>
      <c r="V10" s="258"/>
      <c r="W10" s="259">
        <f t="shared" si="0"/>
        <v>300.56336529315115</v>
      </c>
    </row>
    <row r="11" spans="1:23" ht="38.25">
      <c r="A11" s="246">
        <v>3</v>
      </c>
      <c r="B11" s="260" t="s">
        <v>173</v>
      </c>
      <c r="C11" s="261" t="s">
        <v>169</v>
      </c>
      <c r="D11" s="262">
        <v>12</v>
      </c>
      <c r="E11" s="249" t="s">
        <v>174</v>
      </c>
      <c r="F11" s="250">
        <v>4</v>
      </c>
      <c r="G11" s="250">
        <v>84</v>
      </c>
      <c r="H11" s="254" t="s">
        <v>175</v>
      </c>
      <c r="I11" s="254">
        <f>3717.5/1.18</f>
        <v>3150.4237288135596</v>
      </c>
      <c r="J11" s="253">
        <f t="shared" si="1"/>
        <v>0.0992063492063492</v>
      </c>
      <c r="K11" s="253">
        <f t="shared" si="2"/>
        <v>0.008267195767195767</v>
      </c>
      <c r="L11" s="252">
        <f>I11/G11</f>
        <v>37.505044390637615</v>
      </c>
      <c r="M11" s="254">
        <f>L11*7</f>
        <v>262.5353107344633</v>
      </c>
      <c r="N11" s="252">
        <f>I11-M11</f>
        <v>2887.8884180790965</v>
      </c>
      <c r="O11" s="254">
        <f>L11*12</f>
        <v>450.0605326876514</v>
      </c>
      <c r="P11" s="252">
        <f>N11-O11</f>
        <v>2437.8278853914453</v>
      </c>
      <c r="Q11" s="253">
        <f t="shared" si="3"/>
        <v>0.0011822420634920634</v>
      </c>
      <c r="R11" s="255">
        <f t="shared" si="4"/>
        <v>0.02081775793650794</v>
      </c>
      <c r="S11" s="256">
        <f>N11*R11</f>
        <v>60.119362035215474</v>
      </c>
      <c r="T11" s="257"/>
      <c r="U11" s="254">
        <f t="shared" si="5"/>
        <v>510.1798947228669</v>
      </c>
      <c r="V11" s="258"/>
      <c r="W11" s="259">
        <f t="shared" si="0"/>
        <v>510.1798947228669</v>
      </c>
    </row>
    <row r="12" spans="1:23" ht="38.25">
      <c r="A12" s="246">
        <v>4</v>
      </c>
      <c r="B12" s="260" t="s">
        <v>176</v>
      </c>
      <c r="C12" s="261" t="s">
        <v>169</v>
      </c>
      <c r="D12" s="262">
        <v>12</v>
      </c>
      <c r="E12" s="249" t="s">
        <v>177</v>
      </c>
      <c r="F12" s="250">
        <v>4</v>
      </c>
      <c r="G12" s="250">
        <v>84</v>
      </c>
      <c r="H12" s="254" t="s">
        <v>175</v>
      </c>
      <c r="I12" s="254">
        <f>2932.75*3/1.18</f>
        <v>7456.14406779661</v>
      </c>
      <c r="J12" s="253">
        <f t="shared" si="1"/>
        <v>0.0992063492063492</v>
      </c>
      <c r="K12" s="253">
        <f t="shared" si="2"/>
        <v>0.008267195767195767</v>
      </c>
      <c r="L12" s="252">
        <f>I12/G12</f>
        <v>88.76361985472155</v>
      </c>
      <c r="M12" s="254">
        <f>L12*7</f>
        <v>621.3453389830509</v>
      </c>
      <c r="N12" s="252">
        <f>I12-M12</f>
        <v>6834.798728813559</v>
      </c>
      <c r="O12" s="254">
        <f>L12*12</f>
        <v>1065.1634382566585</v>
      </c>
      <c r="P12" s="252">
        <f>N12-O12</f>
        <v>5769.6352905569</v>
      </c>
      <c r="Q12" s="253">
        <f t="shared" si="3"/>
        <v>0.0011822420634920634</v>
      </c>
      <c r="R12" s="255">
        <f t="shared" si="4"/>
        <v>0.02081775793650794</v>
      </c>
      <c r="S12" s="256">
        <f>N12*R12</f>
        <v>142.28518548119285</v>
      </c>
      <c r="T12" s="257"/>
      <c r="U12" s="254">
        <f t="shared" si="5"/>
        <v>1207.4486237378514</v>
      </c>
      <c r="V12" s="258"/>
      <c r="W12" s="259">
        <f t="shared" si="0"/>
        <v>1207.4486237378514</v>
      </c>
    </row>
    <row r="13" spans="1:23" ht="38.25">
      <c r="A13" s="246">
        <v>5</v>
      </c>
      <c r="B13" s="260" t="s">
        <v>178</v>
      </c>
      <c r="C13" s="261" t="s">
        <v>169</v>
      </c>
      <c r="D13" s="262">
        <v>12</v>
      </c>
      <c r="E13" s="249" t="s">
        <v>179</v>
      </c>
      <c r="F13" s="250">
        <v>4</v>
      </c>
      <c r="G13" s="250">
        <v>84</v>
      </c>
      <c r="H13" s="254" t="s">
        <v>175</v>
      </c>
      <c r="I13" s="254">
        <f>1500/1.18</f>
        <v>1271.1864406779662</v>
      </c>
      <c r="J13" s="253">
        <f t="shared" si="1"/>
        <v>0.0992063492063492</v>
      </c>
      <c r="K13" s="253">
        <f t="shared" si="2"/>
        <v>0.008267195767195767</v>
      </c>
      <c r="L13" s="252">
        <f>I13/G13</f>
        <v>15.13317191283293</v>
      </c>
      <c r="M13" s="254">
        <f>L13*7</f>
        <v>105.9322033898305</v>
      </c>
      <c r="N13" s="252">
        <f>I13-M13</f>
        <v>1165.2542372881358</v>
      </c>
      <c r="O13" s="254">
        <f>L13*12</f>
        <v>181.59806295399517</v>
      </c>
      <c r="P13" s="252">
        <f>N13-O13</f>
        <v>983.6561743341406</v>
      </c>
      <c r="Q13" s="253">
        <f t="shared" si="3"/>
        <v>0.0011822420634920634</v>
      </c>
      <c r="R13" s="255">
        <f t="shared" si="4"/>
        <v>0.02081775793650794</v>
      </c>
      <c r="S13" s="256">
        <f>N13*R13</f>
        <v>24.257980646354593</v>
      </c>
      <c r="T13" s="257"/>
      <c r="U13" s="254">
        <f t="shared" si="5"/>
        <v>205.85604360034975</v>
      </c>
      <c r="V13" s="258"/>
      <c r="W13" s="259">
        <f t="shared" si="0"/>
        <v>205.85604360034975</v>
      </c>
    </row>
    <row r="14" spans="1:23" s="245" customFormat="1" ht="12.75">
      <c r="A14" s="2199" t="s">
        <v>180</v>
      </c>
      <c r="B14" s="2199"/>
      <c r="C14" s="2199"/>
      <c r="D14" s="2199"/>
      <c r="E14" s="2199"/>
      <c r="F14" s="2199"/>
      <c r="G14" s="240"/>
      <c r="H14" s="240"/>
      <c r="I14" s="240"/>
      <c r="J14" s="240"/>
      <c r="K14" s="263"/>
      <c r="L14" s="240"/>
      <c r="M14" s="242">
        <f>SUM(M15:M18)</f>
        <v>992.0475181598063</v>
      </c>
      <c r="N14" s="242">
        <f>SUM(N15:N18)</f>
        <v>7516.941585956417</v>
      </c>
      <c r="O14" s="242">
        <f>SUM(O15:O18)</f>
        <v>1327.5121065375304</v>
      </c>
      <c r="P14" s="242">
        <f>SUM(P15:P18)</f>
        <v>6189.429479418887</v>
      </c>
      <c r="Q14" s="264"/>
      <c r="R14" s="264"/>
      <c r="S14" s="243">
        <f>SUM(S15:S18)</f>
        <v>156.48587035931078</v>
      </c>
      <c r="T14" s="243">
        <f>SUM(T15:T18)</f>
        <v>0</v>
      </c>
      <c r="U14" s="243">
        <f>SUM(U15:U18)</f>
        <v>1483.9979768968412</v>
      </c>
      <c r="V14" s="244">
        <v>2771.5128184745763</v>
      </c>
      <c r="W14" s="243">
        <f>SUM(W15:W18)</f>
        <v>1483.9979768968412</v>
      </c>
    </row>
    <row r="15" spans="1:23" ht="38.25">
      <c r="A15" s="246">
        <v>6</v>
      </c>
      <c r="B15" s="247" t="s">
        <v>354</v>
      </c>
      <c r="C15" s="248" t="s">
        <v>169</v>
      </c>
      <c r="D15" s="246">
        <v>6</v>
      </c>
      <c r="E15" s="249" t="s">
        <v>170</v>
      </c>
      <c r="F15" s="250">
        <v>4</v>
      </c>
      <c r="G15" s="250">
        <v>84</v>
      </c>
      <c r="H15" s="251" t="s">
        <v>171</v>
      </c>
      <c r="I15" s="252">
        <f>2045/1.18</f>
        <v>1733.0508474576272</v>
      </c>
      <c r="J15" s="253">
        <f t="shared" si="1"/>
        <v>0.0992063492063492</v>
      </c>
      <c r="K15" s="253">
        <f t="shared" si="2"/>
        <v>0.008267195767195767</v>
      </c>
      <c r="L15" s="252">
        <f>I15/G15</f>
        <v>20.631557707828897</v>
      </c>
      <c r="M15" s="252">
        <f>L15*12</f>
        <v>247.57869249394676</v>
      </c>
      <c r="N15" s="252">
        <f>I15-M15-L15*6-L15*12</f>
        <v>1114.1041162227602</v>
      </c>
      <c r="O15" s="254">
        <f>L15*12</f>
        <v>247.57869249394676</v>
      </c>
      <c r="P15" s="252">
        <f>N15-O15</f>
        <v>866.5254237288135</v>
      </c>
      <c r="Q15" s="253">
        <f t="shared" si="3"/>
        <v>0.0011822420634920634</v>
      </c>
      <c r="R15" s="255">
        <f t="shared" si="4"/>
        <v>0.02081775793650794</v>
      </c>
      <c r="S15" s="256">
        <f>N15*R15</f>
        <v>23.19314980759253</v>
      </c>
      <c r="T15" s="257"/>
      <c r="U15" s="254">
        <f t="shared" si="5"/>
        <v>270.77184230153927</v>
      </c>
      <c r="V15" s="258"/>
      <c r="W15" s="259">
        <f>U15</f>
        <v>270.77184230153927</v>
      </c>
    </row>
    <row r="16" spans="1:23" ht="38.25">
      <c r="A16" s="246">
        <v>7</v>
      </c>
      <c r="B16" s="247" t="s">
        <v>354</v>
      </c>
      <c r="C16" s="248"/>
      <c r="D16" s="246"/>
      <c r="E16" s="249" t="s">
        <v>172</v>
      </c>
      <c r="F16" s="250">
        <v>4</v>
      </c>
      <c r="G16" s="250">
        <v>84</v>
      </c>
      <c r="H16" s="251" t="s">
        <v>171</v>
      </c>
      <c r="I16" s="252">
        <f>2270/1.18</f>
        <v>1923.7288135593221</v>
      </c>
      <c r="J16" s="253">
        <f t="shared" si="1"/>
        <v>0.0992063492063492</v>
      </c>
      <c r="K16" s="253">
        <f t="shared" si="2"/>
        <v>0.008267195767195767</v>
      </c>
      <c r="L16" s="252">
        <f>I16/G16</f>
        <v>22.901533494753835</v>
      </c>
      <c r="M16" s="252">
        <f>L16*12</f>
        <v>274.818401937046</v>
      </c>
      <c r="N16" s="252">
        <f>I16-M16-L16*6-L16*12</f>
        <v>1236.682808716707</v>
      </c>
      <c r="O16" s="254">
        <f>L16*12</f>
        <v>274.818401937046</v>
      </c>
      <c r="P16" s="252">
        <f>N16-O16</f>
        <v>961.8644067796611</v>
      </c>
      <c r="Q16" s="253">
        <f t="shared" si="3"/>
        <v>0.0011822420634920634</v>
      </c>
      <c r="R16" s="255">
        <f t="shared" si="4"/>
        <v>0.02081775793650794</v>
      </c>
      <c r="S16" s="256">
        <f>N16*R16</f>
        <v>25.74496335610516</v>
      </c>
      <c r="T16" s="257"/>
      <c r="U16" s="254">
        <f t="shared" si="5"/>
        <v>300.56336529315115</v>
      </c>
      <c r="V16" s="258"/>
      <c r="W16" s="259">
        <f>U16</f>
        <v>300.56336529315115</v>
      </c>
    </row>
    <row r="17" spans="1:23" ht="38.25">
      <c r="A17" s="246">
        <v>8</v>
      </c>
      <c r="B17" s="260" t="s">
        <v>173</v>
      </c>
      <c r="C17" s="261" t="s">
        <v>169</v>
      </c>
      <c r="D17" s="262">
        <v>12</v>
      </c>
      <c r="E17" s="249" t="s">
        <v>174</v>
      </c>
      <c r="F17" s="250">
        <v>4</v>
      </c>
      <c r="G17" s="250">
        <v>84</v>
      </c>
      <c r="H17" s="254" t="s">
        <v>175</v>
      </c>
      <c r="I17" s="254">
        <f>3717.5/1.18</f>
        <v>3150.4237288135596</v>
      </c>
      <c r="J17" s="253">
        <f t="shared" si="1"/>
        <v>0.0992063492063492</v>
      </c>
      <c r="K17" s="253">
        <f t="shared" si="2"/>
        <v>0.008267195767195767</v>
      </c>
      <c r="L17" s="252">
        <f>I17/G17</f>
        <v>37.505044390637615</v>
      </c>
      <c r="M17" s="254">
        <f>L17*7</f>
        <v>262.5353107344633</v>
      </c>
      <c r="N17" s="252">
        <f>I17-M17</f>
        <v>2887.8884180790965</v>
      </c>
      <c r="O17" s="254">
        <f>L17*12</f>
        <v>450.0605326876514</v>
      </c>
      <c r="P17" s="252">
        <f>N17-O17</f>
        <v>2437.8278853914453</v>
      </c>
      <c r="Q17" s="253">
        <f t="shared" si="3"/>
        <v>0.0011822420634920634</v>
      </c>
      <c r="R17" s="255">
        <f t="shared" si="4"/>
        <v>0.02081775793650794</v>
      </c>
      <c r="S17" s="256">
        <f>N17*R17</f>
        <v>60.119362035215474</v>
      </c>
      <c r="T17" s="257"/>
      <c r="U17" s="254">
        <f t="shared" si="5"/>
        <v>510.1798947228669</v>
      </c>
      <c r="V17" s="258"/>
      <c r="W17" s="259">
        <f>U17</f>
        <v>510.1798947228669</v>
      </c>
    </row>
    <row r="18" spans="1:23" ht="38.25">
      <c r="A18" s="246">
        <v>9</v>
      </c>
      <c r="B18" s="260" t="s">
        <v>176</v>
      </c>
      <c r="C18" s="261" t="s">
        <v>169</v>
      </c>
      <c r="D18" s="262">
        <v>12</v>
      </c>
      <c r="E18" s="249" t="s">
        <v>177</v>
      </c>
      <c r="F18" s="250">
        <v>4</v>
      </c>
      <c r="G18" s="250">
        <v>84</v>
      </c>
      <c r="H18" s="254" t="s">
        <v>175</v>
      </c>
      <c r="I18" s="254">
        <f>2932.75/1.18</f>
        <v>2485.3813559322034</v>
      </c>
      <c r="J18" s="253">
        <f t="shared" si="1"/>
        <v>0.0992063492063492</v>
      </c>
      <c r="K18" s="253">
        <f t="shared" si="2"/>
        <v>0.008267195767195767</v>
      </c>
      <c r="L18" s="252">
        <f>I18/G18</f>
        <v>29.587873284907182</v>
      </c>
      <c r="M18" s="254">
        <f>L18*7</f>
        <v>207.11511299435028</v>
      </c>
      <c r="N18" s="252">
        <f>I18-M18</f>
        <v>2278.2662429378533</v>
      </c>
      <c r="O18" s="254">
        <f>L18*12</f>
        <v>355.0544794188862</v>
      </c>
      <c r="P18" s="252">
        <f>N18-O18</f>
        <v>1923.211763518967</v>
      </c>
      <c r="Q18" s="253">
        <f t="shared" si="3"/>
        <v>0.0011822420634920634</v>
      </c>
      <c r="R18" s="255">
        <f t="shared" si="4"/>
        <v>0.02081775793650794</v>
      </c>
      <c r="S18" s="256">
        <f>N18*R18</f>
        <v>47.42839516039762</v>
      </c>
      <c r="T18" s="257"/>
      <c r="U18" s="254">
        <f t="shared" si="5"/>
        <v>402.4828745792838</v>
      </c>
      <c r="V18" s="258"/>
      <c r="W18" s="259">
        <f>U18</f>
        <v>402.4828745792838</v>
      </c>
    </row>
    <row r="19" spans="1:23" s="245" customFormat="1" ht="12.75">
      <c r="A19" s="2199" t="s">
        <v>181</v>
      </c>
      <c r="B19" s="2199"/>
      <c r="C19" s="2199"/>
      <c r="D19" s="2199"/>
      <c r="E19" s="2199"/>
      <c r="F19" s="2199"/>
      <c r="G19" s="240"/>
      <c r="H19" s="240"/>
      <c r="I19" s="240"/>
      <c r="J19" s="240"/>
      <c r="K19" s="263"/>
      <c r="L19" s="240"/>
      <c r="M19" s="242">
        <f>M20</f>
        <v>76.27118644067798</v>
      </c>
      <c r="N19" s="242">
        <f>N20</f>
        <v>838.9830508474577</v>
      </c>
      <c r="O19" s="242">
        <f>O20</f>
        <v>130.75060532687652</v>
      </c>
      <c r="P19" s="242">
        <f>P20</f>
        <v>708.2324455205811</v>
      </c>
      <c r="Q19" s="264"/>
      <c r="R19" s="264"/>
      <c r="S19" s="243">
        <f>S20</f>
        <v>17.465746065375306</v>
      </c>
      <c r="T19" s="243">
        <f>T20</f>
        <v>0</v>
      </c>
      <c r="U19" s="243">
        <f>U20</f>
        <v>148.21635139225182</v>
      </c>
      <c r="V19" s="244">
        <v>353.80027118644074</v>
      </c>
      <c r="W19" s="243">
        <f>W20</f>
        <v>148.21635139225182</v>
      </c>
    </row>
    <row r="20" spans="1:23" s="268" customFormat="1" ht="38.25">
      <c r="A20" s="262">
        <v>10</v>
      </c>
      <c r="B20" s="265" t="s">
        <v>182</v>
      </c>
      <c r="C20" s="261" t="s">
        <v>169</v>
      </c>
      <c r="D20" s="262">
        <v>12</v>
      </c>
      <c r="E20" s="249" t="s">
        <v>183</v>
      </c>
      <c r="F20" s="250">
        <v>3</v>
      </c>
      <c r="G20" s="250">
        <v>84</v>
      </c>
      <c r="H20" s="254" t="s">
        <v>175</v>
      </c>
      <c r="I20" s="254">
        <f>1080/1.18</f>
        <v>915.2542372881356</v>
      </c>
      <c r="J20" s="253">
        <f t="shared" si="1"/>
        <v>0.0992063492063492</v>
      </c>
      <c r="K20" s="253">
        <f t="shared" si="2"/>
        <v>0.008267195767195767</v>
      </c>
      <c r="L20" s="252">
        <f>I20/G20</f>
        <v>10.89588377723971</v>
      </c>
      <c r="M20" s="254">
        <f>L20*7</f>
        <v>76.27118644067798</v>
      </c>
      <c r="N20" s="252">
        <f>I20-M20</f>
        <v>838.9830508474577</v>
      </c>
      <c r="O20" s="254">
        <f>L20*12</f>
        <v>130.75060532687652</v>
      </c>
      <c r="P20" s="252">
        <f>N20-O20</f>
        <v>708.2324455205811</v>
      </c>
      <c r="Q20" s="253">
        <f t="shared" si="3"/>
        <v>0.0011822420634920634</v>
      </c>
      <c r="R20" s="255">
        <f t="shared" si="4"/>
        <v>0.02081775793650794</v>
      </c>
      <c r="S20" s="256">
        <f>N20*R20</f>
        <v>17.465746065375306</v>
      </c>
      <c r="T20" s="266"/>
      <c r="U20" s="254">
        <f t="shared" si="5"/>
        <v>148.21635139225182</v>
      </c>
      <c r="V20" s="267"/>
      <c r="W20" s="259">
        <f>U20</f>
        <v>148.21635139225182</v>
      </c>
    </row>
    <row r="21" spans="1:23" s="245" customFormat="1" ht="12.75">
      <c r="A21" s="2199" t="s">
        <v>184</v>
      </c>
      <c r="B21" s="2199"/>
      <c r="C21" s="2199"/>
      <c r="D21" s="2199"/>
      <c r="E21" s="2199"/>
      <c r="F21" s="2199"/>
      <c r="G21" s="240"/>
      <c r="H21" s="240"/>
      <c r="I21" s="240"/>
      <c r="J21" s="240"/>
      <c r="K21" s="263"/>
      <c r="L21" s="240"/>
      <c r="M21" s="242">
        <f>M22</f>
        <v>262.5353107344633</v>
      </c>
      <c r="N21" s="242">
        <f>N22</f>
        <v>2887.8884180790965</v>
      </c>
      <c r="O21" s="242">
        <f>O22</f>
        <v>450.0605326876514</v>
      </c>
      <c r="P21" s="242">
        <f>P22</f>
        <v>2437.8278853914453</v>
      </c>
      <c r="Q21" s="264"/>
      <c r="R21" s="264"/>
      <c r="S21" s="243">
        <f>S22</f>
        <v>60.119362035215474</v>
      </c>
      <c r="T21" s="243">
        <f>T22</f>
        <v>0</v>
      </c>
      <c r="U21" s="243">
        <f>U22</f>
        <v>510.1798947228669</v>
      </c>
      <c r="V21" s="244">
        <v>1144.6050508474577</v>
      </c>
      <c r="W21" s="243">
        <f>W22</f>
        <v>510.1798947228669</v>
      </c>
    </row>
    <row r="22" spans="1:23" s="271" customFormat="1" ht="38.25">
      <c r="A22" s="262">
        <v>11</v>
      </c>
      <c r="B22" s="265" t="s">
        <v>173</v>
      </c>
      <c r="C22" s="261" t="s">
        <v>169</v>
      </c>
      <c r="D22" s="262">
        <v>12</v>
      </c>
      <c r="E22" s="249" t="s">
        <v>174</v>
      </c>
      <c r="F22" s="250">
        <v>4</v>
      </c>
      <c r="G22" s="250">
        <v>84</v>
      </c>
      <c r="H22" s="254" t="s">
        <v>175</v>
      </c>
      <c r="I22" s="254">
        <f>3717.5/1.18</f>
        <v>3150.4237288135596</v>
      </c>
      <c r="J22" s="253">
        <f t="shared" si="1"/>
        <v>0.0992063492063492</v>
      </c>
      <c r="K22" s="253">
        <f t="shared" si="2"/>
        <v>0.008267195767195767</v>
      </c>
      <c r="L22" s="252">
        <f>I22/G22</f>
        <v>37.505044390637615</v>
      </c>
      <c r="M22" s="254">
        <f>L22*7</f>
        <v>262.5353107344633</v>
      </c>
      <c r="N22" s="252">
        <f>I22-M22</f>
        <v>2887.8884180790965</v>
      </c>
      <c r="O22" s="254">
        <f>L22*12</f>
        <v>450.0605326876514</v>
      </c>
      <c r="P22" s="252">
        <f>N22-O22</f>
        <v>2437.8278853914453</v>
      </c>
      <c r="Q22" s="253">
        <f t="shared" si="3"/>
        <v>0.0011822420634920634</v>
      </c>
      <c r="R22" s="255">
        <f t="shared" si="4"/>
        <v>0.02081775793650794</v>
      </c>
      <c r="S22" s="256">
        <f>N22*R22</f>
        <v>60.119362035215474</v>
      </c>
      <c r="T22" s="269"/>
      <c r="U22" s="254">
        <f t="shared" si="5"/>
        <v>510.1798947228669</v>
      </c>
      <c r="V22" s="270"/>
      <c r="W22" s="259">
        <f>U22</f>
        <v>510.1798947228669</v>
      </c>
    </row>
    <row r="23" spans="1:23" s="272" customFormat="1" ht="12.75">
      <c r="A23" s="2199" t="s">
        <v>185</v>
      </c>
      <c r="B23" s="2199"/>
      <c r="C23" s="2199"/>
      <c r="D23" s="2199"/>
      <c r="E23" s="2199"/>
      <c r="F23" s="2199"/>
      <c r="G23" s="240"/>
      <c r="H23" s="240"/>
      <c r="I23" s="240"/>
      <c r="J23" s="240"/>
      <c r="K23" s="263"/>
      <c r="L23" s="240"/>
      <c r="M23" s="242">
        <f>SUM(M24:M25)</f>
        <v>355.420197740113</v>
      </c>
      <c r="N23" s="242">
        <f>SUM(N24:N25)</f>
        <v>3909.622175141243</v>
      </c>
      <c r="O23" s="242">
        <f>SUM(O24:O25)</f>
        <v>609.2917675544794</v>
      </c>
      <c r="P23" s="242">
        <f>SUM(P24:P25)</f>
        <v>3300.3304075867636</v>
      </c>
      <c r="Q23" s="264"/>
      <c r="R23" s="264"/>
      <c r="S23" s="243">
        <f>SUM(S24:S25)</f>
        <v>81.38956806529404</v>
      </c>
      <c r="T23" s="243">
        <f>SUM(T24:T25)</f>
        <v>0</v>
      </c>
      <c r="U23" s="243">
        <f>SUM(U24:U25)</f>
        <v>690.6813356197734</v>
      </c>
      <c r="V23" s="244">
        <v>1581.3830847457627</v>
      </c>
      <c r="W23" s="243">
        <f>SUM(W24:W25)</f>
        <v>690.6813356197734</v>
      </c>
    </row>
    <row r="24" spans="1:23" s="271" customFormat="1" ht="38.25">
      <c r="A24" s="262">
        <v>12</v>
      </c>
      <c r="B24" s="265" t="s">
        <v>176</v>
      </c>
      <c r="C24" s="261" t="s">
        <v>169</v>
      </c>
      <c r="D24" s="262">
        <v>12</v>
      </c>
      <c r="E24" s="249" t="s">
        <v>177</v>
      </c>
      <c r="F24" s="250">
        <v>4</v>
      </c>
      <c r="G24" s="250">
        <v>84</v>
      </c>
      <c r="H24" s="254" t="s">
        <v>175</v>
      </c>
      <c r="I24" s="254">
        <f>2932.75/1.18</f>
        <v>2485.3813559322034</v>
      </c>
      <c r="J24" s="253">
        <f t="shared" si="1"/>
        <v>0.0992063492063492</v>
      </c>
      <c r="K24" s="253">
        <f t="shared" si="2"/>
        <v>0.008267195767195767</v>
      </c>
      <c r="L24" s="252">
        <f>I24/G24</f>
        <v>29.587873284907182</v>
      </c>
      <c r="M24" s="254">
        <f>L24*7</f>
        <v>207.11511299435028</v>
      </c>
      <c r="N24" s="252">
        <f>I24-M24</f>
        <v>2278.2662429378533</v>
      </c>
      <c r="O24" s="254">
        <f>L24*12</f>
        <v>355.0544794188862</v>
      </c>
      <c r="P24" s="252">
        <f>N24-O24</f>
        <v>1923.211763518967</v>
      </c>
      <c r="Q24" s="253">
        <f t="shared" si="3"/>
        <v>0.0011822420634920634</v>
      </c>
      <c r="R24" s="255">
        <f t="shared" si="4"/>
        <v>0.02081775793650794</v>
      </c>
      <c r="S24" s="256">
        <f>N24*R24</f>
        <v>47.42839516039762</v>
      </c>
      <c r="T24" s="269"/>
      <c r="U24" s="254">
        <f t="shared" si="5"/>
        <v>402.4828745792838</v>
      </c>
      <c r="V24" s="270"/>
      <c r="W24" s="259">
        <f>U24</f>
        <v>402.4828745792838</v>
      </c>
    </row>
    <row r="25" spans="1:23" s="271" customFormat="1" ht="38.25">
      <c r="A25" s="262">
        <v>13</v>
      </c>
      <c r="B25" s="265" t="s">
        <v>1309</v>
      </c>
      <c r="C25" s="261" t="s">
        <v>169</v>
      </c>
      <c r="D25" s="262">
        <v>12</v>
      </c>
      <c r="E25" s="249" t="s">
        <v>1310</v>
      </c>
      <c r="F25" s="250">
        <v>4</v>
      </c>
      <c r="G25" s="250">
        <v>84</v>
      </c>
      <c r="H25" s="254" t="s">
        <v>175</v>
      </c>
      <c r="I25" s="254">
        <f>2100/1.18</f>
        <v>1779.6610169491526</v>
      </c>
      <c r="J25" s="253">
        <f t="shared" si="1"/>
        <v>0.0992063492063492</v>
      </c>
      <c r="K25" s="253">
        <f t="shared" si="2"/>
        <v>0.008267195767195767</v>
      </c>
      <c r="L25" s="252">
        <f>I25/G25</f>
        <v>21.1864406779661</v>
      </c>
      <c r="M25" s="254">
        <f>L25*7</f>
        <v>148.3050847457627</v>
      </c>
      <c r="N25" s="252">
        <f>I25-M25</f>
        <v>1631.3559322033898</v>
      </c>
      <c r="O25" s="254">
        <f>L25*12</f>
        <v>254.2372881355932</v>
      </c>
      <c r="P25" s="252">
        <f>N25-O25</f>
        <v>1377.1186440677966</v>
      </c>
      <c r="Q25" s="253">
        <f t="shared" si="3"/>
        <v>0.0011822420634920634</v>
      </c>
      <c r="R25" s="255">
        <f t="shared" si="4"/>
        <v>0.02081775793650794</v>
      </c>
      <c r="S25" s="256">
        <f>N25*R25</f>
        <v>33.96117290489643</v>
      </c>
      <c r="T25" s="269"/>
      <c r="U25" s="254">
        <f t="shared" si="5"/>
        <v>288.19846104048963</v>
      </c>
      <c r="V25" s="270"/>
      <c r="W25" s="259">
        <f>U25</f>
        <v>288.19846104048963</v>
      </c>
    </row>
    <row r="26" spans="1:23" s="272" customFormat="1" ht="12.75">
      <c r="A26" s="2207" t="s">
        <v>137</v>
      </c>
      <c r="B26" s="2207"/>
      <c r="C26" s="2207"/>
      <c r="D26" s="2207"/>
      <c r="E26" s="2207"/>
      <c r="F26" s="2207"/>
      <c r="G26" s="273"/>
      <c r="H26" s="273"/>
      <c r="I26" s="273"/>
      <c r="J26" s="273"/>
      <c r="K26" s="264"/>
      <c r="L26" s="273"/>
      <c r="M26" s="243">
        <f>SUM(M27:M29)</f>
        <v>1593.7424334140437</v>
      </c>
      <c r="N26" s="243">
        <f>SUM(N27:N29)</f>
        <v>11629.683716707023</v>
      </c>
      <c r="O26" s="243">
        <f>SUM(O27:O29)</f>
        <v>1929.2070217917676</v>
      </c>
      <c r="P26" s="243">
        <f>SUM(P27:P29)</f>
        <v>9700.476694915254</v>
      </c>
      <c r="Q26" s="264"/>
      <c r="R26" s="264"/>
      <c r="S26" s="243">
        <f>SUM(S27:S29)</f>
        <v>242.10394049255476</v>
      </c>
      <c r="T26" s="243">
        <f>SUM(T27:T29)</f>
        <v>0</v>
      </c>
      <c r="U26" s="243">
        <f>SUM(U27:U29)</f>
        <v>2171.3109622843226</v>
      </c>
      <c r="V26" s="244">
        <v>5185.277813559322</v>
      </c>
      <c r="W26" s="243">
        <f>SUM(W27:W29)</f>
        <v>2171.3109622843226</v>
      </c>
    </row>
    <row r="27" spans="1:23" s="276" customFormat="1" ht="25.5" customHeight="1">
      <c r="A27" s="262">
        <v>14</v>
      </c>
      <c r="B27" s="260" t="s">
        <v>1220</v>
      </c>
      <c r="C27" s="261" t="s">
        <v>169</v>
      </c>
      <c r="D27" s="274">
        <v>10</v>
      </c>
      <c r="E27" s="249" t="s">
        <v>1221</v>
      </c>
      <c r="F27" s="250">
        <v>4</v>
      </c>
      <c r="G27" s="250">
        <v>84</v>
      </c>
      <c r="H27" s="254" t="s">
        <v>1222</v>
      </c>
      <c r="I27" s="252">
        <f>9285/1.18</f>
        <v>7868.64406779661</v>
      </c>
      <c r="J27" s="253">
        <f t="shared" si="1"/>
        <v>0.0992063492063492</v>
      </c>
      <c r="K27" s="253">
        <f t="shared" si="2"/>
        <v>0.008267195767195767</v>
      </c>
      <c r="L27" s="252">
        <f>I27/G27</f>
        <v>93.67433414043583</v>
      </c>
      <c r="M27" s="252">
        <f>L27*12</f>
        <v>1124.09200968523</v>
      </c>
      <c r="N27" s="252">
        <f>I27-M27-L27*3</f>
        <v>6463.529055690072</v>
      </c>
      <c r="O27" s="254">
        <f>L27*12</f>
        <v>1124.09200968523</v>
      </c>
      <c r="P27" s="252">
        <f>N27-O27</f>
        <v>5339.437046004841</v>
      </c>
      <c r="Q27" s="253">
        <f t="shared" si="3"/>
        <v>0.0011822420634920634</v>
      </c>
      <c r="R27" s="255">
        <f t="shared" si="4"/>
        <v>0.02081775793650794</v>
      </c>
      <c r="S27" s="256">
        <f>N27*R27</f>
        <v>134.55618329694167</v>
      </c>
      <c r="T27" s="254"/>
      <c r="U27" s="254">
        <f t="shared" si="5"/>
        <v>1258.6481929821718</v>
      </c>
      <c r="V27" s="275"/>
      <c r="W27" s="259">
        <f>U27</f>
        <v>1258.6481929821718</v>
      </c>
    </row>
    <row r="28" spans="1:23" s="276" customFormat="1" ht="38.25">
      <c r="A28" s="262">
        <v>15</v>
      </c>
      <c r="B28" s="260" t="s">
        <v>173</v>
      </c>
      <c r="C28" s="261" t="s">
        <v>169</v>
      </c>
      <c r="D28" s="262">
        <v>12</v>
      </c>
      <c r="E28" s="249" t="s">
        <v>174</v>
      </c>
      <c r="F28" s="250">
        <v>4</v>
      </c>
      <c r="G28" s="250">
        <v>84</v>
      </c>
      <c r="H28" s="254" t="s">
        <v>175</v>
      </c>
      <c r="I28" s="254">
        <f>3717.5/1.18</f>
        <v>3150.4237288135596</v>
      </c>
      <c r="J28" s="253">
        <f t="shared" si="1"/>
        <v>0.0992063492063492</v>
      </c>
      <c r="K28" s="253">
        <f t="shared" si="2"/>
        <v>0.008267195767195767</v>
      </c>
      <c r="L28" s="252">
        <f>I28/G28</f>
        <v>37.505044390637615</v>
      </c>
      <c r="M28" s="254">
        <f>L28*7</f>
        <v>262.5353107344633</v>
      </c>
      <c r="N28" s="252">
        <f>I28-M28</f>
        <v>2887.8884180790965</v>
      </c>
      <c r="O28" s="254">
        <f>L28*12</f>
        <v>450.0605326876514</v>
      </c>
      <c r="P28" s="252">
        <f>N28-O28</f>
        <v>2437.8278853914453</v>
      </c>
      <c r="Q28" s="253">
        <f t="shared" si="3"/>
        <v>0.0011822420634920634</v>
      </c>
      <c r="R28" s="255">
        <f t="shared" si="4"/>
        <v>0.02081775793650794</v>
      </c>
      <c r="S28" s="256">
        <f>N28*R28</f>
        <v>60.119362035215474</v>
      </c>
      <c r="T28" s="277"/>
      <c r="U28" s="254">
        <f t="shared" si="5"/>
        <v>510.1798947228669</v>
      </c>
      <c r="V28" s="275"/>
      <c r="W28" s="259">
        <f>U28</f>
        <v>510.1798947228669</v>
      </c>
    </row>
    <row r="29" spans="1:23" s="276" customFormat="1" ht="38.25">
      <c r="A29" s="262">
        <v>16</v>
      </c>
      <c r="B29" s="260" t="s">
        <v>176</v>
      </c>
      <c r="C29" s="261" t="s">
        <v>169</v>
      </c>
      <c r="D29" s="262">
        <v>12</v>
      </c>
      <c r="E29" s="249" t="s">
        <v>177</v>
      </c>
      <c r="F29" s="250">
        <v>4</v>
      </c>
      <c r="G29" s="250">
        <v>84</v>
      </c>
      <c r="H29" s="254" t="s">
        <v>175</v>
      </c>
      <c r="I29" s="254">
        <f>2932.75/1.18</f>
        <v>2485.3813559322034</v>
      </c>
      <c r="J29" s="253">
        <f t="shared" si="1"/>
        <v>0.0992063492063492</v>
      </c>
      <c r="K29" s="253">
        <f t="shared" si="2"/>
        <v>0.008267195767195767</v>
      </c>
      <c r="L29" s="252">
        <f>I29/G29</f>
        <v>29.587873284907182</v>
      </c>
      <c r="M29" s="254">
        <f>L29*7</f>
        <v>207.11511299435028</v>
      </c>
      <c r="N29" s="252">
        <f>I29-M29</f>
        <v>2278.2662429378533</v>
      </c>
      <c r="O29" s="254">
        <f>L29*12</f>
        <v>355.0544794188862</v>
      </c>
      <c r="P29" s="252">
        <f>N29-O29</f>
        <v>1923.211763518967</v>
      </c>
      <c r="Q29" s="253">
        <f t="shared" si="3"/>
        <v>0.0011822420634920634</v>
      </c>
      <c r="R29" s="255">
        <f t="shared" si="4"/>
        <v>0.02081775793650794</v>
      </c>
      <c r="S29" s="256">
        <f>N29*R29</f>
        <v>47.42839516039762</v>
      </c>
      <c r="T29" s="277"/>
      <c r="U29" s="254">
        <f t="shared" si="5"/>
        <v>402.4828745792838</v>
      </c>
      <c r="V29" s="275"/>
      <c r="W29" s="259">
        <f>U29</f>
        <v>402.4828745792838</v>
      </c>
    </row>
    <row r="30" spans="1:23" s="272" customFormat="1" ht="12.75" customHeight="1" hidden="1">
      <c r="A30" s="2208" t="s">
        <v>138</v>
      </c>
      <c r="B30" s="2209"/>
      <c r="C30" s="2209"/>
      <c r="D30" s="2209"/>
      <c r="E30" s="2209"/>
      <c r="F30" s="2209"/>
      <c r="G30" s="278"/>
      <c r="H30" s="279"/>
      <c r="I30" s="279"/>
      <c r="J30" s="280"/>
      <c r="K30" s="280"/>
      <c r="L30" s="279"/>
      <c r="M30" s="279"/>
      <c r="N30" s="279"/>
      <c r="O30" s="279"/>
      <c r="P30" s="279"/>
      <c r="Q30" s="281">
        <f t="shared" si="3"/>
        <v>0</v>
      </c>
      <c r="R30" s="255">
        <f t="shared" si="4"/>
        <v>0.022000000000000002</v>
      </c>
      <c r="S30" s="256">
        <f>N30*R30/100</f>
        <v>0</v>
      </c>
      <c r="T30" s="282"/>
      <c r="U30" s="254">
        <f t="shared" si="5"/>
        <v>0</v>
      </c>
      <c r="V30" s="283"/>
      <c r="W30" s="284"/>
    </row>
    <row r="31" spans="1:23" s="276" customFormat="1" ht="25.5" customHeight="1" hidden="1">
      <c r="A31" s="246">
        <v>26</v>
      </c>
      <c r="B31" s="285" t="s">
        <v>1223</v>
      </c>
      <c r="C31" s="286" t="s">
        <v>1224</v>
      </c>
      <c r="D31" s="287">
        <v>12</v>
      </c>
      <c r="E31" s="287"/>
      <c r="F31" s="287"/>
      <c r="G31" s="287"/>
      <c r="H31" s="246"/>
      <c r="I31" s="246"/>
      <c r="J31" s="288"/>
      <c r="K31" s="288"/>
      <c r="L31" s="246"/>
      <c r="M31" s="246"/>
      <c r="N31" s="246"/>
      <c r="O31" s="246"/>
      <c r="P31" s="246"/>
      <c r="Q31" s="281">
        <f t="shared" si="3"/>
        <v>0</v>
      </c>
      <c r="R31" s="255">
        <f t="shared" si="4"/>
        <v>0.022000000000000002</v>
      </c>
      <c r="S31" s="256">
        <f>N31*R31/100</f>
        <v>0</v>
      </c>
      <c r="T31" s="277"/>
      <c r="U31" s="254">
        <f t="shared" si="5"/>
        <v>0</v>
      </c>
      <c r="V31" s="275"/>
      <c r="W31" s="289"/>
    </row>
    <row r="32" spans="1:23" ht="15.75">
      <c r="A32" s="2204" t="s">
        <v>1225</v>
      </c>
      <c r="B32" s="2205"/>
      <c r="C32" s="2205"/>
      <c r="D32" s="2205"/>
      <c r="E32" s="2205"/>
      <c r="F32" s="2205"/>
      <c r="G32" s="2205"/>
      <c r="H32" s="2205"/>
      <c r="I32" s="2205"/>
      <c r="J32" s="2205"/>
      <c r="K32" s="2205"/>
      <c r="L32" s="2206"/>
      <c r="M32" s="243">
        <f>SUM(M8,M14,M19,M21,M23,M26)</f>
        <v>5039.805286521389</v>
      </c>
      <c r="N32" s="243">
        <f>SUM(N8,N14,N19,N21,N23,N26)</f>
        <v>41135.951372074254</v>
      </c>
      <c r="O32" s="243">
        <f>SUM(O8,O14,O19,O21,O23,O26)</f>
        <v>6913.61985472155</v>
      </c>
      <c r="P32" s="243">
        <f>SUM(P8,P14,P19,P21,P23,P26)</f>
        <v>34222.33151735271</v>
      </c>
      <c r="Q32" s="243"/>
      <c r="R32" s="243"/>
      <c r="S32" s="243">
        <f>SUM(S8,S14,S19,S21,S23,S26)</f>
        <v>856.3582781518036</v>
      </c>
      <c r="T32" s="243">
        <f>SUM(T8,T14,T19,T21,T23,T26)</f>
        <v>24.89948259450443</v>
      </c>
      <c r="U32" s="243">
        <f>SUM(U8,U14,U19,U21,U23,U26)</f>
        <v>7769.978132873353</v>
      </c>
      <c r="V32" s="290">
        <f>SUM(V8,V14,V19,V21,V23,V26)</f>
        <v>16472.13876881356</v>
      </c>
      <c r="W32" s="243">
        <f>SUM(W8,W14,W19,W21,W23,W26)</f>
        <v>7769.978132873353</v>
      </c>
    </row>
    <row r="33" spans="1:21" ht="12.75">
      <c r="A33" s="219"/>
      <c r="B33" s="219"/>
      <c r="C33" s="219"/>
      <c r="D33" s="219"/>
      <c r="E33" s="219"/>
      <c r="F33" s="219"/>
      <c r="G33" s="219"/>
      <c r="H33" s="219"/>
      <c r="I33" s="219"/>
      <c r="J33" s="291"/>
      <c r="K33" s="291"/>
      <c r="L33" s="219"/>
      <c r="M33" s="219"/>
      <c r="N33" s="219"/>
      <c r="O33" s="219"/>
      <c r="P33" s="219"/>
      <c r="Q33" s="219"/>
      <c r="U33" s="219"/>
    </row>
    <row r="34" spans="1:21" ht="12.75">
      <c r="A34" s="219"/>
      <c r="B34" s="219"/>
      <c r="C34" s="219"/>
      <c r="D34" s="219"/>
      <c r="E34" s="219"/>
      <c r="F34" s="219"/>
      <c r="G34" s="219"/>
      <c r="H34" s="219"/>
      <c r="I34" s="219"/>
      <c r="J34" s="291"/>
      <c r="K34" s="291"/>
      <c r="L34" s="219"/>
      <c r="M34" s="219"/>
      <c r="N34" s="219"/>
      <c r="O34" s="219"/>
      <c r="P34" s="219"/>
      <c r="Q34" s="219"/>
      <c r="U34" s="219"/>
    </row>
    <row r="35" spans="1:21" ht="12.75">
      <c r="A35" s="219"/>
      <c r="B35" s="219"/>
      <c r="C35" s="219"/>
      <c r="D35" s="219"/>
      <c r="E35" s="219"/>
      <c r="F35" s="219"/>
      <c r="G35" s="219"/>
      <c r="H35" s="219"/>
      <c r="I35" s="219"/>
      <c r="J35" s="291"/>
      <c r="K35" s="291"/>
      <c r="L35" s="219"/>
      <c r="M35" s="219"/>
      <c r="N35" s="219"/>
      <c r="O35" s="219"/>
      <c r="P35" s="219"/>
      <c r="Q35" s="219"/>
      <c r="U35" s="219"/>
    </row>
    <row r="36" spans="1:23" s="297" customFormat="1" ht="30">
      <c r="A36" s="292"/>
      <c r="B36" s="293" t="s">
        <v>143</v>
      </c>
      <c r="C36" s="294"/>
      <c r="D36" s="295"/>
      <c r="E36" s="295"/>
      <c r="F36" s="295"/>
      <c r="G36" s="295">
        <f>'4.1'!U40</f>
        <v>0</v>
      </c>
      <c r="H36" s="295"/>
      <c r="I36" s="295"/>
      <c r="J36" s="296"/>
      <c r="K36" s="296"/>
      <c r="L36" s="295"/>
      <c r="M36" s="295"/>
      <c r="N36" s="295"/>
      <c r="O36" s="295"/>
      <c r="P36" s="295"/>
      <c r="Q36" s="295"/>
      <c r="S36" s="298"/>
      <c r="U36" s="295"/>
      <c r="W36" s="299"/>
    </row>
    <row r="37" spans="1:7" ht="9.75" customHeight="1">
      <c r="A37" s="300"/>
      <c r="B37" s="301"/>
      <c r="C37" s="302"/>
      <c r="D37" s="303" t="e">
        <f>#REF!+#REF!+#REF!+#REF!+#REF!+#REF!+#REF!+#REF!+#REF!+#REF!+#REF!+#REF!+#REF!+#REF!+#REF!+#REF!+#REF!+#REF!+#REF!+#REF!+#REF!</f>
        <v>#REF!</v>
      </c>
      <c r="E37" s="303"/>
      <c r="F37" s="303"/>
      <c r="G37" s="303"/>
    </row>
    <row r="38" spans="1:3" ht="12.75">
      <c r="A38" s="300"/>
      <c r="B38" s="301"/>
      <c r="C38" s="302"/>
    </row>
    <row r="39" spans="1:3" ht="12.75">
      <c r="A39" s="300"/>
      <c r="B39" s="301"/>
      <c r="C39" s="302"/>
    </row>
    <row r="40" spans="1:3" ht="12.75">
      <c r="A40" s="300"/>
      <c r="B40" s="301"/>
      <c r="C40" s="302"/>
    </row>
    <row r="41" spans="1:7" ht="12.75">
      <c r="A41" s="300"/>
      <c r="B41" s="301"/>
      <c r="C41" s="302"/>
      <c r="D41" s="303"/>
      <c r="E41" s="303"/>
      <c r="F41" s="303"/>
      <c r="G41" s="303"/>
    </row>
    <row r="42" spans="1:3" ht="12.75">
      <c r="A42" s="300"/>
      <c r="B42" s="301"/>
      <c r="C42" s="302"/>
    </row>
    <row r="43" spans="1:3" ht="38.25" customHeight="1">
      <c r="A43" s="300"/>
      <c r="B43" s="301"/>
      <c r="C43" s="302"/>
    </row>
    <row r="44" spans="1:3" ht="12.75">
      <c r="A44" s="300"/>
      <c r="B44" s="301"/>
      <c r="C44" s="302"/>
    </row>
    <row r="45" spans="1:3" ht="12.75">
      <c r="A45" s="300"/>
      <c r="B45" s="301"/>
      <c r="C45" s="302"/>
    </row>
    <row r="46" spans="1:3" ht="12.75">
      <c r="A46" s="300"/>
      <c r="B46" s="301"/>
      <c r="C46" s="302"/>
    </row>
    <row r="47" spans="1:3" ht="12.75">
      <c r="A47" s="300"/>
      <c r="B47" s="301"/>
      <c r="C47" s="302"/>
    </row>
    <row r="48" spans="1:3" ht="12.75">
      <c r="A48" s="300"/>
      <c r="B48" s="301"/>
      <c r="C48" s="302"/>
    </row>
    <row r="49" spans="1:3" ht="12.75">
      <c r="A49" s="300"/>
      <c r="B49" s="301"/>
      <c r="C49" s="302"/>
    </row>
    <row r="50" spans="1:3" ht="12.75">
      <c r="A50" s="300"/>
      <c r="B50" s="301"/>
      <c r="C50" s="302"/>
    </row>
    <row r="51" spans="1:3" ht="12.75">
      <c r="A51" s="300"/>
      <c r="B51" s="301"/>
      <c r="C51" s="302"/>
    </row>
    <row r="52" spans="1:3" ht="12.75">
      <c r="A52" s="300"/>
      <c r="B52" s="301"/>
      <c r="C52" s="302"/>
    </row>
    <row r="53" spans="1:3" ht="12.75">
      <c r="A53" s="302"/>
      <c r="B53" s="301"/>
      <c r="C53" s="302"/>
    </row>
    <row r="453" ht="12.75"/>
    <row r="476" ht="12.75"/>
    <row r="478" ht="12.75"/>
    <row r="479" ht="12.75"/>
    <row r="480" ht="12.75"/>
    <row r="481" ht="12.75"/>
    <row r="482" ht="12.75"/>
    <row r="484" ht="12.75"/>
    <row r="485" ht="12.75"/>
    <row r="486" ht="12.75"/>
    <row r="487" ht="12.75"/>
    <row r="488" ht="12.75"/>
  </sheetData>
  <sheetProtection/>
  <mergeCells count="27">
    <mergeCell ref="R4:T4"/>
    <mergeCell ref="G4:G5"/>
    <mergeCell ref="A3:F3"/>
    <mergeCell ref="A4:A5"/>
    <mergeCell ref="B4:B5"/>
    <mergeCell ref="E4:E5"/>
    <mergeCell ref="F4:F5"/>
    <mergeCell ref="L4:L5"/>
    <mergeCell ref="M4:M5"/>
    <mergeCell ref="A32:L32"/>
    <mergeCell ref="A21:F21"/>
    <mergeCell ref="A23:F23"/>
    <mergeCell ref="Q4:Q5"/>
    <mergeCell ref="N4:N5"/>
    <mergeCell ref="P4:P5"/>
    <mergeCell ref="A26:F26"/>
    <mergeCell ref="A30:F30"/>
    <mergeCell ref="W4:W5"/>
    <mergeCell ref="A8:F8"/>
    <mergeCell ref="A14:F14"/>
    <mergeCell ref="A19:F19"/>
    <mergeCell ref="O4:O5"/>
    <mergeCell ref="U4:U5"/>
    <mergeCell ref="V4:V5"/>
    <mergeCell ref="H4:H5"/>
    <mergeCell ref="I4:I5"/>
    <mergeCell ref="J4:K4"/>
  </mergeCells>
  <printOptions horizontalCentered="1" verticalCentered="1"/>
  <pageMargins left="0.1968503937007874" right="0.1968503937007874" top="0.1968503937007874" bottom="0.1968503937007874" header="0.2" footer="0.2"/>
  <pageSetup fitToHeight="1" fitToWidth="1" horizontalDpi="600" verticalDpi="600" orientation="landscape" paperSize="9" scale="5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U43"/>
  <sheetViews>
    <sheetView view="pageBreakPreview" zoomScaleSheetLayoutView="100" zoomScalePageLayoutView="0" workbookViewId="0" topLeftCell="A1">
      <pane xSplit="2" ySplit="9" topLeftCell="E16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5" sqref="A5"/>
    </sheetView>
  </sheetViews>
  <sheetFormatPr defaultColWidth="9.140625" defaultRowHeight="15" outlineLevelRow="1" outlineLevelCol="1"/>
  <cols>
    <col min="1" max="1" width="8.00390625" style="10" customWidth="1"/>
    <col min="2" max="2" width="36.7109375" style="10" customWidth="1"/>
    <col min="3" max="3" width="12.421875" style="10" customWidth="1"/>
    <col min="4" max="4" width="11.28125" style="10" customWidth="1"/>
    <col min="5" max="6" width="10.7109375" style="10" customWidth="1"/>
    <col min="7" max="8" width="12.28125" style="10" customWidth="1"/>
    <col min="9" max="9" width="10.7109375" style="10" customWidth="1" outlineLevel="1"/>
    <col min="10" max="10" width="11.7109375" style="10" customWidth="1" outlineLevel="1"/>
    <col min="11" max="11" width="12.28125" style="10" customWidth="1" outlineLevel="1"/>
    <col min="12" max="16384" width="9.140625" style="10" customWidth="1"/>
  </cols>
  <sheetData>
    <row r="1" spans="1:9" ht="15">
      <c r="A1" s="52" t="s">
        <v>1491</v>
      </c>
      <c r="B1" s="52"/>
      <c r="C1" s="52"/>
      <c r="H1" s="2" t="s">
        <v>1109</v>
      </c>
      <c r="I1" s="52"/>
    </row>
    <row r="2" spans="1:3" ht="15">
      <c r="A2" s="52" t="s">
        <v>1279</v>
      </c>
      <c r="B2" s="52"/>
      <c r="C2" s="52"/>
    </row>
    <row r="4" spans="1:11" ht="16.5">
      <c r="A4" s="33" t="s">
        <v>1689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8" ht="15">
      <c r="A5" s="179" t="s">
        <v>692</v>
      </c>
      <c r="H5" s="87" t="s">
        <v>1675</v>
      </c>
    </row>
    <row r="6" spans="1:11" ht="15.75" customHeight="1">
      <c r="A6" s="2069" t="s">
        <v>1662</v>
      </c>
      <c r="B6" s="2073" t="s">
        <v>1690</v>
      </c>
      <c r="C6" s="2214" t="s">
        <v>1659</v>
      </c>
      <c r="D6" s="2215"/>
      <c r="E6" s="2216"/>
      <c r="F6" s="2214" t="s">
        <v>1661</v>
      </c>
      <c r="G6" s="2215"/>
      <c r="H6" s="2215"/>
      <c r="I6" s="2215"/>
      <c r="J6" s="2215"/>
      <c r="K6" s="2216"/>
    </row>
    <row r="7" spans="1:11" ht="15.75" customHeight="1">
      <c r="A7" s="2070"/>
      <c r="B7" s="2064"/>
      <c r="C7" s="2069" t="s">
        <v>268</v>
      </c>
      <c r="D7" s="2069" t="s">
        <v>269</v>
      </c>
      <c r="E7" s="2069" t="s">
        <v>270</v>
      </c>
      <c r="F7" s="2085" t="s">
        <v>906</v>
      </c>
      <c r="G7" s="2086"/>
      <c r="H7" s="2074"/>
      <c r="I7" s="2085" t="s">
        <v>944</v>
      </c>
      <c r="J7" s="2086"/>
      <c r="K7" s="2074"/>
    </row>
    <row r="8" spans="1:11" ht="24" customHeight="1">
      <c r="A8" s="2048"/>
      <c r="B8" s="2065"/>
      <c r="C8" s="2048"/>
      <c r="D8" s="2048"/>
      <c r="E8" s="2048"/>
      <c r="F8" s="50" t="s">
        <v>421</v>
      </c>
      <c r="G8" s="50" t="s">
        <v>271</v>
      </c>
      <c r="H8" s="22" t="s">
        <v>272</v>
      </c>
      <c r="I8" s="50" t="s">
        <v>421</v>
      </c>
      <c r="J8" s="50" t="s">
        <v>271</v>
      </c>
      <c r="K8" s="22" t="s">
        <v>272</v>
      </c>
    </row>
    <row r="9" spans="1:11" ht="15">
      <c r="A9" s="43">
        <v>1</v>
      </c>
      <c r="B9" s="49">
        <v>2</v>
      </c>
      <c r="C9" s="43">
        <v>3</v>
      </c>
      <c r="D9" s="43">
        <v>4</v>
      </c>
      <c r="E9" s="43">
        <v>5</v>
      </c>
      <c r="F9" s="50">
        <v>6</v>
      </c>
      <c r="G9" s="50">
        <v>7</v>
      </c>
      <c r="H9" s="22">
        <v>8</v>
      </c>
      <c r="I9" s="50">
        <v>9</v>
      </c>
      <c r="J9" s="50">
        <v>10</v>
      </c>
      <c r="K9" s="22">
        <v>11</v>
      </c>
    </row>
    <row r="10" spans="1:11" ht="15">
      <c r="A10" s="30">
        <v>1</v>
      </c>
      <c r="B10" s="15" t="s">
        <v>1691</v>
      </c>
      <c r="C10" s="4"/>
      <c r="D10" s="4"/>
      <c r="E10" s="4"/>
      <c r="F10" s="4"/>
      <c r="G10" s="4"/>
      <c r="H10" s="4"/>
      <c r="I10" s="4"/>
      <c r="J10" s="70"/>
      <c r="K10" s="4"/>
    </row>
    <row r="11" spans="1:11" ht="15">
      <c r="A11" s="30"/>
      <c r="B11" s="15" t="s">
        <v>1688</v>
      </c>
      <c r="C11" s="4"/>
      <c r="D11" s="4"/>
      <c r="E11" s="4"/>
      <c r="F11" s="4"/>
      <c r="G11" s="4"/>
      <c r="H11" s="4"/>
      <c r="I11" s="4"/>
      <c r="J11" s="70"/>
      <c r="K11" s="4"/>
    </row>
    <row r="12" spans="1:11" ht="27">
      <c r="A12" s="30" t="s">
        <v>1663</v>
      </c>
      <c r="B12" s="71" t="s">
        <v>1110</v>
      </c>
      <c r="C12" s="4"/>
      <c r="D12" s="4"/>
      <c r="E12" s="4"/>
      <c r="F12" s="4"/>
      <c r="G12" s="4"/>
      <c r="H12" s="4"/>
      <c r="I12" s="4"/>
      <c r="J12" s="70"/>
      <c r="K12" s="4"/>
    </row>
    <row r="13" spans="1:11" ht="15">
      <c r="A13" s="30" t="s">
        <v>424</v>
      </c>
      <c r="B13" s="71" t="s">
        <v>1111</v>
      </c>
      <c r="C13" s="4"/>
      <c r="D13" s="4"/>
      <c r="E13" s="4"/>
      <c r="F13" s="4"/>
      <c r="G13" s="4"/>
      <c r="H13" s="4"/>
      <c r="I13" s="4"/>
      <c r="J13" s="70"/>
      <c r="K13" s="4"/>
    </row>
    <row r="14" spans="1:11" ht="15">
      <c r="A14" s="30"/>
      <c r="B14" s="15" t="s">
        <v>1059</v>
      </c>
      <c r="C14" s="4"/>
      <c r="D14" s="4"/>
      <c r="E14" s="4"/>
      <c r="F14" s="4"/>
      <c r="G14" s="4"/>
      <c r="H14" s="4"/>
      <c r="I14" s="4"/>
      <c r="J14" s="70"/>
      <c r="K14" s="4"/>
    </row>
    <row r="15" spans="1:11" ht="14.25" customHeight="1">
      <c r="A15" s="30" t="s">
        <v>425</v>
      </c>
      <c r="B15" s="69" t="s">
        <v>70</v>
      </c>
      <c r="C15" s="4"/>
      <c r="D15" s="4"/>
      <c r="E15" s="4"/>
      <c r="F15" s="4"/>
      <c r="G15" s="4"/>
      <c r="H15" s="4"/>
      <c r="I15" s="4"/>
      <c r="J15" s="70"/>
      <c r="K15" s="4"/>
    </row>
    <row r="16" spans="1:11" ht="15">
      <c r="A16" s="30" t="s">
        <v>232</v>
      </c>
      <c r="B16" s="69" t="s">
        <v>422</v>
      </c>
      <c r="C16" s="4"/>
      <c r="D16" s="4"/>
      <c r="E16" s="4"/>
      <c r="F16" s="4"/>
      <c r="G16" s="4"/>
      <c r="H16" s="4"/>
      <c r="I16" s="4"/>
      <c r="J16" s="70"/>
      <c r="K16" s="4"/>
    </row>
    <row r="17" spans="1:11" ht="15">
      <c r="A17" s="30" t="s">
        <v>233</v>
      </c>
      <c r="B17" s="69" t="s">
        <v>1108</v>
      </c>
      <c r="C17" s="4"/>
      <c r="D17" s="4"/>
      <c r="E17" s="4"/>
      <c r="F17" s="4"/>
      <c r="G17" s="4"/>
      <c r="H17" s="4"/>
      <c r="I17" s="4"/>
      <c r="J17" s="70"/>
      <c r="K17" s="4"/>
    </row>
    <row r="18" spans="1:11" ht="15">
      <c r="A18" s="30" t="s">
        <v>234</v>
      </c>
      <c r="B18" s="69" t="s">
        <v>71</v>
      </c>
      <c r="C18" s="4"/>
      <c r="D18" s="4"/>
      <c r="E18" s="4"/>
      <c r="F18" s="4"/>
      <c r="G18" s="4"/>
      <c r="H18" s="4"/>
      <c r="I18" s="4"/>
      <c r="J18" s="70"/>
      <c r="K18" s="4"/>
    </row>
    <row r="19" spans="1:11" ht="15">
      <c r="A19" s="30" t="s">
        <v>1664</v>
      </c>
      <c r="B19" s="15" t="s">
        <v>1692</v>
      </c>
      <c r="C19" s="4"/>
      <c r="D19" s="4"/>
      <c r="E19" s="4"/>
      <c r="F19" s="4"/>
      <c r="G19" s="4"/>
      <c r="H19" s="4"/>
      <c r="I19" s="4"/>
      <c r="J19" s="70"/>
      <c r="K19" s="4"/>
    </row>
    <row r="20" spans="1:11" ht="15">
      <c r="A20" s="30"/>
      <c r="B20" s="15" t="s">
        <v>1693</v>
      </c>
      <c r="C20" s="4"/>
      <c r="D20" s="4"/>
      <c r="E20" s="4"/>
      <c r="F20" s="4"/>
      <c r="G20" s="4"/>
      <c r="H20" s="4"/>
      <c r="I20" s="4"/>
      <c r="J20" s="70"/>
      <c r="K20" s="4"/>
    </row>
    <row r="21" spans="1:11" ht="26.25" customHeight="1">
      <c r="A21" s="30" t="s">
        <v>1665</v>
      </c>
      <c r="B21" s="15" t="s">
        <v>1694</v>
      </c>
      <c r="C21" s="4"/>
      <c r="D21" s="4"/>
      <c r="E21" s="4"/>
      <c r="F21" s="4"/>
      <c r="G21" s="4"/>
      <c r="H21" s="4"/>
      <c r="I21" s="4"/>
      <c r="J21" s="70"/>
      <c r="K21" s="4"/>
    </row>
    <row r="22" spans="1:11" ht="26.25" customHeight="1">
      <c r="A22" s="30"/>
      <c r="B22" s="69" t="s">
        <v>1060</v>
      </c>
      <c r="C22" s="4"/>
      <c r="D22" s="4"/>
      <c r="E22" s="4"/>
      <c r="F22" s="4"/>
      <c r="G22" s="4"/>
      <c r="H22" s="4"/>
      <c r="I22" s="4"/>
      <c r="J22" s="70"/>
      <c r="K22" s="4"/>
    </row>
    <row r="23" spans="1:11" ht="15">
      <c r="A23" s="30" t="s">
        <v>1695</v>
      </c>
      <c r="B23" s="15" t="s">
        <v>1656</v>
      </c>
      <c r="C23" s="4"/>
      <c r="D23" s="4"/>
      <c r="E23" s="4"/>
      <c r="F23" s="4"/>
      <c r="G23" s="4"/>
      <c r="H23" s="4"/>
      <c r="I23" s="4"/>
      <c r="J23" s="70"/>
      <c r="K23" s="4"/>
    </row>
    <row r="24" spans="1:11" ht="15">
      <c r="A24" s="30" t="s">
        <v>1657</v>
      </c>
      <c r="B24" s="15" t="s">
        <v>78</v>
      </c>
      <c r="C24" s="4"/>
      <c r="D24" s="4"/>
      <c r="E24" s="4"/>
      <c r="F24" s="4"/>
      <c r="G24" s="4"/>
      <c r="H24" s="4"/>
      <c r="I24" s="4"/>
      <c r="J24" s="70"/>
      <c r="K24" s="4"/>
    </row>
    <row r="25" spans="1:11" ht="15">
      <c r="A25" s="30" t="s">
        <v>79</v>
      </c>
      <c r="B25" s="15" t="s">
        <v>80</v>
      </c>
      <c r="C25" s="4"/>
      <c r="D25" s="4"/>
      <c r="E25" s="4"/>
      <c r="F25" s="4"/>
      <c r="G25" s="4"/>
      <c r="H25" s="4"/>
      <c r="I25" s="4"/>
      <c r="J25" s="70"/>
      <c r="K25" s="4"/>
    </row>
    <row r="26" spans="1:11" ht="27">
      <c r="A26" s="30" t="s">
        <v>81</v>
      </c>
      <c r="B26" s="15" t="s">
        <v>82</v>
      </c>
      <c r="C26" s="4"/>
      <c r="D26" s="4"/>
      <c r="E26" s="4"/>
      <c r="F26" s="4"/>
      <c r="G26" s="4"/>
      <c r="H26" s="4"/>
      <c r="I26" s="4"/>
      <c r="J26" s="70"/>
      <c r="K26" s="4"/>
    </row>
    <row r="27" spans="1:11" ht="15">
      <c r="A27" s="30" t="s">
        <v>83</v>
      </c>
      <c r="B27" s="15" t="s">
        <v>84</v>
      </c>
      <c r="C27" s="4"/>
      <c r="D27" s="4"/>
      <c r="E27" s="4"/>
      <c r="F27" s="4"/>
      <c r="G27" s="4"/>
      <c r="H27" s="4"/>
      <c r="I27" s="4"/>
      <c r="J27" s="70"/>
      <c r="K27" s="4"/>
    </row>
    <row r="28" spans="1:11" ht="27">
      <c r="A28" s="30" t="s">
        <v>85</v>
      </c>
      <c r="B28" s="15" t="s">
        <v>414</v>
      </c>
      <c r="C28" s="4"/>
      <c r="D28" s="4"/>
      <c r="E28" s="4"/>
      <c r="F28" s="4"/>
      <c r="G28" s="4"/>
      <c r="H28" s="4"/>
      <c r="I28" s="4"/>
      <c r="J28" s="70"/>
      <c r="K28" s="4"/>
    </row>
    <row r="29" spans="1:11" ht="15">
      <c r="A29" s="30" t="s">
        <v>415</v>
      </c>
      <c r="B29" s="15" t="s">
        <v>416</v>
      </c>
      <c r="C29" s="4"/>
      <c r="D29" s="4"/>
      <c r="E29" s="4"/>
      <c r="F29" s="4"/>
      <c r="G29" s="4"/>
      <c r="H29" s="4"/>
      <c r="I29" s="4"/>
      <c r="J29" s="70"/>
      <c r="K29" s="4"/>
    </row>
    <row r="30" spans="1:11" ht="15">
      <c r="A30" s="30" t="s">
        <v>417</v>
      </c>
      <c r="B30" s="15" t="s">
        <v>418</v>
      </c>
      <c r="C30" s="4"/>
      <c r="D30" s="4"/>
      <c r="E30" s="4"/>
      <c r="F30" s="4"/>
      <c r="G30" s="4"/>
      <c r="H30" s="4"/>
      <c r="I30" s="4"/>
      <c r="J30" s="70"/>
      <c r="K30" s="4"/>
    </row>
    <row r="31" spans="1:11" ht="15">
      <c r="A31" s="30" t="s">
        <v>419</v>
      </c>
      <c r="B31" s="15" t="s">
        <v>420</v>
      </c>
      <c r="C31" s="4"/>
      <c r="D31" s="4"/>
      <c r="E31" s="4"/>
      <c r="F31" s="4"/>
      <c r="G31" s="4"/>
      <c r="H31" s="4"/>
      <c r="I31" s="4"/>
      <c r="J31" s="70"/>
      <c r="K31" s="4"/>
    </row>
    <row r="32" spans="1:11" ht="27">
      <c r="A32" s="30"/>
      <c r="B32" s="15" t="s">
        <v>1061</v>
      </c>
      <c r="C32" s="4"/>
      <c r="D32" s="4"/>
      <c r="E32" s="4"/>
      <c r="F32" s="4"/>
      <c r="G32" s="4"/>
      <c r="H32" s="4"/>
      <c r="I32" s="4"/>
      <c r="J32" s="70"/>
      <c r="K32" s="4"/>
    </row>
    <row r="33" spans="1:11" ht="18" customHeight="1">
      <c r="A33" s="30" t="s">
        <v>212</v>
      </c>
      <c r="B33" s="69" t="s">
        <v>70</v>
      </c>
      <c r="C33" s="4"/>
      <c r="D33" s="4"/>
      <c r="E33" s="4"/>
      <c r="F33" s="4"/>
      <c r="G33" s="4"/>
      <c r="H33" s="4"/>
      <c r="I33" s="4"/>
      <c r="J33" s="70"/>
      <c r="K33" s="4"/>
    </row>
    <row r="34" spans="1:11" ht="15">
      <c r="A34" s="30" t="s">
        <v>213</v>
      </c>
      <c r="B34" s="69" t="s">
        <v>422</v>
      </c>
      <c r="C34" s="4"/>
      <c r="D34" s="4"/>
      <c r="E34" s="4"/>
      <c r="F34" s="4"/>
      <c r="G34" s="4"/>
      <c r="H34" s="4"/>
      <c r="I34" s="4"/>
      <c r="J34" s="70"/>
      <c r="K34" s="4"/>
    </row>
    <row r="35" spans="1:11" ht="15">
      <c r="A35" s="30" t="s">
        <v>1112</v>
      </c>
      <c r="B35" s="69" t="s">
        <v>1108</v>
      </c>
      <c r="C35" s="4"/>
      <c r="D35" s="4"/>
      <c r="E35" s="4"/>
      <c r="F35" s="4"/>
      <c r="G35" s="4"/>
      <c r="H35" s="4"/>
      <c r="I35" s="4"/>
      <c r="J35" s="70"/>
      <c r="K35" s="4"/>
    </row>
    <row r="36" spans="1:11" ht="15">
      <c r="A36" s="30" t="s">
        <v>1113</v>
      </c>
      <c r="B36" s="69" t="s">
        <v>71</v>
      </c>
      <c r="C36" s="4"/>
      <c r="D36" s="4"/>
      <c r="E36" s="4"/>
      <c r="F36" s="4"/>
      <c r="G36" s="4"/>
      <c r="H36" s="4"/>
      <c r="I36" s="4"/>
      <c r="J36" s="70"/>
      <c r="K36" s="4"/>
    </row>
    <row r="37" ht="15" hidden="1" outlineLevel="1">
      <c r="A37" s="113" t="s">
        <v>304</v>
      </c>
    </row>
    <row r="38" spans="1:99" ht="18.75" customHeight="1" hidden="1" outlineLevel="1">
      <c r="A38" s="116" t="s">
        <v>238</v>
      </c>
      <c r="B38" s="2140" t="s">
        <v>1079</v>
      </c>
      <c r="C38" s="2140"/>
      <c r="D38" s="2140"/>
      <c r="E38" s="2140"/>
      <c r="F38" s="2140"/>
      <c r="G38" s="2140"/>
      <c r="H38" s="2140"/>
      <c r="I38" s="2140"/>
      <c r="J38" s="2140"/>
      <c r="K38" s="214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</row>
    <row r="39" spans="1:99" ht="48.75" customHeight="1" hidden="1" outlineLevel="1">
      <c r="A39" s="116" t="s">
        <v>240</v>
      </c>
      <c r="B39" s="2140" t="s">
        <v>1080</v>
      </c>
      <c r="C39" s="2140"/>
      <c r="D39" s="2140"/>
      <c r="E39" s="2140"/>
      <c r="F39" s="2140"/>
      <c r="G39" s="2140"/>
      <c r="H39" s="2140"/>
      <c r="I39" s="2140"/>
      <c r="J39" s="2140"/>
      <c r="K39" s="214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</row>
    <row r="40" ht="15" collapsed="1"/>
    <row r="42" ht="15">
      <c r="A42" s="1" t="s">
        <v>683</v>
      </c>
    </row>
    <row r="43" spans="1:11" ht="16.5" customHeight="1">
      <c r="A43" s="1" t="s">
        <v>684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</row>
  </sheetData>
  <sheetProtection/>
  <mergeCells count="11">
    <mergeCell ref="E7:E8"/>
    <mergeCell ref="A6:A8"/>
    <mergeCell ref="B6:B8"/>
    <mergeCell ref="B38:K38"/>
    <mergeCell ref="B39:K39"/>
    <mergeCell ref="C6:E6"/>
    <mergeCell ref="C7:C8"/>
    <mergeCell ref="F7:H7"/>
    <mergeCell ref="F6:K6"/>
    <mergeCell ref="I7:K7"/>
    <mergeCell ref="D7:D8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U21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6" sqref="A6"/>
    </sheetView>
  </sheetViews>
  <sheetFormatPr defaultColWidth="9.140625" defaultRowHeight="15" outlineLevelRow="1" outlineLevelCol="1"/>
  <cols>
    <col min="1" max="1" width="14.140625" style="0" customWidth="1"/>
    <col min="2" max="2" width="15.28125" style="0" customWidth="1"/>
    <col min="3" max="4" width="16.7109375" style="0" customWidth="1"/>
    <col min="5" max="5" width="15.00390625" style="0" customWidth="1"/>
    <col min="6" max="6" width="16.140625" style="0" customWidth="1"/>
    <col min="7" max="7" width="15.140625" style="0" customWidth="1" outlineLevel="1"/>
  </cols>
  <sheetData>
    <row r="1" spans="1:7" ht="15">
      <c r="A1" s="52" t="s">
        <v>1491</v>
      </c>
      <c r="B1" s="52"/>
      <c r="C1" s="52"/>
      <c r="D1" s="52"/>
      <c r="E1" s="52"/>
      <c r="F1" s="2" t="s">
        <v>1118</v>
      </c>
      <c r="G1" s="52"/>
    </row>
    <row r="2" spans="1:7" ht="15.75" customHeight="1">
      <c r="A2" s="52" t="s">
        <v>1279</v>
      </c>
      <c r="B2" s="52"/>
      <c r="C2" s="52"/>
      <c r="D2" s="52"/>
      <c r="E2" s="52"/>
      <c r="F2" s="52"/>
      <c r="G2" s="52"/>
    </row>
    <row r="4" spans="1:6" ht="17.25">
      <c r="A4" s="2217" t="s">
        <v>1114</v>
      </c>
      <c r="B4" s="2217"/>
      <c r="C4" s="2217"/>
      <c r="D4" s="2217"/>
      <c r="E4" s="2217"/>
      <c r="F4" s="2217"/>
    </row>
    <row r="5" spans="1:6" ht="12.75" customHeight="1">
      <c r="A5" s="73"/>
      <c r="B5" s="73"/>
      <c r="C5" s="73"/>
      <c r="D5" s="73"/>
      <c r="E5" s="73"/>
      <c r="F5" s="73"/>
    </row>
    <row r="6" spans="1:6" ht="14.25">
      <c r="A6" s="179" t="s">
        <v>692</v>
      </c>
      <c r="F6" s="74" t="s">
        <v>1675</v>
      </c>
    </row>
    <row r="7" spans="1:7" ht="65.25" customHeight="1">
      <c r="A7" s="63" t="s">
        <v>1115</v>
      </c>
      <c r="B7" s="63" t="s">
        <v>1082</v>
      </c>
      <c r="C7" s="63" t="s">
        <v>1083</v>
      </c>
      <c r="D7" s="63" t="s">
        <v>1116</v>
      </c>
      <c r="E7" s="63" t="s">
        <v>1084</v>
      </c>
      <c r="F7" s="63" t="s">
        <v>1117</v>
      </c>
      <c r="G7" s="63" t="s">
        <v>1085</v>
      </c>
    </row>
    <row r="8" spans="1:7" ht="14.2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</row>
    <row r="9" spans="1:7" ht="14.25">
      <c r="A9" s="42" t="s">
        <v>421</v>
      </c>
      <c r="B9" s="35"/>
      <c r="C9" s="35"/>
      <c r="D9" s="35"/>
      <c r="E9" s="35"/>
      <c r="F9" s="35"/>
      <c r="G9" s="35"/>
    </row>
    <row r="10" spans="1:7" ht="14.25">
      <c r="A10" s="42" t="s">
        <v>1667</v>
      </c>
      <c r="B10" s="35"/>
      <c r="C10" s="35"/>
      <c r="D10" s="35"/>
      <c r="E10" s="35"/>
      <c r="F10" s="35"/>
      <c r="G10" s="35"/>
    </row>
    <row r="11" spans="1:7" ht="14.25">
      <c r="A11" s="35"/>
      <c r="B11" s="35"/>
      <c r="C11" s="35"/>
      <c r="D11" s="35"/>
      <c r="E11" s="35"/>
      <c r="F11" s="35"/>
      <c r="G11" s="35"/>
    </row>
    <row r="12" spans="1:7" ht="14.25">
      <c r="A12" s="35"/>
      <c r="B12" s="35"/>
      <c r="C12" s="35"/>
      <c r="D12" s="35"/>
      <c r="E12" s="35"/>
      <c r="F12" s="35"/>
      <c r="G12" s="35"/>
    </row>
    <row r="13" spans="1:7" ht="14.25">
      <c r="A13" s="35"/>
      <c r="B13" s="35"/>
      <c r="C13" s="35"/>
      <c r="D13" s="35"/>
      <c r="E13" s="35"/>
      <c r="F13" s="35"/>
      <c r="G13" s="35"/>
    </row>
    <row r="14" spans="1:7" ht="14.25">
      <c r="A14" s="35"/>
      <c r="B14" s="35"/>
      <c r="C14" s="35"/>
      <c r="D14" s="35"/>
      <c r="E14" s="35"/>
      <c r="F14" s="35"/>
      <c r="G14" s="35"/>
    </row>
    <row r="15" ht="14.25" hidden="1" outlineLevel="1">
      <c r="A15" s="113" t="s">
        <v>304</v>
      </c>
    </row>
    <row r="16" spans="1:99" ht="33" customHeight="1" hidden="1" outlineLevel="1">
      <c r="A16" s="116" t="s">
        <v>238</v>
      </c>
      <c r="B16" s="2140" t="s">
        <v>1081</v>
      </c>
      <c r="C16" s="2140"/>
      <c r="D16" s="2140"/>
      <c r="E16" s="2140"/>
      <c r="F16" s="214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</row>
    <row r="17" spans="1:99" ht="32.25" customHeight="1" hidden="1" outlineLevel="1">
      <c r="A17" s="116" t="s">
        <v>240</v>
      </c>
      <c r="B17" s="2140" t="s">
        <v>1079</v>
      </c>
      <c r="C17" s="2140"/>
      <c r="D17" s="2140"/>
      <c r="E17" s="2140"/>
      <c r="F17" s="214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</row>
    <row r="18" ht="14.25" collapsed="1">
      <c r="A18" s="113"/>
    </row>
    <row r="20" ht="14.25">
      <c r="A20" s="1" t="s">
        <v>683</v>
      </c>
    </row>
    <row r="21" spans="1:7" ht="14.25">
      <c r="A21" s="1" t="s">
        <v>684</v>
      </c>
      <c r="B21" s="84"/>
      <c r="C21" s="84"/>
      <c r="D21" s="84"/>
      <c r="E21" s="84"/>
      <c r="F21" s="84"/>
      <c r="G21" s="84"/>
    </row>
  </sheetData>
  <sheetProtection/>
  <mergeCells count="3">
    <mergeCell ref="A4:F4"/>
    <mergeCell ref="B16:F16"/>
    <mergeCell ref="B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S2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5" sqref="A5"/>
    </sheetView>
  </sheetViews>
  <sheetFormatPr defaultColWidth="9.140625" defaultRowHeight="15" outlineLevelRow="1"/>
  <cols>
    <col min="1" max="1" width="7.00390625" style="0" customWidth="1"/>
    <col min="2" max="2" width="33.7109375" style="0" customWidth="1"/>
    <col min="3" max="3" width="12.00390625" style="0" customWidth="1"/>
    <col min="4" max="7" width="19.7109375" style="0" customWidth="1"/>
  </cols>
  <sheetData>
    <row r="1" spans="1:7" ht="15">
      <c r="A1" s="52" t="s">
        <v>1491</v>
      </c>
      <c r="B1" s="52"/>
      <c r="C1" s="52"/>
      <c r="D1" s="52"/>
      <c r="E1" s="52"/>
      <c r="G1" s="2" t="s">
        <v>1170</v>
      </c>
    </row>
    <row r="2" spans="1:6" ht="14.25">
      <c r="A2" s="52" t="s">
        <v>1279</v>
      </c>
      <c r="B2" s="52"/>
      <c r="C2" s="52"/>
      <c r="D2" s="52"/>
      <c r="E2" s="52"/>
      <c r="F2" s="52"/>
    </row>
    <row r="4" spans="1:7" ht="17.25">
      <c r="A4" s="2217" t="s">
        <v>1119</v>
      </c>
      <c r="B4" s="2217"/>
      <c r="C4" s="2217"/>
      <c r="D4" s="2217"/>
      <c r="E4" s="2217"/>
      <c r="F4" s="2217"/>
      <c r="G4" s="2217"/>
    </row>
    <row r="5" spans="1:7" ht="14.25">
      <c r="A5" s="179" t="s">
        <v>692</v>
      </c>
      <c r="B5" s="72"/>
      <c r="C5" s="72"/>
      <c r="D5" s="72"/>
      <c r="E5" s="72"/>
      <c r="F5" s="72"/>
      <c r="G5" s="72"/>
    </row>
    <row r="6" spans="1:8" ht="35.25" customHeight="1">
      <c r="A6" s="62" t="s">
        <v>1120</v>
      </c>
      <c r="B6" s="63" t="s">
        <v>1670</v>
      </c>
      <c r="C6" s="63" t="s">
        <v>1169</v>
      </c>
      <c r="D6" s="63" t="s">
        <v>1122</v>
      </c>
      <c r="E6" s="63" t="s">
        <v>1123</v>
      </c>
      <c r="F6" s="63" t="s">
        <v>1124</v>
      </c>
      <c r="G6" s="63" t="s">
        <v>1125</v>
      </c>
      <c r="H6" s="40"/>
    </row>
    <row r="7" spans="1:7" ht="14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35.25" customHeight="1">
      <c r="A8" s="62">
        <v>1</v>
      </c>
      <c r="B8" s="75" t="s">
        <v>1126</v>
      </c>
      <c r="C8" s="62" t="s">
        <v>1131</v>
      </c>
      <c r="D8" s="42"/>
      <c r="E8" s="42"/>
      <c r="F8" s="42"/>
      <c r="G8" s="42"/>
    </row>
    <row r="9" spans="1:7" ht="27">
      <c r="A9" s="62">
        <v>2</v>
      </c>
      <c r="B9" s="75" t="s">
        <v>1127</v>
      </c>
      <c r="C9" s="62" t="s">
        <v>1131</v>
      </c>
      <c r="D9" s="42"/>
      <c r="E9" s="42"/>
      <c r="F9" s="42"/>
      <c r="G9" s="42"/>
    </row>
    <row r="10" spans="1:7" ht="54.75">
      <c r="A10" s="62">
        <v>3</v>
      </c>
      <c r="B10" s="75" t="s">
        <v>1128</v>
      </c>
      <c r="C10" s="62" t="s">
        <v>222</v>
      </c>
      <c r="D10" s="42"/>
      <c r="E10" s="42"/>
      <c r="F10" s="42"/>
      <c r="G10" s="42"/>
    </row>
    <row r="11" spans="1:7" ht="41.25">
      <c r="A11" s="62">
        <v>4</v>
      </c>
      <c r="B11" s="75" t="s">
        <v>1129</v>
      </c>
      <c r="C11" s="62" t="s">
        <v>1167</v>
      </c>
      <c r="D11" s="42"/>
      <c r="E11" s="42"/>
      <c r="F11" s="42"/>
      <c r="G11" s="42"/>
    </row>
    <row r="12" spans="1:7" ht="27">
      <c r="A12" s="62">
        <v>5</v>
      </c>
      <c r="B12" s="75" t="s">
        <v>1130</v>
      </c>
      <c r="C12" s="62" t="s">
        <v>1168</v>
      </c>
      <c r="D12" s="42">
        <f>(D9-D8)*D10</f>
        <v>0</v>
      </c>
      <c r="E12" s="42">
        <f>(E9-E8)*E10</f>
        <v>0</v>
      </c>
      <c r="F12" s="42">
        <f>(F9-F8)*F10</f>
        <v>0</v>
      </c>
      <c r="G12" s="42">
        <f>(G9-G8)*G10</f>
        <v>0</v>
      </c>
    </row>
    <row r="13" ht="14.25" outlineLevel="1">
      <c r="A13" s="113" t="s">
        <v>304</v>
      </c>
    </row>
    <row r="14" spans="1:149" ht="47.25" customHeight="1" outlineLevel="1">
      <c r="A14" s="116" t="s">
        <v>238</v>
      </c>
      <c r="B14" s="2140" t="s">
        <v>316</v>
      </c>
      <c r="C14" s="2140"/>
      <c r="D14" s="2140"/>
      <c r="E14" s="2140"/>
      <c r="F14" s="2140"/>
      <c r="G14" s="214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</row>
    <row r="15" spans="1:149" ht="48.75" customHeight="1" outlineLevel="1">
      <c r="A15" s="116" t="s">
        <v>240</v>
      </c>
      <c r="B15" s="2140" t="s">
        <v>1132</v>
      </c>
      <c r="C15" s="2140"/>
      <c r="D15" s="2140"/>
      <c r="E15" s="2140"/>
      <c r="F15" s="2140"/>
      <c r="G15" s="214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</row>
    <row r="16" spans="1:149" ht="14.25" outlineLevel="1">
      <c r="A16" s="116" t="s">
        <v>241</v>
      </c>
      <c r="B16" s="2218" t="s">
        <v>1133</v>
      </c>
      <c r="C16" s="2218"/>
      <c r="D16" s="2218"/>
      <c r="E16" s="2218"/>
      <c r="F16" s="2218"/>
      <c r="G16" s="2218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</row>
    <row r="17" spans="1:149" ht="14.25" outlineLevel="1">
      <c r="A17" s="116" t="s">
        <v>242</v>
      </c>
      <c r="B17" s="2218" t="s">
        <v>1134</v>
      </c>
      <c r="C17" s="2218"/>
      <c r="D17" s="2218"/>
      <c r="E17" s="2218"/>
      <c r="F17" s="2218"/>
      <c r="G17" s="2218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</row>
    <row r="20" ht="14.25">
      <c r="A20" s="1" t="s">
        <v>683</v>
      </c>
    </row>
    <row r="21" spans="1:7" ht="14.25">
      <c r="A21" s="1" t="s">
        <v>684</v>
      </c>
      <c r="B21" s="191"/>
      <c r="C21" s="191"/>
      <c r="D21" s="191"/>
      <c r="E21" s="191"/>
      <c r="F21" s="191"/>
      <c r="G21" s="191"/>
    </row>
  </sheetData>
  <sheetProtection/>
  <mergeCells count="5">
    <mergeCell ref="B17:G17"/>
    <mergeCell ref="A4:G4"/>
    <mergeCell ref="B14:G14"/>
    <mergeCell ref="B15:G15"/>
    <mergeCell ref="B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S24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5" sqref="A5"/>
    </sheetView>
  </sheetViews>
  <sheetFormatPr defaultColWidth="9.140625" defaultRowHeight="15" outlineLevelRow="1"/>
  <cols>
    <col min="1" max="1" width="7.00390625" style="0" customWidth="1"/>
    <col min="2" max="2" width="33.7109375" style="0" customWidth="1"/>
    <col min="3" max="3" width="12.00390625" style="0" customWidth="1"/>
    <col min="4" max="7" width="18.140625" style="0" customWidth="1"/>
  </cols>
  <sheetData>
    <row r="1" spans="1:7" ht="15">
      <c r="A1" s="52" t="s">
        <v>1491</v>
      </c>
      <c r="B1" s="52"/>
      <c r="C1" s="52"/>
      <c r="D1" s="52"/>
      <c r="E1" s="52"/>
      <c r="G1" s="2" t="s">
        <v>116</v>
      </c>
    </row>
    <row r="2" spans="1:6" ht="14.25">
      <c r="A2" s="52" t="s">
        <v>1279</v>
      </c>
      <c r="B2" s="52"/>
      <c r="C2" s="52"/>
      <c r="D2" s="52"/>
      <c r="E2" s="52"/>
      <c r="F2" s="52"/>
    </row>
    <row r="4" spans="1:7" ht="17.25">
      <c r="A4" s="2217" t="s">
        <v>115</v>
      </c>
      <c r="B4" s="2217"/>
      <c r="C4" s="2217"/>
      <c r="D4" s="2217"/>
      <c r="E4" s="2217"/>
      <c r="F4" s="2217"/>
      <c r="G4" s="2217"/>
    </row>
    <row r="5" spans="1:7" ht="14.25">
      <c r="A5" s="179" t="s">
        <v>692</v>
      </c>
      <c r="B5" s="72"/>
      <c r="C5" s="72"/>
      <c r="D5" s="72"/>
      <c r="E5" s="72"/>
      <c r="F5" s="72"/>
      <c r="G5" s="72"/>
    </row>
    <row r="6" spans="1:8" ht="27">
      <c r="A6" s="62" t="s">
        <v>1120</v>
      </c>
      <c r="B6" s="63" t="s">
        <v>1670</v>
      </c>
      <c r="C6" s="63" t="s">
        <v>1169</v>
      </c>
      <c r="D6" s="63" t="s">
        <v>1122</v>
      </c>
      <c r="E6" s="63" t="s">
        <v>1123</v>
      </c>
      <c r="F6" s="63" t="s">
        <v>1124</v>
      </c>
      <c r="G6" s="63" t="s">
        <v>1125</v>
      </c>
      <c r="H6" s="40"/>
    </row>
    <row r="7" spans="1:7" ht="14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35.25" customHeight="1">
      <c r="A8" s="62">
        <v>1</v>
      </c>
      <c r="B8" s="75" t="s">
        <v>117</v>
      </c>
      <c r="C8" s="62"/>
      <c r="D8" s="35"/>
      <c r="E8" s="35"/>
      <c r="F8" s="35"/>
      <c r="G8" s="35"/>
    </row>
    <row r="9" spans="1:7" ht="41.25">
      <c r="A9" s="62">
        <v>2</v>
      </c>
      <c r="B9" s="75" t="s">
        <v>118</v>
      </c>
      <c r="C9" s="62"/>
      <c r="D9" s="35"/>
      <c r="E9" s="35"/>
      <c r="F9" s="35"/>
      <c r="G9" s="35"/>
    </row>
    <row r="10" spans="1:7" ht="41.25">
      <c r="A10" s="62">
        <v>3</v>
      </c>
      <c r="B10" s="75" t="s">
        <v>285</v>
      </c>
      <c r="C10" s="62"/>
      <c r="D10" s="35"/>
      <c r="E10" s="35"/>
      <c r="F10" s="35"/>
      <c r="G10" s="35"/>
    </row>
    <row r="11" spans="1:7" ht="27">
      <c r="A11" s="62">
        <v>4</v>
      </c>
      <c r="B11" s="75" t="s">
        <v>286</v>
      </c>
      <c r="C11" s="62"/>
      <c r="D11" s="35"/>
      <c r="E11" s="35"/>
      <c r="F11" s="35"/>
      <c r="G11" s="35"/>
    </row>
    <row r="12" spans="1:7" ht="41.25">
      <c r="A12" s="62">
        <v>5</v>
      </c>
      <c r="B12" s="75" t="s">
        <v>287</v>
      </c>
      <c r="C12" s="62"/>
      <c r="D12" s="35"/>
      <c r="E12" s="35"/>
      <c r="F12" s="35"/>
      <c r="G12" s="35"/>
    </row>
    <row r="13" spans="1:7" ht="35.25" customHeight="1">
      <c r="A13" s="42">
        <v>6</v>
      </c>
      <c r="B13" s="65" t="s">
        <v>288</v>
      </c>
      <c r="C13" s="35"/>
      <c r="D13" s="42">
        <f>IF(D8&gt;0,(D8/D9*D10-D11),0)</f>
        <v>0</v>
      </c>
      <c r="E13" s="42">
        <f>IF(E8&gt;0,(E8/E9*E10-E11),0)</f>
        <v>0</v>
      </c>
      <c r="F13" s="42">
        <f>IF(F8&gt;0,(F8/F9*F10-F11),0)</f>
        <v>0</v>
      </c>
      <c r="G13" s="42">
        <f>IF(G8&gt;0,(G8/G9*G10-G11),0)</f>
        <v>0</v>
      </c>
    </row>
    <row r="14" ht="14.25" hidden="1" outlineLevel="1">
      <c r="A14" s="113" t="s">
        <v>304</v>
      </c>
    </row>
    <row r="15" spans="1:149" ht="14.25" hidden="1" outlineLevel="1">
      <c r="A15" s="116" t="s">
        <v>238</v>
      </c>
      <c r="B15" s="2218" t="s">
        <v>1135</v>
      </c>
      <c r="C15" s="2218"/>
      <c r="D15" s="2218"/>
      <c r="E15" s="2218"/>
      <c r="F15" s="2218"/>
      <c r="G15" s="2218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</row>
    <row r="16" spans="1:149" ht="43.5" customHeight="1" hidden="1" outlineLevel="1">
      <c r="A16" s="116" t="s">
        <v>240</v>
      </c>
      <c r="B16" s="2140" t="s">
        <v>136</v>
      </c>
      <c r="C16" s="2140"/>
      <c r="D16" s="2140"/>
      <c r="E16" s="2140"/>
      <c r="F16" s="2140"/>
      <c r="G16" s="214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</row>
    <row r="17" spans="1:149" ht="60" customHeight="1" hidden="1" outlineLevel="1">
      <c r="A17" s="116" t="s">
        <v>241</v>
      </c>
      <c r="B17" s="2140" t="s">
        <v>1132</v>
      </c>
      <c r="C17" s="2140"/>
      <c r="D17" s="2140"/>
      <c r="E17" s="2140"/>
      <c r="F17" s="2140"/>
      <c r="G17" s="214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</row>
    <row r="18" spans="1:149" ht="14.25" hidden="1" outlineLevel="1">
      <c r="A18" s="116" t="s">
        <v>242</v>
      </c>
      <c r="B18" s="2218" t="s">
        <v>274</v>
      </c>
      <c r="C18" s="2218"/>
      <c r="D18" s="2218"/>
      <c r="E18" s="2218"/>
      <c r="F18" s="2218"/>
      <c r="G18" s="2218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</row>
    <row r="19" spans="1:149" ht="30.75" customHeight="1" hidden="1" outlineLevel="1">
      <c r="A19" s="116" t="s">
        <v>243</v>
      </c>
      <c r="B19" s="2140" t="s">
        <v>275</v>
      </c>
      <c r="C19" s="2140"/>
      <c r="D19" s="2140"/>
      <c r="E19" s="2140"/>
      <c r="F19" s="2140"/>
      <c r="G19" s="214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</row>
    <row r="20" spans="2:149" ht="14.25" collapsed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</row>
    <row r="22" ht="14.25">
      <c r="A22" s="1" t="s">
        <v>683</v>
      </c>
    </row>
    <row r="23" spans="1:7" ht="14.25">
      <c r="A23" s="1" t="s">
        <v>684</v>
      </c>
      <c r="B23" s="191"/>
      <c r="C23" s="191"/>
      <c r="D23" s="191"/>
      <c r="E23" s="191"/>
      <c r="F23" s="191"/>
      <c r="G23" s="191"/>
    </row>
    <row r="24" ht="14.25">
      <c r="A24" s="1"/>
    </row>
  </sheetData>
  <sheetProtection/>
  <mergeCells count="6">
    <mergeCell ref="B18:G18"/>
    <mergeCell ref="B19:G19"/>
    <mergeCell ref="A4:G4"/>
    <mergeCell ref="B15:G15"/>
    <mergeCell ref="B16:G16"/>
    <mergeCell ref="B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S26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G99" sqref="G99"/>
      <selection pane="topRight" activeCell="G99" sqref="G99"/>
      <selection pane="bottomLeft" activeCell="G99" sqref="G99"/>
      <selection pane="bottomRight" activeCell="A5" sqref="A5"/>
    </sheetView>
  </sheetViews>
  <sheetFormatPr defaultColWidth="9.140625" defaultRowHeight="15" outlineLevelRow="1"/>
  <cols>
    <col min="1" max="1" width="7.00390625" style="0" customWidth="1"/>
    <col min="2" max="2" width="32.140625" style="0" customWidth="1"/>
    <col min="3" max="3" width="12.00390625" style="0" customWidth="1"/>
    <col min="4" max="8" width="19.00390625" style="0" customWidth="1"/>
  </cols>
  <sheetData>
    <row r="1" spans="1:8" ht="15">
      <c r="A1" s="52" t="s">
        <v>1491</v>
      </c>
      <c r="B1" s="52"/>
      <c r="C1" s="52"/>
      <c r="D1" s="52"/>
      <c r="E1" s="52"/>
      <c r="F1" s="2060" t="s">
        <v>289</v>
      </c>
      <c r="G1" s="2060"/>
      <c r="H1" s="2060"/>
    </row>
    <row r="2" spans="1:6" ht="14.25">
      <c r="A2" s="52" t="s">
        <v>1279</v>
      </c>
      <c r="B2" s="52"/>
      <c r="C2" s="52"/>
      <c r="D2" s="52"/>
      <c r="E2" s="52"/>
      <c r="F2" s="52"/>
    </row>
    <row r="4" spans="1:8" ht="57" customHeight="1">
      <c r="A4" s="2219" t="s">
        <v>294</v>
      </c>
      <c r="B4" s="2219"/>
      <c r="C4" s="2219"/>
      <c r="D4" s="2219"/>
      <c r="E4" s="2219"/>
      <c r="F4" s="2219"/>
      <c r="G4" s="2219"/>
      <c r="H4" s="2219"/>
    </row>
    <row r="5" spans="1:7" ht="14.25">
      <c r="A5" s="179" t="s">
        <v>692</v>
      </c>
      <c r="B5" s="72"/>
      <c r="C5" s="72"/>
      <c r="D5" s="72"/>
      <c r="E5" s="72"/>
      <c r="F5" s="72"/>
      <c r="G5" s="72"/>
    </row>
    <row r="6" spans="1:8" ht="27">
      <c r="A6" s="62" t="s">
        <v>1120</v>
      </c>
      <c r="B6" s="63" t="s">
        <v>1121</v>
      </c>
      <c r="C6" s="63" t="s">
        <v>1169</v>
      </c>
      <c r="D6" s="63" t="s">
        <v>1122</v>
      </c>
      <c r="E6" s="63" t="s">
        <v>1123</v>
      </c>
      <c r="F6" s="63" t="s">
        <v>1124</v>
      </c>
      <c r="G6" s="63" t="s">
        <v>1125</v>
      </c>
      <c r="H6" s="63" t="s">
        <v>290</v>
      </c>
    </row>
    <row r="7" spans="1:8" ht="14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62">
        <v>8</v>
      </c>
    </row>
    <row r="8" spans="1:8" ht="35.25" customHeight="1">
      <c r="A8" s="62">
        <v>1</v>
      </c>
      <c r="B8" s="75" t="s">
        <v>291</v>
      </c>
      <c r="C8" s="62" t="s">
        <v>239</v>
      </c>
      <c r="D8" s="42"/>
      <c r="E8" s="42"/>
      <c r="F8" s="42"/>
      <c r="G8" s="42"/>
      <c r="H8" s="101" t="s">
        <v>1218</v>
      </c>
    </row>
    <row r="9" spans="1:8" ht="27">
      <c r="A9" s="62">
        <v>2</v>
      </c>
      <c r="B9" s="75" t="s">
        <v>292</v>
      </c>
      <c r="C9" s="62"/>
      <c r="D9" s="42"/>
      <c r="E9" s="42"/>
      <c r="F9" s="42"/>
      <c r="G9" s="42"/>
      <c r="H9" s="101"/>
    </row>
    <row r="10" spans="1:8" ht="27">
      <c r="A10" s="62">
        <v>3</v>
      </c>
      <c r="B10" s="75" t="s">
        <v>293</v>
      </c>
      <c r="C10" s="62"/>
      <c r="D10" s="42">
        <f>(1+E9)*(1+F9)*(1+G9)*(1+H9)</f>
        <v>1</v>
      </c>
      <c r="E10" s="42">
        <f>(1+F9)*(1+G9)*(1+H9)</f>
        <v>1</v>
      </c>
      <c r="F10" s="42">
        <f>(1+G9)*(1+H9)</f>
        <v>1</v>
      </c>
      <c r="G10" s="42">
        <f>1+H9</f>
        <v>1</v>
      </c>
      <c r="H10" s="101" t="s">
        <v>1218</v>
      </c>
    </row>
    <row r="11" spans="1:8" ht="54.75">
      <c r="A11" s="62">
        <v>4</v>
      </c>
      <c r="B11" s="75" t="s">
        <v>1216</v>
      </c>
      <c r="C11" s="62" t="s">
        <v>239</v>
      </c>
      <c r="D11" s="42">
        <f>D8*D10</f>
        <v>0</v>
      </c>
      <c r="E11" s="42">
        <f>E8*E10</f>
        <v>0</v>
      </c>
      <c r="F11" s="42">
        <f>F8*F10</f>
        <v>0</v>
      </c>
      <c r="G11" s="42">
        <f>G8*G10</f>
        <v>0</v>
      </c>
      <c r="H11" s="101" t="s">
        <v>1218</v>
      </c>
    </row>
    <row r="12" spans="1:8" ht="21.75" customHeight="1">
      <c r="A12" s="133">
        <v>5</v>
      </c>
      <c r="B12" s="134" t="s">
        <v>211</v>
      </c>
      <c r="C12" s="62" t="s">
        <v>239</v>
      </c>
      <c r="D12" s="135" t="s">
        <v>1218</v>
      </c>
      <c r="E12" s="135" t="s">
        <v>1218</v>
      </c>
      <c r="F12" s="135" t="s">
        <v>1218</v>
      </c>
      <c r="G12" s="135" t="s">
        <v>1218</v>
      </c>
      <c r="H12" s="133">
        <f>SUM(D11:G11)</f>
        <v>0</v>
      </c>
    </row>
    <row r="13" ht="14.25" hidden="1" outlineLevel="1">
      <c r="A13" s="113" t="s">
        <v>304</v>
      </c>
    </row>
    <row r="14" spans="1:149" ht="33" customHeight="1" hidden="1" outlineLevel="1">
      <c r="A14" s="116" t="s">
        <v>238</v>
      </c>
      <c r="B14" s="2140" t="s">
        <v>276</v>
      </c>
      <c r="C14" s="2140"/>
      <c r="D14" s="2140"/>
      <c r="E14" s="2140"/>
      <c r="F14" s="2140"/>
      <c r="G14" s="2140"/>
      <c r="H14" s="214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</row>
    <row r="15" spans="1:149" ht="45.75" customHeight="1" hidden="1" outlineLevel="1">
      <c r="A15" s="116" t="s">
        <v>240</v>
      </c>
      <c r="B15" s="2140" t="s">
        <v>277</v>
      </c>
      <c r="C15" s="2140"/>
      <c r="D15" s="2140"/>
      <c r="E15" s="2140"/>
      <c r="F15" s="2140"/>
      <c r="G15" s="2140"/>
      <c r="H15" s="214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</row>
    <row r="16" spans="1:149" ht="32.25" customHeight="1" hidden="1" outlineLevel="1">
      <c r="A16" s="116" t="s">
        <v>241</v>
      </c>
      <c r="B16" s="2140" t="s">
        <v>1159</v>
      </c>
      <c r="C16" s="2140"/>
      <c r="D16" s="2140"/>
      <c r="E16" s="2140"/>
      <c r="F16" s="2140"/>
      <c r="G16" s="2140"/>
      <c r="H16" s="214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</row>
    <row r="17" spans="1:149" ht="14.25" hidden="1" outlineLevel="1">
      <c r="A17" s="116" t="s">
        <v>242</v>
      </c>
      <c r="B17" s="114" t="s">
        <v>1160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</row>
    <row r="18" spans="1:149" ht="14.25" hidden="1" outlineLevel="1">
      <c r="A18" s="116"/>
      <c r="B18" s="114" t="s">
        <v>1161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</row>
    <row r="19" spans="1:149" ht="14.25" hidden="1" outlineLevel="1">
      <c r="A19" s="116"/>
      <c r="B19" s="114" t="s">
        <v>1162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</row>
    <row r="20" spans="1:149" ht="14.25" hidden="1" outlineLevel="1">
      <c r="A20" s="116"/>
      <c r="B20" s="114" t="s">
        <v>1163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</row>
    <row r="21" spans="1:149" ht="14.25" hidden="1" outlineLevel="1">
      <c r="A21" s="116" t="s">
        <v>243</v>
      </c>
      <c r="B21" s="114" t="s">
        <v>1164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</row>
    <row r="22" spans="1:149" ht="14.25" hidden="1" outlineLevel="1">
      <c r="A22" s="116" t="s">
        <v>244</v>
      </c>
      <c r="B22" s="132" t="s">
        <v>188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</row>
    <row r="23" ht="14.25" collapsed="1"/>
    <row r="25" ht="14.25">
      <c r="A25" s="1" t="s">
        <v>683</v>
      </c>
    </row>
    <row r="26" spans="1:8" ht="14.25">
      <c r="A26" s="1" t="s">
        <v>684</v>
      </c>
      <c r="B26" s="84"/>
      <c r="C26" s="84"/>
      <c r="D26" s="84"/>
      <c r="E26" s="84"/>
      <c r="F26" s="84"/>
      <c r="G26" s="84"/>
      <c r="H26" s="84"/>
    </row>
  </sheetData>
  <sheetProtection/>
  <mergeCells count="5">
    <mergeCell ref="F1:H1"/>
    <mergeCell ref="B14:H14"/>
    <mergeCell ref="B15:H15"/>
    <mergeCell ref="B16:H16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W51"/>
  <sheetViews>
    <sheetView view="pageBreakPreview" zoomScaleSheetLayoutView="10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51" sqref="I51"/>
    </sheetView>
  </sheetViews>
  <sheetFormatPr defaultColWidth="9.140625" defaultRowHeight="15" outlineLevelRow="1" outlineLevelCol="1"/>
  <cols>
    <col min="1" max="1" width="3.57421875" style="1" customWidth="1"/>
    <col min="2" max="2" width="27.140625" style="1" customWidth="1"/>
    <col min="3" max="3" width="13.8515625" style="1" customWidth="1"/>
    <col min="4" max="4" width="12.00390625" style="1" customWidth="1"/>
    <col min="5" max="5" width="10.28125" style="1" hidden="1" customWidth="1" outlineLevel="1"/>
    <col min="6" max="6" width="13.7109375" style="1" customWidth="1" collapsed="1"/>
    <col min="7" max="7" width="9.140625" style="1" hidden="1" customWidth="1" outlineLevel="1"/>
    <col min="8" max="8" width="10.00390625" style="1" bestFit="1" customWidth="1" collapsed="1"/>
    <col min="9" max="9" width="9.7109375" style="1" customWidth="1"/>
    <col min="10" max="10" width="10.140625" style="1" bestFit="1" customWidth="1"/>
    <col min="11" max="11" width="15.00390625" style="1" customWidth="1"/>
    <col min="12" max="16384" width="9.140625" style="1" customWidth="1"/>
  </cols>
  <sheetData>
    <row r="1" spans="1:11" ht="15">
      <c r="A1" s="52" t="s">
        <v>1491</v>
      </c>
      <c r="B1" s="52"/>
      <c r="C1" s="52"/>
      <c r="D1" s="52"/>
      <c r="E1" s="52"/>
      <c r="J1" s="52"/>
      <c r="K1" s="2" t="s">
        <v>295</v>
      </c>
    </row>
    <row r="2" spans="1:5" ht="12.75">
      <c r="A2" s="52" t="s">
        <v>1279</v>
      </c>
      <c r="B2" s="52"/>
      <c r="C2" s="52"/>
      <c r="D2" s="52"/>
      <c r="E2" s="52"/>
    </row>
    <row r="4" spans="1:11" ht="16.5">
      <c r="A4" s="2220" t="s">
        <v>296</v>
      </c>
      <c r="B4" s="2220"/>
      <c r="C4" s="2220"/>
      <c r="D4" s="2220"/>
      <c r="E4" s="2220"/>
      <c r="F4" s="2220"/>
      <c r="G4" s="2220"/>
      <c r="H4" s="2220"/>
      <c r="I4" s="2220"/>
      <c r="J4" s="2220"/>
      <c r="K4" s="2220"/>
    </row>
    <row r="6" spans="1:11" ht="123.75">
      <c r="A6" s="155" t="s">
        <v>1662</v>
      </c>
      <c r="B6" s="156" t="s">
        <v>297</v>
      </c>
      <c r="C6" s="155" t="s">
        <v>298</v>
      </c>
      <c r="D6" s="155" t="s">
        <v>299</v>
      </c>
      <c r="E6" s="157" t="s">
        <v>308</v>
      </c>
      <c r="F6" s="158" t="s">
        <v>309</v>
      </c>
      <c r="G6" s="159" t="s">
        <v>765</v>
      </c>
      <c r="H6" s="157" t="s">
        <v>766</v>
      </c>
      <c r="I6" s="158" t="s">
        <v>767</v>
      </c>
      <c r="J6" s="159" t="s">
        <v>768</v>
      </c>
      <c r="K6" s="158" t="s">
        <v>769</v>
      </c>
    </row>
    <row r="7" spans="1:11" ht="15" customHeight="1">
      <c r="A7" s="9">
        <v>1</v>
      </c>
      <c r="B7" s="160">
        <v>2</v>
      </c>
      <c r="C7" s="9">
        <v>3</v>
      </c>
      <c r="D7" s="160">
        <v>4</v>
      </c>
      <c r="E7" s="9">
        <v>5</v>
      </c>
      <c r="F7" s="160">
        <v>6</v>
      </c>
      <c r="G7" s="9">
        <v>7</v>
      </c>
      <c r="H7" s="160">
        <v>8</v>
      </c>
      <c r="I7" s="9">
        <v>9</v>
      </c>
      <c r="J7" s="9">
        <v>10</v>
      </c>
      <c r="K7" s="9">
        <v>11</v>
      </c>
    </row>
    <row r="8" spans="1:11" ht="13.5" customHeight="1">
      <c r="A8" s="2224" t="s">
        <v>1659</v>
      </c>
      <c r="B8" s="2225"/>
      <c r="C8" s="2225"/>
      <c r="D8" s="2225"/>
      <c r="E8" s="2225"/>
      <c r="F8" s="2225"/>
      <c r="G8" s="2225"/>
      <c r="H8" s="2225"/>
      <c r="I8" s="2225"/>
      <c r="J8" s="2225"/>
      <c r="K8" s="2226"/>
    </row>
    <row r="9" spans="1:11" ht="13.5">
      <c r="A9" s="2221" t="s">
        <v>268</v>
      </c>
      <c r="B9" s="2222"/>
      <c r="C9" s="2222"/>
      <c r="D9" s="2222"/>
      <c r="E9" s="2222"/>
      <c r="F9" s="2222"/>
      <c r="G9" s="2222"/>
      <c r="H9" s="2222"/>
      <c r="I9" s="2222"/>
      <c r="J9" s="2222"/>
      <c r="K9" s="2223"/>
    </row>
    <row r="10" spans="1:11" ht="123.75">
      <c r="A10" s="161" t="s">
        <v>1671</v>
      </c>
      <c r="B10" s="162" t="s">
        <v>1175</v>
      </c>
      <c r="C10" s="163"/>
      <c r="D10" s="164"/>
      <c r="E10" s="165"/>
      <c r="F10" s="164"/>
      <c r="G10" s="165"/>
      <c r="H10" s="163"/>
      <c r="I10" s="165">
        <f>IF(G10&gt;0,(C10/D10),0)</f>
        <v>0</v>
      </c>
      <c r="J10" s="165">
        <f>IF(H10&gt;0,(H10/D10),0)</f>
        <v>0</v>
      </c>
      <c r="K10" s="165">
        <f>IF(C10&gt;0,((C10-H10)/(F10*12)),0)</f>
        <v>0</v>
      </c>
    </row>
    <row r="11" spans="1:11" ht="13.5">
      <c r="A11" s="2221" t="s">
        <v>68</v>
      </c>
      <c r="B11" s="2222"/>
      <c r="C11" s="2222"/>
      <c r="D11" s="2222"/>
      <c r="E11" s="2222"/>
      <c r="F11" s="2222"/>
      <c r="G11" s="2222"/>
      <c r="H11" s="2222"/>
      <c r="I11" s="2222"/>
      <c r="J11" s="2222"/>
      <c r="K11" s="2223"/>
    </row>
    <row r="12" spans="1:11" ht="96">
      <c r="A12" s="161" t="s">
        <v>1671</v>
      </c>
      <c r="B12" s="162" t="s">
        <v>280</v>
      </c>
      <c r="C12" s="163"/>
      <c r="D12" s="164"/>
      <c r="E12" s="165"/>
      <c r="F12" s="164"/>
      <c r="G12" s="165"/>
      <c r="H12" s="163"/>
      <c r="I12" s="165">
        <f>IF(G12&gt;0,(C12/D12),0)</f>
        <v>0</v>
      </c>
      <c r="J12" s="165">
        <f>IF(H12&gt;0,(H12/D12),0)</f>
        <v>0</v>
      </c>
      <c r="K12" s="165">
        <f>IF(C12&gt;0,((C12-H12)/(F12*12)),0)</f>
        <v>0</v>
      </c>
    </row>
    <row r="13" spans="1:11" ht="13.5">
      <c r="A13" s="2221" t="s">
        <v>270</v>
      </c>
      <c r="B13" s="2222"/>
      <c r="C13" s="2222"/>
      <c r="D13" s="2222"/>
      <c r="E13" s="2222"/>
      <c r="F13" s="2222"/>
      <c r="G13" s="2222"/>
      <c r="H13" s="2222"/>
      <c r="I13" s="2222"/>
      <c r="J13" s="2222"/>
      <c r="K13" s="2223"/>
    </row>
    <row r="14" spans="1:11" ht="123.75">
      <c r="A14" s="161" t="s">
        <v>1671</v>
      </c>
      <c r="B14" s="162" t="s">
        <v>1175</v>
      </c>
      <c r="C14" s="163"/>
      <c r="D14" s="164"/>
      <c r="E14" s="165"/>
      <c r="F14" s="164"/>
      <c r="G14" s="165"/>
      <c r="H14" s="163"/>
      <c r="I14" s="165">
        <f>IF(G14&gt;0,(C14/D14),0)</f>
        <v>0</v>
      </c>
      <c r="J14" s="165">
        <f>IF(H14&gt;0,(H14/D14),0)</f>
        <v>0</v>
      </c>
      <c r="K14" s="165">
        <f>IF(C14&gt;0,((C14-H14)/(F14*12)),0)</f>
        <v>0</v>
      </c>
    </row>
    <row r="15" spans="1:11" ht="13.5" customHeight="1">
      <c r="A15" s="2178" t="s">
        <v>1661</v>
      </c>
      <c r="B15" s="2179"/>
      <c r="C15" s="2179"/>
      <c r="D15" s="2179"/>
      <c r="E15" s="2179"/>
      <c r="F15" s="2179"/>
      <c r="G15" s="2179"/>
      <c r="H15" s="2179"/>
      <c r="I15" s="2179"/>
      <c r="J15" s="2179"/>
      <c r="K15" s="2180"/>
    </row>
    <row r="16" spans="1:11" ht="13.5">
      <c r="A16" s="2221" t="s">
        <v>906</v>
      </c>
      <c r="B16" s="2222"/>
      <c r="C16" s="2222"/>
      <c r="D16" s="2222"/>
      <c r="E16" s="2222"/>
      <c r="F16" s="2222"/>
      <c r="G16" s="2222"/>
      <c r="H16" s="2222"/>
      <c r="I16" s="2222"/>
      <c r="J16" s="2222"/>
      <c r="K16" s="2223"/>
    </row>
    <row r="17" spans="1:11" ht="123.75">
      <c r="A17" s="161" t="s">
        <v>1671</v>
      </c>
      <c r="B17" s="162" t="s">
        <v>1175</v>
      </c>
      <c r="C17" s="163"/>
      <c r="D17" s="164"/>
      <c r="E17" s="165"/>
      <c r="F17" s="164"/>
      <c r="G17" s="165"/>
      <c r="H17" s="163"/>
      <c r="I17" s="165">
        <f>IF(G17&gt;0,(C17/D17),0)</f>
        <v>0</v>
      </c>
      <c r="J17" s="165">
        <f>IF(H17&gt;0,(H17/D17),0)</f>
        <v>0</v>
      </c>
      <c r="K17" s="165">
        <f>IF(C17&gt;0,((C17-H17)/(F17*12)),0)</f>
        <v>0</v>
      </c>
    </row>
    <row r="18" spans="1:11" ht="13.5">
      <c r="A18" s="161"/>
      <c r="B18" s="166" t="s">
        <v>1176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3.5">
      <c r="A19" s="167"/>
      <c r="B19" s="168" t="s">
        <v>271</v>
      </c>
      <c r="C19" s="163"/>
      <c r="D19" s="164"/>
      <c r="E19" s="165"/>
      <c r="F19" s="164"/>
      <c r="G19" s="165"/>
      <c r="H19" s="163"/>
      <c r="I19" s="165">
        <f>IF(G19&gt;0,(C19/D19),0)</f>
        <v>0</v>
      </c>
      <c r="J19" s="165">
        <f>IF(H19&gt;0,(H19/D19),0)</f>
        <v>0</v>
      </c>
      <c r="K19" s="165">
        <f>IF(C19&gt;0,((C19-H19)/(F19*12)),0)</f>
        <v>0</v>
      </c>
    </row>
    <row r="20" spans="1:11" ht="13.5">
      <c r="A20" s="167"/>
      <c r="B20" s="168" t="s">
        <v>272</v>
      </c>
      <c r="C20" s="163"/>
      <c r="D20" s="164"/>
      <c r="E20" s="165"/>
      <c r="F20" s="164"/>
      <c r="G20" s="165"/>
      <c r="H20" s="163"/>
      <c r="I20" s="165">
        <f>IF(G20&gt;0,(C20/D20),0)</f>
        <v>0</v>
      </c>
      <c r="J20" s="165">
        <f>IF(H20&gt;0,(H20/D20),0)</f>
        <v>0</v>
      </c>
      <c r="K20" s="165">
        <f>IF(C20&gt;0,((C20-H20)/(F20*12)),0)</f>
        <v>0</v>
      </c>
    </row>
    <row r="21" spans="1:11" ht="13.5">
      <c r="A21" s="2221" t="s">
        <v>69</v>
      </c>
      <c r="B21" s="2222"/>
      <c r="C21" s="2222"/>
      <c r="D21" s="2222"/>
      <c r="E21" s="2222"/>
      <c r="F21" s="2222"/>
      <c r="G21" s="2222"/>
      <c r="H21" s="2222"/>
      <c r="I21" s="2222"/>
      <c r="J21" s="2222"/>
      <c r="K21" s="2223"/>
    </row>
    <row r="22" spans="1:11" ht="123.75">
      <c r="A22" s="161" t="s">
        <v>1671</v>
      </c>
      <c r="B22" s="162" t="s">
        <v>1175</v>
      </c>
      <c r="C22" s="163"/>
      <c r="D22" s="164"/>
      <c r="E22" s="165"/>
      <c r="F22" s="164"/>
      <c r="G22" s="165"/>
      <c r="H22" s="163"/>
      <c r="I22" s="165">
        <f>IF(G22&gt;0,(C22/D22),0)</f>
        <v>0</v>
      </c>
      <c r="J22" s="165">
        <f>IF(H22&gt;0,(H22/D22),0)</f>
        <v>0</v>
      </c>
      <c r="K22" s="165">
        <f>IF(C22&gt;0,((C22-H22)/(F22*12)),0)</f>
        <v>0</v>
      </c>
    </row>
    <row r="23" spans="1:11" ht="13.5">
      <c r="A23" s="161"/>
      <c r="B23" s="166" t="s">
        <v>1176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3.5">
      <c r="A24" s="167"/>
      <c r="B24" s="168" t="s">
        <v>271</v>
      </c>
      <c r="C24" s="163"/>
      <c r="D24" s="164"/>
      <c r="E24" s="165"/>
      <c r="F24" s="164"/>
      <c r="G24" s="165"/>
      <c r="H24" s="163"/>
      <c r="I24" s="165">
        <f>IF(G24&gt;0,(C24/D24),0)</f>
        <v>0</v>
      </c>
      <c r="J24" s="165">
        <f>IF(H24&gt;0,(H24/D24),0)</f>
        <v>0</v>
      </c>
      <c r="K24" s="165">
        <f>IF(C24&gt;0,((C24-H24)/(F24*12)),0)</f>
        <v>0</v>
      </c>
    </row>
    <row r="25" spans="1:11" ht="13.5">
      <c r="A25" s="167"/>
      <c r="B25" s="168" t="s">
        <v>272</v>
      </c>
      <c r="C25" s="163"/>
      <c r="D25" s="164"/>
      <c r="E25" s="165"/>
      <c r="F25" s="164"/>
      <c r="G25" s="165"/>
      <c r="H25" s="163"/>
      <c r="I25" s="165">
        <f>IF(G25&gt;0,(C25/D25),0)</f>
        <v>0</v>
      </c>
      <c r="J25" s="165">
        <f>IF(H25&gt;0,(H25/D25),0)</f>
        <v>0</v>
      </c>
      <c r="K25" s="165">
        <f>IF(C25&gt;0,((C25-H25)/(F25*12)),0)</f>
        <v>0</v>
      </c>
    </row>
    <row r="26" spans="1:11" ht="13.5" hidden="1" outlineLevel="1">
      <c r="A26" s="113" t="s">
        <v>304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53" ht="29.25" customHeight="1" hidden="1" outlineLevel="1">
      <c r="A27" s="116" t="s">
        <v>238</v>
      </c>
      <c r="B27" s="2140" t="s">
        <v>1177</v>
      </c>
      <c r="C27" s="2140"/>
      <c r="D27" s="2140"/>
      <c r="E27" s="2140"/>
      <c r="F27" s="2140"/>
      <c r="G27" s="2140"/>
      <c r="H27" s="2140"/>
      <c r="I27" s="2140"/>
      <c r="J27" s="2140"/>
      <c r="K27" s="2140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</row>
    <row r="28" spans="1:153" ht="13.5" hidden="1" outlineLevel="1">
      <c r="A28" s="116" t="s">
        <v>240</v>
      </c>
      <c r="B28" s="114" t="s">
        <v>1178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</row>
    <row r="29" spans="1:153" ht="13.5" hidden="1" outlineLevel="1">
      <c r="A29" s="116"/>
      <c r="B29" s="114" t="s">
        <v>192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</row>
    <row r="30" spans="1:153" ht="13.5" hidden="1" outlineLevel="1">
      <c r="A30" s="116"/>
      <c r="B30" s="114" t="s">
        <v>193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</row>
    <row r="31" spans="1:153" ht="13.5" hidden="1" outlineLevel="1">
      <c r="A31" s="116" t="s">
        <v>241</v>
      </c>
      <c r="B31" s="114" t="s">
        <v>194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</row>
    <row r="32" spans="1:153" ht="13.5" hidden="1" outlineLevel="1">
      <c r="A32" s="116"/>
      <c r="B32" s="114" t="s">
        <v>195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</row>
    <row r="33" spans="1:153" ht="13.5" hidden="1" outlineLevel="1">
      <c r="A33" s="116"/>
      <c r="B33" s="114" t="s">
        <v>196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</row>
    <row r="34" spans="1:153" ht="13.5" hidden="1" outlineLevel="1">
      <c r="A34" s="116" t="s">
        <v>242</v>
      </c>
      <c r="B34" s="114" t="s">
        <v>197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</row>
    <row r="35" spans="1:153" ht="13.5" hidden="1" outlineLevel="1">
      <c r="A35" s="116" t="s">
        <v>243</v>
      </c>
      <c r="B35" s="114" t="s">
        <v>198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</row>
    <row r="36" spans="1:153" ht="53.25" customHeight="1" hidden="1" outlineLevel="1">
      <c r="A36" s="116" t="s">
        <v>244</v>
      </c>
      <c r="B36" s="2140" t="s">
        <v>199</v>
      </c>
      <c r="C36" s="2140"/>
      <c r="D36" s="2140"/>
      <c r="E36" s="2140"/>
      <c r="F36" s="2140"/>
      <c r="G36" s="2140"/>
      <c r="H36" s="2140"/>
      <c r="I36" s="2140"/>
      <c r="J36" s="2140"/>
      <c r="K36" s="2140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</row>
    <row r="37" spans="1:153" ht="27.75" customHeight="1" hidden="1" outlineLevel="1">
      <c r="A37" s="116" t="s">
        <v>245</v>
      </c>
      <c r="B37" s="2140" t="s">
        <v>200</v>
      </c>
      <c r="C37" s="2140"/>
      <c r="D37" s="2140"/>
      <c r="E37" s="2140"/>
      <c r="F37" s="2140"/>
      <c r="G37" s="2140"/>
      <c r="H37" s="2140"/>
      <c r="I37" s="2140"/>
      <c r="J37" s="2140"/>
      <c r="K37" s="2140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</row>
    <row r="38" spans="1:153" ht="29.25" customHeight="1" hidden="1" outlineLevel="1">
      <c r="A38" s="116"/>
      <c r="B38" s="2140" t="s">
        <v>1698</v>
      </c>
      <c r="C38" s="2140"/>
      <c r="D38" s="2140"/>
      <c r="E38" s="2140"/>
      <c r="F38" s="2140"/>
      <c r="G38" s="2140"/>
      <c r="H38" s="2140"/>
      <c r="I38" s="2140"/>
      <c r="J38" s="2140"/>
      <c r="K38" s="2140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</row>
    <row r="39" spans="1:153" ht="27.75" customHeight="1" hidden="1" outlineLevel="1">
      <c r="A39" s="116"/>
      <c r="B39" s="2140" t="s">
        <v>1699</v>
      </c>
      <c r="C39" s="2140"/>
      <c r="D39" s="2140"/>
      <c r="E39" s="2140"/>
      <c r="F39" s="2140"/>
      <c r="G39" s="2140"/>
      <c r="H39" s="2140"/>
      <c r="I39" s="2140"/>
      <c r="J39" s="2140"/>
      <c r="K39" s="2140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</row>
    <row r="40" spans="1:11" ht="13.5" collapsed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3.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3.5">
      <c r="A42" s="2227" t="s">
        <v>1244</v>
      </c>
      <c r="B42" s="2227"/>
      <c r="C42" s="2227"/>
      <c r="D42" s="2227"/>
      <c r="E42" s="2227"/>
      <c r="F42" s="2227"/>
      <c r="G42" s="2227"/>
      <c r="H42" s="2227"/>
      <c r="I42" s="2227"/>
      <c r="J42" s="2227"/>
      <c r="K42" s="2227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14">
    <mergeCell ref="A42:K42"/>
    <mergeCell ref="B27:K27"/>
    <mergeCell ref="B36:K36"/>
    <mergeCell ref="B37:K37"/>
    <mergeCell ref="B38:K38"/>
    <mergeCell ref="B39:K39"/>
    <mergeCell ref="A4:K4"/>
    <mergeCell ref="A15:K15"/>
    <mergeCell ref="A21:K21"/>
    <mergeCell ref="A8:K8"/>
    <mergeCell ref="A9:K9"/>
    <mergeCell ref="A11:K11"/>
    <mergeCell ref="A13:K13"/>
    <mergeCell ref="A16:K16"/>
  </mergeCells>
  <printOptions/>
  <pageMargins left="0.7086614173228347" right="0.7086614173228347" top="0.46" bottom="0.43" header="0.31496062992125984" footer="0.31496062992125984"/>
  <pageSetup fitToHeight="3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V41"/>
  <sheetViews>
    <sheetView view="pageBreakPreview" zoomScaleSheetLayoutView="100" zoomScalePageLayoutView="0" workbookViewId="0" topLeftCell="A1">
      <pane xSplit="3" ySplit="10" topLeftCell="D2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" sqref="A4"/>
    </sheetView>
  </sheetViews>
  <sheetFormatPr defaultColWidth="9.140625" defaultRowHeight="15" outlineLevelRow="1" outlineLevelCol="1"/>
  <cols>
    <col min="1" max="1" width="6.140625" style="7" customWidth="1"/>
    <col min="2" max="2" width="30.00390625" style="7" customWidth="1"/>
    <col min="3" max="3" width="10.7109375" style="7" customWidth="1"/>
    <col min="4" max="6" width="12.00390625" style="7" customWidth="1"/>
    <col min="7" max="9" width="10.8515625" style="7" customWidth="1"/>
    <col min="10" max="12" width="11.140625" style="7" customWidth="1" outlineLevel="1"/>
    <col min="13" max="13" width="12.28125" style="7" customWidth="1"/>
    <col min="14" max="14" width="13.140625" style="7" customWidth="1"/>
    <col min="15" max="15" width="13.8515625" style="7" customWidth="1"/>
    <col min="16" max="17" width="11.140625" style="7" customWidth="1"/>
    <col min="18" max="18" width="9.140625" style="7" customWidth="1"/>
    <col min="19" max="20" width="10.8515625" style="7" customWidth="1" outlineLevel="1"/>
    <col min="21" max="21" width="9.140625" style="7" customWidth="1" outlineLevel="1"/>
    <col min="22" max="16384" width="9.140625" style="7" customWidth="1"/>
  </cols>
  <sheetData>
    <row r="1" spans="1:18" ht="15">
      <c r="A1" s="52" t="s">
        <v>1491</v>
      </c>
      <c r="B1" s="52"/>
      <c r="C1" s="52"/>
      <c r="D1" s="52"/>
      <c r="E1" s="52"/>
      <c r="F1" s="52"/>
      <c r="R1" s="8" t="s">
        <v>282</v>
      </c>
    </row>
    <row r="2" spans="1:17" ht="13.5">
      <c r="A2" s="52" t="s">
        <v>1279</v>
      </c>
      <c r="B2" s="52"/>
      <c r="C2" s="52"/>
      <c r="D2" s="52"/>
      <c r="E2" s="52"/>
      <c r="F2" s="52"/>
      <c r="Q2" s="12"/>
    </row>
    <row r="4" spans="1:21" ht="16.5">
      <c r="A4" s="33" t="s">
        <v>1320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6" spans="1:21" ht="13.5">
      <c r="A6" s="2069" t="s">
        <v>1662</v>
      </c>
      <c r="B6" s="2229" t="s">
        <v>1670</v>
      </c>
      <c r="C6" s="2069" t="s">
        <v>431</v>
      </c>
      <c r="D6" s="2089" t="s">
        <v>248</v>
      </c>
      <c r="E6" s="2087"/>
      <c r="F6" s="2087"/>
      <c r="G6" s="2087"/>
      <c r="H6" s="2087"/>
      <c r="I6" s="2087"/>
      <c r="J6" s="2087"/>
      <c r="K6" s="2087"/>
      <c r="L6" s="2088"/>
      <c r="M6" s="2232" t="s">
        <v>249</v>
      </c>
      <c r="N6" s="2232"/>
      <c r="O6" s="2232"/>
      <c r="P6" s="2232"/>
      <c r="Q6" s="2232"/>
      <c r="R6" s="2232"/>
      <c r="S6" s="2232"/>
      <c r="T6" s="2232"/>
      <c r="U6" s="2232"/>
    </row>
    <row r="7" spans="1:21" ht="13.5">
      <c r="A7" s="2070"/>
      <c r="B7" s="2230"/>
      <c r="C7" s="2070"/>
      <c r="D7" s="2214" t="s">
        <v>1659</v>
      </c>
      <c r="E7" s="2215"/>
      <c r="F7" s="2216"/>
      <c r="G7" s="2214" t="s">
        <v>1661</v>
      </c>
      <c r="H7" s="2215"/>
      <c r="I7" s="2215"/>
      <c r="J7" s="2215"/>
      <c r="K7" s="2215"/>
      <c r="L7" s="2216"/>
      <c r="M7" s="2228" t="s">
        <v>1659</v>
      </c>
      <c r="N7" s="2228"/>
      <c r="O7" s="2228"/>
      <c r="P7" s="2228" t="s">
        <v>1661</v>
      </c>
      <c r="Q7" s="2228"/>
      <c r="R7" s="2228"/>
      <c r="S7" s="2228"/>
      <c r="T7" s="2228"/>
      <c r="U7" s="2228"/>
    </row>
    <row r="8" spans="1:21" ht="13.5">
      <c r="A8" s="2070"/>
      <c r="B8" s="2230"/>
      <c r="C8" s="2070"/>
      <c r="D8" s="2069" t="s">
        <v>1165</v>
      </c>
      <c r="E8" s="2069" t="s">
        <v>283</v>
      </c>
      <c r="F8" s="2069" t="s">
        <v>284</v>
      </c>
      <c r="G8" s="2085" t="s">
        <v>907</v>
      </c>
      <c r="H8" s="2086"/>
      <c r="I8" s="2086"/>
      <c r="J8" s="2085" t="s">
        <v>944</v>
      </c>
      <c r="K8" s="2086"/>
      <c r="L8" s="2074"/>
      <c r="M8" s="2057" t="s">
        <v>1165</v>
      </c>
      <c r="N8" s="2057" t="s">
        <v>283</v>
      </c>
      <c r="O8" s="2057" t="s">
        <v>284</v>
      </c>
      <c r="P8" s="2057" t="s">
        <v>907</v>
      </c>
      <c r="Q8" s="2057"/>
      <c r="R8" s="2057"/>
      <c r="S8" s="2057" t="s">
        <v>944</v>
      </c>
      <c r="T8" s="2057"/>
      <c r="U8" s="2057"/>
    </row>
    <row r="9" spans="1:21" ht="33" customHeight="1">
      <c r="A9" s="2048"/>
      <c r="B9" s="2231"/>
      <c r="C9" s="2048"/>
      <c r="D9" s="2048"/>
      <c r="E9" s="2048"/>
      <c r="F9" s="2048"/>
      <c r="G9" s="22" t="s">
        <v>271</v>
      </c>
      <c r="H9" s="22" t="s">
        <v>272</v>
      </c>
      <c r="I9" s="50" t="s">
        <v>421</v>
      </c>
      <c r="J9" s="22" t="s">
        <v>271</v>
      </c>
      <c r="K9" s="22" t="s">
        <v>272</v>
      </c>
      <c r="L9" s="50" t="s">
        <v>421</v>
      </c>
      <c r="M9" s="2057"/>
      <c r="N9" s="2057"/>
      <c r="O9" s="2057"/>
      <c r="P9" s="22" t="s">
        <v>271</v>
      </c>
      <c r="Q9" s="22" t="s">
        <v>272</v>
      </c>
      <c r="R9" s="22" t="s">
        <v>421</v>
      </c>
      <c r="S9" s="22" t="s">
        <v>271</v>
      </c>
      <c r="T9" s="22" t="s">
        <v>272</v>
      </c>
      <c r="U9" s="22" t="s">
        <v>421</v>
      </c>
    </row>
    <row r="10" spans="1:21" ht="13.5">
      <c r="A10" s="4">
        <v>1</v>
      </c>
      <c r="B10" s="5">
        <v>2</v>
      </c>
      <c r="C10" s="4">
        <v>3</v>
      </c>
      <c r="D10" s="4">
        <v>4</v>
      </c>
      <c r="E10" s="5">
        <v>5</v>
      </c>
      <c r="F10" s="4">
        <v>6</v>
      </c>
      <c r="G10" s="4">
        <v>7</v>
      </c>
      <c r="H10" s="5">
        <v>8</v>
      </c>
      <c r="I10" s="4">
        <v>9</v>
      </c>
      <c r="J10" s="4">
        <v>10</v>
      </c>
      <c r="K10" s="5">
        <v>11</v>
      </c>
      <c r="L10" s="4">
        <v>12</v>
      </c>
      <c r="M10" s="4">
        <v>13</v>
      </c>
      <c r="N10" s="5">
        <v>14</v>
      </c>
      <c r="O10" s="4">
        <v>15</v>
      </c>
      <c r="P10" s="4">
        <v>16</v>
      </c>
      <c r="Q10" s="5">
        <v>17</v>
      </c>
      <c r="R10" s="4">
        <v>18</v>
      </c>
      <c r="S10" s="4">
        <v>19</v>
      </c>
      <c r="T10" s="5">
        <v>20</v>
      </c>
      <c r="U10" s="4">
        <v>21</v>
      </c>
    </row>
    <row r="11" spans="1:21" ht="43.5" customHeight="1">
      <c r="A11" s="47" t="s">
        <v>1671</v>
      </c>
      <c r="B11" s="26" t="s">
        <v>1166</v>
      </c>
      <c r="C11" s="29" t="s">
        <v>1675</v>
      </c>
      <c r="D11" s="4"/>
      <c r="E11" s="4"/>
      <c r="F11" s="4"/>
      <c r="G11" s="4"/>
      <c r="H11" s="4"/>
      <c r="I11" s="4">
        <f>G11+H11</f>
        <v>0</v>
      </c>
      <c r="J11" s="4"/>
      <c r="K11" s="4"/>
      <c r="L11" s="4">
        <f>J11+K11</f>
        <v>0</v>
      </c>
      <c r="M11" s="4"/>
      <c r="N11" s="4"/>
      <c r="O11" s="4"/>
      <c r="P11" s="4"/>
      <c r="Q11" s="4"/>
      <c r="R11" s="9">
        <f>P11+Q11</f>
        <v>0</v>
      </c>
      <c r="S11" s="103"/>
      <c r="T11" s="103"/>
      <c r="U11" s="9">
        <f>S11+T11</f>
        <v>0</v>
      </c>
    </row>
    <row r="12" spans="1:21" ht="92.25">
      <c r="A12" s="30" t="s">
        <v>1663</v>
      </c>
      <c r="B12" s="6" t="s">
        <v>764</v>
      </c>
      <c r="C12" s="29" t="s">
        <v>1675</v>
      </c>
      <c r="D12" s="4"/>
      <c r="E12" s="4"/>
      <c r="F12" s="4"/>
      <c r="G12" s="4"/>
      <c r="H12" s="4"/>
      <c r="I12" s="4">
        <f>G12+H12</f>
        <v>0</v>
      </c>
      <c r="J12" s="4"/>
      <c r="K12" s="4"/>
      <c r="L12" s="4">
        <f>J12+K12</f>
        <v>0</v>
      </c>
      <c r="M12" s="4"/>
      <c r="N12" s="4"/>
      <c r="O12" s="4"/>
      <c r="P12" s="4"/>
      <c r="Q12" s="4"/>
      <c r="R12" s="9">
        <f>P12+Q12</f>
        <v>0</v>
      </c>
      <c r="S12" s="103"/>
      <c r="T12" s="103"/>
      <c r="U12" s="9">
        <f>S12+T12</f>
        <v>0</v>
      </c>
    </row>
    <row r="13" spans="1:21" ht="47.25" customHeight="1">
      <c r="A13" s="47" t="s">
        <v>1664</v>
      </c>
      <c r="B13" s="89" t="s">
        <v>776</v>
      </c>
      <c r="C13" s="29" t="s">
        <v>222</v>
      </c>
      <c r="D13" s="4"/>
      <c r="E13" s="4"/>
      <c r="F13" s="4"/>
      <c r="G13" s="4"/>
      <c r="H13" s="4"/>
      <c r="I13" s="4">
        <f>G13+H13</f>
        <v>0</v>
      </c>
      <c r="J13" s="4"/>
      <c r="K13" s="4"/>
      <c r="L13" s="4">
        <f>J13+K13</f>
        <v>0</v>
      </c>
      <c r="M13" s="4"/>
      <c r="N13" s="4"/>
      <c r="O13" s="4"/>
      <c r="P13" s="4"/>
      <c r="Q13" s="4"/>
      <c r="R13" s="9">
        <f>P13+Q13</f>
        <v>0</v>
      </c>
      <c r="S13" s="103"/>
      <c r="T13" s="103"/>
      <c r="U13" s="9">
        <f>S13+T13</f>
        <v>0</v>
      </c>
    </row>
    <row r="14" spans="1:21" ht="118.5">
      <c r="A14" s="30" t="s">
        <v>1665</v>
      </c>
      <c r="B14" s="6" t="s">
        <v>794</v>
      </c>
      <c r="C14" s="29" t="s">
        <v>222</v>
      </c>
      <c r="D14" s="4"/>
      <c r="E14" s="4"/>
      <c r="F14" s="4"/>
      <c r="G14" s="4"/>
      <c r="H14" s="4"/>
      <c r="I14" s="4">
        <f>G14+H14</f>
        <v>0</v>
      </c>
      <c r="J14" s="4"/>
      <c r="K14" s="4"/>
      <c r="L14" s="4">
        <f>J14+K14</f>
        <v>0</v>
      </c>
      <c r="M14" s="4"/>
      <c r="N14" s="4"/>
      <c r="O14" s="4"/>
      <c r="P14" s="4"/>
      <c r="Q14" s="4"/>
      <c r="R14" s="9">
        <f>P14+Q14</f>
        <v>0</v>
      </c>
      <c r="S14" s="103"/>
      <c r="T14" s="103"/>
      <c r="U14" s="9">
        <f>S14+T14</f>
        <v>0</v>
      </c>
    </row>
    <row r="15" spans="1:21" ht="39">
      <c r="A15" s="47" t="s">
        <v>1666</v>
      </c>
      <c r="B15" s="89" t="s">
        <v>795</v>
      </c>
      <c r="C15" s="29" t="s">
        <v>432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03"/>
      <c r="S15" s="103"/>
      <c r="T15" s="103"/>
      <c r="U15" s="103"/>
    </row>
    <row r="16" spans="1:21" ht="105">
      <c r="A16" s="30" t="s">
        <v>1668</v>
      </c>
      <c r="B16" s="24" t="s">
        <v>801</v>
      </c>
      <c r="C16" s="29" t="s">
        <v>432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03"/>
      <c r="S16" s="103"/>
      <c r="T16" s="103"/>
      <c r="U16" s="103"/>
    </row>
    <row r="17" spans="1:21" ht="78.75">
      <c r="A17" s="47" t="s">
        <v>1672</v>
      </c>
      <c r="B17" s="26" t="s">
        <v>802</v>
      </c>
      <c r="C17" s="2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03"/>
      <c r="S17" s="103"/>
      <c r="T17" s="103"/>
      <c r="U17" s="103"/>
    </row>
    <row r="18" spans="1:21" ht="26.25">
      <c r="A18" s="30" t="s">
        <v>203</v>
      </c>
      <c r="B18" s="6" t="s">
        <v>803</v>
      </c>
      <c r="C18" s="29" t="s">
        <v>217</v>
      </c>
      <c r="D18" s="4" t="e">
        <f>D11/D13</f>
        <v>#DIV/0!</v>
      </c>
      <c r="E18" s="4" t="e">
        <f aca="true" t="shared" si="0" ref="E18:U18">E11/E13</f>
        <v>#DIV/0!</v>
      </c>
      <c r="F18" s="4" t="e">
        <f t="shared" si="0"/>
        <v>#DIV/0!</v>
      </c>
      <c r="G18" s="4" t="e">
        <f t="shared" si="0"/>
        <v>#DIV/0!</v>
      </c>
      <c r="H18" s="4" t="e">
        <f t="shared" si="0"/>
        <v>#DIV/0!</v>
      </c>
      <c r="I18" s="4" t="e">
        <f>I11/I13</f>
        <v>#DIV/0!</v>
      </c>
      <c r="J18" s="4" t="e">
        <f t="shared" si="0"/>
        <v>#DIV/0!</v>
      </c>
      <c r="K18" s="4" t="e">
        <f t="shared" si="0"/>
        <v>#DIV/0!</v>
      </c>
      <c r="L18" s="4" t="e">
        <f t="shared" si="0"/>
        <v>#DIV/0!</v>
      </c>
      <c r="M18" s="4" t="e">
        <f t="shared" si="0"/>
        <v>#DIV/0!</v>
      </c>
      <c r="N18" s="4" t="e">
        <f t="shared" si="0"/>
        <v>#DIV/0!</v>
      </c>
      <c r="O18" s="4" t="e">
        <f t="shared" si="0"/>
        <v>#DIV/0!</v>
      </c>
      <c r="P18" s="4" t="e">
        <f t="shared" si="0"/>
        <v>#DIV/0!</v>
      </c>
      <c r="Q18" s="4" t="e">
        <f t="shared" si="0"/>
        <v>#DIV/0!</v>
      </c>
      <c r="R18" s="4" t="e">
        <f t="shared" si="0"/>
        <v>#DIV/0!</v>
      </c>
      <c r="S18" s="4" t="e">
        <f t="shared" si="0"/>
        <v>#DIV/0!</v>
      </c>
      <c r="T18" s="4" t="e">
        <f t="shared" si="0"/>
        <v>#DIV/0!</v>
      </c>
      <c r="U18" s="4" t="e">
        <f t="shared" si="0"/>
        <v>#DIV/0!</v>
      </c>
    </row>
    <row r="19" spans="1:21" ht="26.25">
      <c r="A19" s="30" t="s">
        <v>205</v>
      </c>
      <c r="B19" s="6" t="s">
        <v>804</v>
      </c>
      <c r="C19" s="2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03"/>
      <c r="S19" s="103"/>
      <c r="T19" s="103"/>
      <c r="U19" s="103"/>
    </row>
    <row r="20" spans="1:21" ht="13.5">
      <c r="A20" s="30"/>
      <c r="B20" s="76" t="s">
        <v>805</v>
      </c>
      <c r="C20" s="29" t="s">
        <v>217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03"/>
      <c r="S20" s="103"/>
      <c r="T20" s="103"/>
      <c r="U20" s="103"/>
    </row>
    <row r="21" spans="1:21" ht="27.75" customHeight="1">
      <c r="A21" s="30"/>
      <c r="B21" s="76" t="s">
        <v>806</v>
      </c>
      <c r="C21" s="22" t="s">
        <v>1304</v>
      </c>
      <c r="D21" s="41" t="e">
        <f>D11/D15/12</f>
        <v>#DIV/0!</v>
      </c>
      <c r="E21" s="41" t="e">
        <f aca="true" t="shared" si="1" ref="E21:U21">E11/E15/12</f>
        <v>#DIV/0!</v>
      </c>
      <c r="F21" s="41" t="e">
        <f t="shared" si="1"/>
        <v>#DIV/0!</v>
      </c>
      <c r="G21" s="41" t="e">
        <f t="shared" si="1"/>
        <v>#DIV/0!</v>
      </c>
      <c r="H21" s="41" t="e">
        <f t="shared" si="1"/>
        <v>#DIV/0!</v>
      </c>
      <c r="I21" s="41" t="e">
        <f t="shared" si="1"/>
        <v>#DIV/0!</v>
      </c>
      <c r="J21" s="41" t="e">
        <f t="shared" si="1"/>
        <v>#DIV/0!</v>
      </c>
      <c r="K21" s="41" t="e">
        <f t="shared" si="1"/>
        <v>#DIV/0!</v>
      </c>
      <c r="L21" s="41" t="e">
        <f t="shared" si="1"/>
        <v>#DIV/0!</v>
      </c>
      <c r="M21" s="41" t="e">
        <f t="shared" si="1"/>
        <v>#DIV/0!</v>
      </c>
      <c r="N21" s="41" t="e">
        <f t="shared" si="1"/>
        <v>#DIV/0!</v>
      </c>
      <c r="O21" s="41" t="e">
        <f t="shared" si="1"/>
        <v>#DIV/0!</v>
      </c>
      <c r="P21" s="41" t="e">
        <f t="shared" si="1"/>
        <v>#DIV/0!</v>
      </c>
      <c r="Q21" s="41" t="e">
        <f t="shared" si="1"/>
        <v>#DIV/0!</v>
      </c>
      <c r="R21" s="41" t="e">
        <f t="shared" si="1"/>
        <v>#DIV/0!</v>
      </c>
      <c r="S21" s="41" t="e">
        <f t="shared" si="1"/>
        <v>#DIV/0!</v>
      </c>
      <c r="T21" s="41" t="e">
        <f t="shared" si="1"/>
        <v>#DIV/0!</v>
      </c>
      <c r="U21" s="41" t="e">
        <f t="shared" si="1"/>
        <v>#DIV/0!</v>
      </c>
    </row>
    <row r="22" spans="1:21" ht="66">
      <c r="A22" s="47" t="s">
        <v>1673</v>
      </c>
      <c r="B22" s="26" t="s">
        <v>1305</v>
      </c>
      <c r="C22" s="102"/>
      <c r="D22" s="104"/>
      <c r="E22" s="4"/>
      <c r="F22" s="4"/>
      <c r="G22" s="38"/>
      <c r="H22" s="38"/>
      <c r="I22" s="38"/>
      <c r="J22" s="38"/>
      <c r="K22" s="38"/>
      <c r="L22" s="38"/>
      <c r="M22" s="38"/>
      <c r="N22" s="4"/>
      <c r="O22" s="4"/>
      <c r="P22" s="38"/>
      <c r="Q22" s="38"/>
      <c r="R22" s="103"/>
      <c r="S22" s="103"/>
      <c r="T22" s="103"/>
      <c r="U22" s="103"/>
    </row>
    <row r="23" spans="1:21" ht="66">
      <c r="A23" s="30" t="s">
        <v>428</v>
      </c>
      <c r="B23" s="21" t="s">
        <v>1306</v>
      </c>
      <c r="C23" s="102"/>
      <c r="D23" s="104"/>
      <c r="E23" s="4"/>
      <c r="F23" s="4"/>
      <c r="G23" s="38"/>
      <c r="H23" s="38"/>
      <c r="I23" s="38"/>
      <c r="J23" s="38"/>
      <c r="K23" s="38"/>
      <c r="L23" s="38"/>
      <c r="M23" s="38"/>
      <c r="N23" s="4"/>
      <c r="O23" s="4"/>
      <c r="P23" s="38"/>
      <c r="Q23" s="38"/>
      <c r="R23" s="103"/>
      <c r="S23" s="103"/>
      <c r="T23" s="103"/>
      <c r="U23" s="103"/>
    </row>
    <row r="24" spans="1:21" ht="26.25">
      <c r="A24" s="30" t="s">
        <v>1307</v>
      </c>
      <c r="B24" s="6" t="s">
        <v>803</v>
      </c>
      <c r="C24" s="29" t="s">
        <v>217</v>
      </c>
      <c r="D24" s="41" t="e">
        <f>(D11-D12)/D13</f>
        <v>#DIV/0!</v>
      </c>
      <c r="E24" s="41" t="e">
        <f aca="true" t="shared" si="2" ref="E24:U24">(E11-E12)/E13</f>
        <v>#DIV/0!</v>
      </c>
      <c r="F24" s="41" t="e">
        <f t="shared" si="2"/>
        <v>#DIV/0!</v>
      </c>
      <c r="G24" s="41" t="e">
        <f t="shared" si="2"/>
        <v>#DIV/0!</v>
      </c>
      <c r="H24" s="41" t="e">
        <f t="shared" si="2"/>
        <v>#DIV/0!</v>
      </c>
      <c r="I24" s="41" t="e">
        <f t="shared" si="2"/>
        <v>#DIV/0!</v>
      </c>
      <c r="J24" s="41" t="e">
        <f t="shared" si="2"/>
        <v>#DIV/0!</v>
      </c>
      <c r="K24" s="41" t="e">
        <f t="shared" si="2"/>
        <v>#DIV/0!</v>
      </c>
      <c r="L24" s="41" t="e">
        <f t="shared" si="2"/>
        <v>#DIV/0!</v>
      </c>
      <c r="M24" s="41" t="e">
        <f t="shared" si="2"/>
        <v>#DIV/0!</v>
      </c>
      <c r="N24" s="41" t="e">
        <f t="shared" si="2"/>
        <v>#DIV/0!</v>
      </c>
      <c r="O24" s="41" t="e">
        <f t="shared" si="2"/>
        <v>#DIV/0!</v>
      </c>
      <c r="P24" s="41" t="e">
        <f t="shared" si="2"/>
        <v>#DIV/0!</v>
      </c>
      <c r="Q24" s="41" t="e">
        <f t="shared" si="2"/>
        <v>#DIV/0!</v>
      </c>
      <c r="R24" s="41" t="e">
        <f t="shared" si="2"/>
        <v>#DIV/0!</v>
      </c>
      <c r="S24" s="41" t="e">
        <f t="shared" si="2"/>
        <v>#DIV/0!</v>
      </c>
      <c r="T24" s="41" t="e">
        <f t="shared" si="2"/>
        <v>#DIV/0!</v>
      </c>
      <c r="U24" s="41" t="e">
        <f t="shared" si="2"/>
        <v>#DIV/0!</v>
      </c>
    </row>
    <row r="25" spans="1:21" ht="26.25">
      <c r="A25" s="30" t="s">
        <v>1308</v>
      </c>
      <c r="B25" s="6" t="s">
        <v>804</v>
      </c>
      <c r="C25" s="29"/>
      <c r="D25" s="104"/>
      <c r="E25" s="4"/>
      <c r="F25" s="4"/>
      <c r="G25" s="38"/>
      <c r="H25" s="38"/>
      <c r="I25" s="38"/>
      <c r="J25" s="38"/>
      <c r="K25" s="38"/>
      <c r="L25" s="38"/>
      <c r="M25" s="38"/>
      <c r="N25" s="4"/>
      <c r="O25" s="4"/>
      <c r="P25" s="38"/>
      <c r="Q25" s="38"/>
      <c r="R25" s="103"/>
      <c r="S25" s="103"/>
      <c r="T25" s="103"/>
      <c r="U25" s="103"/>
    </row>
    <row r="26" spans="1:21" ht="13.5">
      <c r="A26" s="30"/>
      <c r="B26" s="76" t="s">
        <v>805</v>
      </c>
      <c r="C26" s="29" t="s">
        <v>217</v>
      </c>
      <c r="D26" s="104"/>
      <c r="E26" s="4"/>
      <c r="F26" s="4"/>
      <c r="G26" s="38"/>
      <c r="H26" s="38"/>
      <c r="I26" s="38"/>
      <c r="J26" s="38"/>
      <c r="K26" s="38"/>
      <c r="L26" s="38"/>
      <c r="M26" s="38"/>
      <c r="N26" s="4"/>
      <c r="O26" s="4"/>
      <c r="P26" s="38"/>
      <c r="Q26" s="38"/>
      <c r="R26" s="103"/>
      <c r="S26" s="103"/>
      <c r="T26" s="103"/>
      <c r="U26" s="103"/>
    </row>
    <row r="27" spans="1:21" ht="27.75" customHeight="1">
      <c r="A27" s="30"/>
      <c r="B27" s="76" t="s">
        <v>806</v>
      </c>
      <c r="C27" s="22" t="s">
        <v>1304</v>
      </c>
      <c r="D27" s="41" t="e">
        <f>(D11-D12)/D15/12</f>
        <v>#DIV/0!</v>
      </c>
      <c r="E27" s="41" t="e">
        <f aca="true" t="shared" si="3" ref="E27:U27">(E11-E12)/E15/12</f>
        <v>#DIV/0!</v>
      </c>
      <c r="F27" s="41" t="e">
        <f t="shared" si="3"/>
        <v>#DIV/0!</v>
      </c>
      <c r="G27" s="41" t="e">
        <f t="shared" si="3"/>
        <v>#DIV/0!</v>
      </c>
      <c r="H27" s="41" t="e">
        <f t="shared" si="3"/>
        <v>#DIV/0!</v>
      </c>
      <c r="I27" s="41" t="e">
        <f t="shared" si="3"/>
        <v>#DIV/0!</v>
      </c>
      <c r="J27" s="41" t="e">
        <f t="shared" si="3"/>
        <v>#DIV/0!</v>
      </c>
      <c r="K27" s="41" t="e">
        <f t="shared" si="3"/>
        <v>#DIV/0!</v>
      </c>
      <c r="L27" s="41" t="e">
        <f t="shared" si="3"/>
        <v>#DIV/0!</v>
      </c>
      <c r="M27" s="41" t="e">
        <f t="shared" si="3"/>
        <v>#DIV/0!</v>
      </c>
      <c r="N27" s="41" t="e">
        <f t="shared" si="3"/>
        <v>#DIV/0!</v>
      </c>
      <c r="O27" s="41" t="e">
        <f t="shared" si="3"/>
        <v>#DIV/0!</v>
      </c>
      <c r="P27" s="41" t="e">
        <f t="shared" si="3"/>
        <v>#DIV/0!</v>
      </c>
      <c r="Q27" s="41" t="e">
        <f t="shared" si="3"/>
        <v>#DIV/0!</v>
      </c>
      <c r="R27" s="41" t="e">
        <f t="shared" si="3"/>
        <v>#DIV/0!</v>
      </c>
      <c r="S27" s="41" t="e">
        <f t="shared" si="3"/>
        <v>#DIV/0!</v>
      </c>
      <c r="T27" s="41" t="e">
        <f t="shared" si="3"/>
        <v>#DIV/0!</v>
      </c>
      <c r="U27" s="41" t="e">
        <f t="shared" si="3"/>
        <v>#DIV/0!</v>
      </c>
    </row>
    <row r="28" spans="1:21" ht="66">
      <c r="A28" s="30" t="s">
        <v>429</v>
      </c>
      <c r="B28" s="21" t="s">
        <v>306</v>
      </c>
      <c r="C28" s="102"/>
      <c r="D28" s="104"/>
      <c r="E28" s="4"/>
      <c r="F28" s="4"/>
      <c r="G28" s="38"/>
      <c r="H28" s="38"/>
      <c r="I28" s="38"/>
      <c r="J28" s="38"/>
      <c r="K28" s="38"/>
      <c r="L28" s="38"/>
      <c r="M28" s="38"/>
      <c r="N28" s="4"/>
      <c r="O28" s="4"/>
      <c r="P28" s="38"/>
      <c r="Q28" s="38"/>
      <c r="R28" s="103"/>
      <c r="S28" s="103"/>
      <c r="T28" s="103"/>
      <c r="U28" s="103"/>
    </row>
    <row r="29" spans="1:21" ht="26.25">
      <c r="A29" s="30" t="s">
        <v>307</v>
      </c>
      <c r="B29" s="6" t="s">
        <v>803</v>
      </c>
      <c r="C29" s="29" t="s">
        <v>217</v>
      </c>
      <c r="D29" s="41" t="e">
        <f>(D11-D12)/D13+D12/D14</f>
        <v>#DIV/0!</v>
      </c>
      <c r="E29" s="41" t="e">
        <f aca="true" t="shared" si="4" ref="E29:U29">(E11-E12)/E13+E12/E14</f>
        <v>#DIV/0!</v>
      </c>
      <c r="F29" s="41" t="e">
        <f t="shared" si="4"/>
        <v>#DIV/0!</v>
      </c>
      <c r="G29" s="41" t="e">
        <f t="shared" si="4"/>
        <v>#DIV/0!</v>
      </c>
      <c r="H29" s="41" t="e">
        <f t="shared" si="4"/>
        <v>#DIV/0!</v>
      </c>
      <c r="I29" s="41" t="e">
        <f t="shared" si="4"/>
        <v>#DIV/0!</v>
      </c>
      <c r="J29" s="41" t="e">
        <f t="shared" si="4"/>
        <v>#DIV/0!</v>
      </c>
      <c r="K29" s="41" t="e">
        <f t="shared" si="4"/>
        <v>#DIV/0!</v>
      </c>
      <c r="L29" s="41" t="e">
        <f t="shared" si="4"/>
        <v>#DIV/0!</v>
      </c>
      <c r="M29" s="41" t="e">
        <f t="shared" si="4"/>
        <v>#DIV/0!</v>
      </c>
      <c r="N29" s="41" t="e">
        <f t="shared" si="4"/>
        <v>#DIV/0!</v>
      </c>
      <c r="O29" s="41" t="e">
        <f t="shared" si="4"/>
        <v>#DIV/0!</v>
      </c>
      <c r="P29" s="41" t="e">
        <f t="shared" si="4"/>
        <v>#DIV/0!</v>
      </c>
      <c r="Q29" s="41" t="e">
        <f t="shared" si="4"/>
        <v>#DIV/0!</v>
      </c>
      <c r="R29" s="41" t="e">
        <f t="shared" si="4"/>
        <v>#DIV/0!</v>
      </c>
      <c r="S29" s="41" t="e">
        <f t="shared" si="4"/>
        <v>#DIV/0!</v>
      </c>
      <c r="T29" s="41" t="e">
        <f t="shared" si="4"/>
        <v>#DIV/0!</v>
      </c>
      <c r="U29" s="41" t="e">
        <f t="shared" si="4"/>
        <v>#DIV/0!</v>
      </c>
    </row>
    <row r="30" spans="1:21" ht="26.25">
      <c r="A30" s="30" t="s">
        <v>1319</v>
      </c>
      <c r="B30" s="6" t="s">
        <v>804</v>
      </c>
      <c r="C30" s="29"/>
      <c r="D30" s="104"/>
      <c r="E30" s="4"/>
      <c r="F30" s="4"/>
      <c r="G30" s="38"/>
      <c r="H30" s="38"/>
      <c r="I30" s="38"/>
      <c r="J30" s="38"/>
      <c r="K30" s="38"/>
      <c r="L30" s="38"/>
      <c r="M30" s="38"/>
      <c r="N30" s="4"/>
      <c r="O30" s="4"/>
      <c r="P30" s="38"/>
      <c r="Q30" s="38"/>
      <c r="R30" s="103"/>
      <c r="S30" s="103"/>
      <c r="T30" s="103"/>
      <c r="U30" s="103"/>
    </row>
    <row r="31" spans="1:21" ht="13.5">
      <c r="A31" s="30"/>
      <c r="B31" s="76" t="s">
        <v>805</v>
      </c>
      <c r="C31" s="29" t="s">
        <v>217</v>
      </c>
      <c r="D31" s="104"/>
      <c r="E31" s="4"/>
      <c r="F31" s="4"/>
      <c r="G31" s="38"/>
      <c r="H31" s="38"/>
      <c r="I31" s="38"/>
      <c r="J31" s="38"/>
      <c r="K31" s="38"/>
      <c r="L31" s="38"/>
      <c r="M31" s="38"/>
      <c r="N31" s="4"/>
      <c r="O31" s="4"/>
      <c r="P31" s="38"/>
      <c r="Q31" s="38"/>
      <c r="R31" s="103"/>
      <c r="S31" s="103"/>
      <c r="T31" s="103"/>
      <c r="U31" s="103"/>
    </row>
    <row r="32" spans="1:21" ht="29.25" customHeight="1">
      <c r="A32" s="30"/>
      <c r="B32" s="76" t="s">
        <v>806</v>
      </c>
      <c r="C32" s="22" t="s">
        <v>1304</v>
      </c>
      <c r="D32" s="41" t="e">
        <f>(D11-D12)/D15/12+D12/D16/12</f>
        <v>#DIV/0!</v>
      </c>
      <c r="E32" s="41" t="e">
        <f aca="true" t="shared" si="5" ref="E32:U32">(E11-E12)/E15/12+E12/E16/12</f>
        <v>#DIV/0!</v>
      </c>
      <c r="F32" s="41" t="e">
        <f t="shared" si="5"/>
        <v>#DIV/0!</v>
      </c>
      <c r="G32" s="41" t="e">
        <f t="shared" si="5"/>
        <v>#DIV/0!</v>
      </c>
      <c r="H32" s="41" t="e">
        <f t="shared" si="5"/>
        <v>#DIV/0!</v>
      </c>
      <c r="I32" s="41" t="e">
        <f t="shared" si="5"/>
        <v>#DIV/0!</v>
      </c>
      <c r="J32" s="41" t="e">
        <f t="shared" si="5"/>
        <v>#DIV/0!</v>
      </c>
      <c r="K32" s="41" t="e">
        <f t="shared" si="5"/>
        <v>#DIV/0!</v>
      </c>
      <c r="L32" s="41" t="e">
        <f t="shared" si="5"/>
        <v>#DIV/0!</v>
      </c>
      <c r="M32" s="41" t="e">
        <f t="shared" si="5"/>
        <v>#DIV/0!</v>
      </c>
      <c r="N32" s="41" t="e">
        <f t="shared" si="5"/>
        <v>#DIV/0!</v>
      </c>
      <c r="O32" s="41" t="e">
        <f t="shared" si="5"/>
        <v>#DIV/0!</v>
      </c>
      <c r="P32" s="41" t="e">
        <f t="shared" si="5"/>
        <v>#DIV/0!</v>
      </c>
      <c r="Q32" s="41" t="e">
        <f t="shared" si="5"/>
        <v>#DIV/0!</v>
      </c>
      <c r="R32" s="41" t="e">
        <f t="shared" si="5"/>
        <v>#DIV/0!</v>
      </c>
      <c r="S32" s="41" t="e">
        <f t="shared" si="5"/>
        <v>#DIV/0!</v>
      </c>
      <c r="T32" s="41" t="e">
        <f t="shared" si="5"/>
        <v>#DIV/0!</v>
      </c>
      <c r="U32" s="41" t="e">
        <f t="shared" si="5"/>
        <v>#DIV/0!</v>
      </c>
    </row>
    <row r="33" spans="1:17" ht="13.5" outlineLevel="1">
      <c r="A33" s="113" t="s">
        <v>304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00" ht="13.5" outlineLevel="1">
      <c r="A34" s="116" t="s">
        <v>238</v>
      </c>
      <c r="B34" s="2155" t="s">
        <v>1700</v>
      </c>
      <c r="C34" s="2155"/>
      <c r="D34" s="2155"/>
      <c r="E34" s="2155"/>
      <c r="F34" s="2155"/>
      <c r="G34" s="2155"/>
      <c r="H34" s="2155"/>
      <c r="I34" s="2155"/>
      <c r="J34" s="2155"/>
      <c r="K34" s="2155"/>
      <c r="L34" s="2155"/>
      <c r="M34" s="2155"/>
      <c r="N34" s="2155"/>
      <c r="O34" s="2155"/>
      <c r="P34" s="2155"/>
      <c r="Q34" s="2155"/>
      <c r="R34" s="2155"/>
      <c r="S34" s="2155"/>
      <c r="T34" s="2155"/>
      <c r="U34" s="2155"/>
      <c r="V34" s="2155"/>
      <c r="W34" s="2155"/>
      <c r="X34" s="2155"/>
      <c r="Y34" s="2155"/>
      <c r="Z34" s="2155"/>
      <c r="AA34" s="2155"/>
      <c r="AB34" s="2155"/>
      <c r="AC34" s="2155"/>
      <c r="AD34" s="2155"/>
      <c r="AE34" s="2155"/>
      <c r="AF34" s="2155"/>
      <c r="AG34" s="2155"/>
      <c r="AH34" s="2155"/>
      <c r="AI34" s="2155"/>
      <c r="AJ34" s="2155"/>
      <c r="AK34" s="2155"/>
      <c r="AL34" s="2155"/>
      <c r="AM34" s="2155"/>
      <c r="AN34" s="2155"/>
      <c r="AO34" s="2155"/>
      <c r="AP34" s="2155"/>
      <c r="AQ34" s="2155"/>
      <c r="AR34" s="2155"/>
      <c r="AS34" s="2155"/>
      <c r="AT34" s="2155"/>
      <c r="AU34" s="2155"/>
      <c r="AV34" s="2155"/>
      <c r="AW34" s="2155"/>
      <c r="AX34" s="2155"/>
      <c r="AY34" s="2155"/>
      <c r="AZ34" s="2155"/>
      <c r="BA34" s="2155"/>
      <c r="BB34" s="2155"/>
      <c r="BC34" s="2155"/>
      <c r="BD34" s="2155"/>
      <c r="BE34" s="2155"/>
      <c r="BF34" s="2155"/>
      <c r="BG34" s="2155"/>
      <c r="BH34" s="2155"/>
      <c r="BI34" s="2155"/>
      <c r="BJ34" s="2155"/>
      <c r="BK34" s="2155"/>
      <c r="BL34" s="2155"/>
      <c r="BM34" s="2155"/>
      <c r="BN34" s="2155"/>
      <c r="BO34" s="2155"/>
      <c r="BP34" s="2155"/>
      <c r="BQ34" s="2155"/>
      <c r="BR34" s="2155"/>
      <c r="BS34" s="2155"/>
      <c r="BT34" s="2155"/>
      <c r="BU34" s="2155"/>
      <c r="BV34" s="2155"/>
      <c r="BW34" s="2155"/>
      <c r="BX34" s="2155"/>
      <c r="BY34" s="2155"/>
      <c r="BZ34" s="2155"/>
      <c r="CA34" s="2155"/>
      <c r="CB34" s="2155"/>
      <c r="CC34" s="2155"/>
      <c r="CD34" s="2155"/>
      <c r="CE34" s="2155"/>
      <c r="CF34" s="2155"/>
      <c r="CG34" s="2155"/>
      <c r="CH34" s="2155"/>
      <c r="CI34" s="2155"/>
      <c r="CJ34" s="2155"/>
      <c r="CK34" s="2155"/>
      <c r="CL34" s="2155"/>
      <c r="CM34" s="2155"/>
      <c r="CN34" s="2155"/>
      <c r="CO34" s="2155"/>
      <c r="CP34" s="2155"/>
      <c r="CQ34" s="2155"/>
      <c r="CR34" s="2155"/>
      <c r="CS34" s="2155"/>
      <c r="CT34" s="2155"/>
      <c r="CU34" s="2155"/>
      <c r="CV34" s="2155"/>
    </row>
    <row r="35" spans="1:100" ht="13.5" outlineLevel="1">
      <c r="A35" s="116" t="s">
        <v>240</v>
      </c>
      <c r="B35" s="2155" t="s">
        <v>1493</v>
      </c>
      <c r="C35" s="2155"/>
      <c r="D35" s="2155"/>
      <c r="E35" s="2155"/>
      <c r="F35" s="2155"/>
      <c r="G35" s="2155"/>
      <c r="H35" s="2155"/>
      <c r="I35" s="2155"/>
      <c r="J35" s="2155"/>
      <c r="K35" s="2155"/>
      <c r="L35" s="2155"/>
      <c r="M35" s="2155"/>
      <c r="N35" s="2155"/>
      <c r="O35" s="2155"/>
      <c r="P35" s="2155"/>
      <c r="Q35" s="2155"/>
      <c r="R35" s="2155"/>
      <c r="S35" s="2155"/>
      <c r="T35" s="2155"/>
      <c r="U35" s="2155"/>
      <c r="V35" s="2155"/>
      <c r="W35" s="2155"/>
      <c r="X35" s="2155"/>
      <c r="Y35" s="2155"/>
      <c r="Z35" s="2155"/>
      <c r="AA35" s="2155"/>
      <c r="AB35" s="2155"/>
      <c r="AC35" s="2155"/>
      <c r="AD35" s="2155"/>
      <c r="AE35" s="2155"/>
      <c r="AF35" s="2155"/>
      <c r="AG35" s="2155"/>
      <c r="AH35" s="2155"/>
      <c r="AI35" s="2155"/>
      <c r="AJ35" s="2155"/>
      <c r="AK35" s="2155"/>
      <c r="AL35" s="2155"/>
      <c r="AM35" s="2155"/>
      <c r="AN35" s="2155"/>
      <c r="AO35" s="2155"/>
      <c r="AP35" s="2155"/>
      <c r="AQ35" s="2155"/>
      <c r="AR35" s="2155"/>
      <c r="AS35" s="2155"/>
      <c r="AT35" s="2155"/>
      <c r="AU35" s="2155"/>
      <c r="AV35" s="2155"/>
      <c r="AW35" s="2155"/>
      <c r="AX35" s="2155"/>
      <c r="AY35" s="2155"/>
      <c r="AZ35" s="2155"/>
      <c r="BA35" s="2155"/>
      <c r="BB35" s="2155"/>
      <c r="BC35" s="2155"/>
      <c r="BD35" s="2155"/>
      <c r="BE35" s="2155"/>
      <c r="BF35" s="2155"/>
      <c r="BG35" s="2155"/>
      <c r="BH35" s="2155"/>
      <c r="BI35" s="2155"/>
      <c r="BJ35" s="2155"/>
      <c r="BK35" s="2155"/>
      <c r="BL35" s="2155"/>
      <c r="BM35" s="2155"/>
      <c r="BN35" s="2155"/>
      <c r="BO35" s="2155"/>
      <c r="BP35" s="2155"/>
      <c r="BQ35" s="2155"/>
      <c r="BR35" s="2155"/>
      <c r="BS35" s="2155"/>
      <c r="BT35" s="2155"/>
      <c r="BU35" s="2155"/>
      <c r="BV35" s="2155"/>
      <c r="BW35" s="2155"/>
      <c r="BX35" s="2155"/>
      <c r="BY35" s="2155"/>
      <c r="BZ35" s="2155"/>
      <c r="CA35" s="2155"/>
      <c r="CB35" s="2155"/>
      <c r="CC35" s="2155"/>
      <c r="CD35" s="2155"/>
      <c r="CE35" s="2155"/>
      <c r="CF35" s="2155"/>
      <c r="CG35" s="2155"/>
      <c r="CH35" s="2155"/>
      <c r="CI35" s="2155"/>
      <c r="CJ35" s="2155"/>
      <c r="CK35" s="2155"/>
      <c r="CL35" s="2155"/>
      <c r="CM35" s="2155"/>
      <c r="CN35" s="2155"/>
      <c r="CO35" s="2155"/>
      <c r="CP35" s="2155"/>
      <c r="CQ35" s="2155"/>
      <c r="CR35" s="2155"/>
      <c r="CS35" s="2155"/>
      <c r="CT35" s="2155"/>
      <c r="CU35" s="2155"/>
      <c r="CV35" s="2155"/>
    </row>
    <row r="36" spans="1:100" ht="13.5" outlineLevel="1">
      <c r="A36" s="139" t="s">
        <v>241</v>
      </c>
      <c r="B36" s="113" t="s">
        <v>1494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</row>
    <row r="37" spans="1:100" ht="13.5" outlineLevel="1">
      <c r="A37" s="139" t="s">
        <v>242</v>
      </c>
      <c r="B37" s="113" t="s">
        <v>1495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</row>
    <row r="38" spans="1:100" ht="13.5" outlineLevel="1">
      <c r="A38" s="139" t="s">
        <v>243</v>
      </c>
      <c r="B38" s="113" t="s">
        <v>1496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</row>
    <row r="39" spans="1:100" ht="13.5" outlineLevel="1">
      <c r="A39" s="139" t="s">
        <v>244</v>
      </c>
      <c r="B39" s="113" t="s">
        <v>1399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</row>
    <row r="40" spans="1:100" ht="13.5" outlineLevel="1">
      <c r="A40" s="139" t="s">
        <v>245</v>
      </c>
      <c r="B40" s="113" t="s">
        <v>1400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</row>
    <row r="41" spans="1:100" ht="13.5" outlineLevel="1">
      <c r="A41" s="116" t="s">
        <v>246</v>
      </c>
      <c r="B41" s="2155" t="s">
        <v>1238</v>
      </c>
      <c r="C41" s="2155"/>
      <c r="D41" s="2155"/>
      <c r="E41" s="2155"/>
      <c r="F41" s="2155"/>
      <c r="G41" s="2155"/>
      <c r="H41" s="2155"/>
      <c r="I41" s="2155"/>
      <c r="J41" s="2155"/>
      <c r="K41" s="2155"/>
      <c r="L41" s="2155"/>
      <c r="M41" s="2155"/>
      <c r="N41" s="2155"/>
      <c r="O41" s="2155"/>
      <c r="P41" s="2155"/>
      <c r="Q41" s="2155"/>
      <c r="R41" s="2155"/>
      <c r="S41" s="2155"/>
      <c r="T41" s="2155"/>
      <c r="U41" s="2155"/>
      <c r="V41" s="2155"/>
      <c r="W41" s="2155"/>
      <c r="X41" s="2155"/>
      <c r="Y41" s="2155"/>
      <c r="Z41" s="2155"/>
      <c r="AA41" s="2155"/>
      <c r="AB41" s="2155"/>
      <c r="AC41" s="2155"/>
      <c r="AD41" s="2155"/>
      <c r="AE41" s="2155"/>
      <c r="AF41" s="2155"/>
      <c r="AG41" s="2155"/>
      <c r="AH41" s="2155"/>
      <c r="AI41" s="2155"/>
      <c r="AJ41" s="2155"/>
      <c r="AK41" s="2155"/>
      <c r="AL41" s="2155"/>
      <c r="AM41" s="2155"/>
      <c r="AN41" s="2155"/>
      <c r="AO41" s="2155"/>
      <c r="AP41" s="2155"/>
      <c r="AQ41" s="2155"/>
      <c r="AR41" s="2155"/>
      <c r="AS41" s="2155"/>
      <c r="AT41" s="2155"/>
      <c r="AU41" s="2155"/>
      <c r="AV41" s="2155"/>
      <c r="AW41" s="2155"/>
      <c r="AX41" s="2155"/>
      <c r="AY41" s="2155"/>
      <c r="AZ41" s="2155"/>
      <c r="BA41" s="2155"/>
      <c r="BB41" s="2155"/>
      <c r="BC41" s="2155"/>
      <c r="BD41" s="2155"/>
      <c r="BE41" s="2155"/>
      <c r="BF41" s="2155"/>
      <c r="BG41" s="2155"/>
      <c r="BH41" s="2155"/>
      <c r="BI41" s="2155"/>
      <c r="BJ41" s="2155"/>
      <c r="BK41" s="2155"/>
      <c r="BL41" s="2155"/>
      <c r="BM41" s="2155"/>
      <c r="BN41" s="2155"/>
      <c r="BO41" s="2155"/>
      <c r="BP41" s="2155"/>
      <c r="BQ41" s="2155"/>
      <c r="BR41" s="2155"/>
      <c r="BS41" s="2155"/>
      <c r="BT41" s="2155"/>
      <c r="BU41" s="2155"/>
      <c r="BV41" s="2155"/>
      <c r="BW41" s="2155"/>
      <c r="BX41" s="2155"/>
      <c r="BY41" s="2155"/>
      <c r="BZ41" s="2155"/>
      <c r="CA41" s="2155"/>
      <c r="CB41" s="2155"/>
      <c r="CC41" s="2155"/>
      <c r="CD41" s="2155"/>
      <c r="CE41" s="2155"/>
      <c r="CF41" s="2155"/>
      <c r="CG41" s="2155"/>
      <c r="CH41" s="2155"/>
      <c r="CI41" s="2155"/>
      <c r="CJ41" s="2155"/>
      <c r="CK41" s="2155"/>
      <c r="CL41" s="2155"/>
      <c r="CM41" s="2155"/>
      <c r="CN41" s="2155"/>
      <c r="CO41" s="2155"/>
      <c r="CP41" s="2155"/>
      <c r="CQ41" s="2155"/>
      <c r="CR41" s="2155"/>
      <c r="CS41" s="2155"/>
      <c r="CT41" s="2155"/>
      <c r="CU41" s="2155"/>
      <c r="CV41" s="2155"/>
    </row>
  </sheetData>
  <sheetProtection/>
  <mergeCells count="22">
    <mergeCell ref="M6:U6"/>
    <mergeCell ref="D7:F7"/>
    <mergeCell ref="D6:L6"/>
    <mergeCell ref="G7:L7"/>
    <mergeCell ref="A6:A9"/>
    <mergeCell ref="B6:B9"/>
    <mergeCell ref="C6:C9"/>
    <mergeCell ref="D8:D9"/>
    <mergeCell ref="B41:CV41"/>
    <mergeCell ref="P7:U7"/>
    <mergeCell ref="P8:R8"/>
    <mergeCell ref="S8:U8"/>
    <mergeCell ref="M8:M9"/>
    <mergeCell ref="O8:O9"/>
    <mergeCell ref="M7:O7"/>
    <mergeCell ref="B35:CV35"/>
    <mergeCell ref="E8:E9"/>
    <mergeCell ref="F8:F9"/>
    <mergeCell ref="B34:CV34"/>
    <mergeCell ref="J8:L8"/>
    <mergeCell ref="G8:I8"/>
    <mergeCell ref="N8:N9"/>
  </mergeCells>
  <printOptions/>
  <pageMargins left="0.2" right="0.1968503937007874" top="0.7480314960629921" bottom="0.3937007874015748" header="0.31496062992125984" footer="0.31496062992125984"/>
  <pageSetup fitToHeight="1" fitToWidth="1" horizontalDpi="600" verticalDpi="6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E48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"/>
    </sheetView>
  </sheetViews>
  <sheetFormatPr defaultColWidth="9.140625" defaultRowHeight="15" outlineLevelRow="1"/>
  <cols>
    <col min="1" max="1" width="3.8515625" style="1" customWidth="1"/>
    <col min="2" max="2" width="27.140625" style="1" customWidth="1"/>
    <col min="3" max="3" width="9.7109375" style="1" customWidth="1"/>
    <col min="4" max="4" width="12.7109375" style="1" customWidth="1"/>
    <col min="5" max="6" width="9.7109375" style="1" customWidth="1"/>
    <col min="7" max="7" width="14.28125" style="1" customWidth="1"/>
    <col min="8" max="8" width="11.7109375" style="1" customWidth="1"/>
    <col min="9" max="9" width="12.57421875" style="1" customWidth="1"/>
    <col min="10" max="11" width="11.7109375" style="1" customWidth="1"/>
    <col min="12" max="12" width="14.00390625" style="1" customWidth="1"/>
    <col min="13" max="17" width="11.8515625" style="1" customWidth="1"/>
    <col min="18" max="22" width="11.7109375" style="1" customWidth="1"/>
    <col min="23" max="32" width="12.00390625" style="1" customWidth="1"/>
    <col min="33" max="33" width="13.00390625" style="1" customWidth="1"/>
    <col min="34" max="34" width="13.421875" style="1" customWidth="1"/>
    <col min="35" max="36" width="9.140625" style="1" customWidth="1"/>
    <col min="37" max="37" width="12.140625" style="1" customWidth="1"/>
    <col min="38" max="38" width="10.28125" style="1" customWidth="1"/>
    <col min="39" max="39" width="12.57421875" style="1" customWidth="1"/>
    <col min="40" max="41" width="9.140625" style="1" customWidth="1"/>
    <col min="42" max="43" width="12.140625" style="1" customWidth="1"/>
    <col min="44" max="44" width="10.57421875" style="1" customWidth="1"/>
    <col min="45" max="45" width="11.140625" style="1" customWidth="1"/>
    <col min="46" max="46" width="9.140625" style="1" customWidth="1"/>
    <col min="47" max="47" width="14.00390625" style="1" customWidth="1"/>
    <col min="48" max="16384" width="9.140625" style="1" customWidth="1"/>
  </cols>
  <sheetData>
    <row r="1" spans="1:47" ht="15" customHeight="1">
      <c r="A1" s="52" t="s">
        <v>1491</v>
      </c>
      <c r="B1" s="52"/>
      <c r="C1" s="52"/>
      <c r="D1" s="52"/>
      <c r="E1" s="52"/>
      <c r="F1" s="52"/>
      <c r="G1" s="52"/>
      <c r="H1" s="52"/>
      <c r="I1" s="64"/>
      <c r="J1" s="64"/>
      <c r="K1" s="64"/>
      <c r="L1" s="64"/>
      <c r="AG1" s="2234"/>
      <c r="AH1" s="2234"/>
      <c r="AO1" s="52"/>
      <c r="AP1" s="52"/>
      <c r="AT1" s="2060" t="s">
        <v>1329</v>
      </c>
      <c r="AU1" s="2060"/>
    </row>
    <row r="2" spans="1:12" ht="12.75">
      <c r="A2" s="52" t="s">
        <v>1279</v>
      </c>
      <c r="B2" s="52"/>
      <c r="C2" s="52"/>
      <c r="D2" s="52"/>
      <c r="E2" s="52"/>
      <c r="F2" s="52"/>
      <c r="G2" s="52"/>
      <c r="H2" s="52"/>
      <c r="I2" s="37"/>
      <c r="J2" s="37"/>
      <c r="K2" s="37"/>
      <c r="L2" s="37"/>
    </row>
    <row r="4" spans="1:47" ht="16.5" customHeight="1">
      <c r="A4" s="131" t="s">
        <v>1330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6" spans="1:47" ht="12.75">
      <c r="A6" s="2069" t="s">
        <v>1662</v>
      </c>
      <c r="B6" s="2073" t="s">
        <v>1670</v>
      </c>
      <c r="C6" s="2214" t="s">
        <v>1659</v>
      </c>
      <c r="D6" s="2215"/>
      <c r="E6" s="2215"/>
      <c r="F6" s="2215"/>
      <c r="G6" s="2215"/>
      <c r="H6" s="2215"/>
      <c r="I6" s="2215"/>
      <c r="J6" s="2215"/>
      <c r="K6" s="2215"/>
      <c r="L6" s="2215"/>
      <c r="M6" s="2215"/>
      <c r="N6" s="2215"/>
      <c r="O6" s="2215"/>
      <c r="P6" s="2215"/>
      <c r="Q6" s="2216"/>
      <c r="R6" s="2214" t="s">
        <v>1661</v>
      </c>
      <c r="S6" s="2215"/>
      <c r="T6" s="2215"/>
      <c r="U6" s="2215"/>
      <c r="V6" s="2215"/>
      <c r="W6" s="2215"/>
      <c r="X6" s="2215"/>
      <c r="Y6" s="2215"/>
      <c r="Z6" s="2215"/>
      <c r="AA6" s="2215"/>
      <c r="AB6" s="2215"/>
      <c r="AC6" s="2215"/>
      <c r="AD6" s="2215"/>
      <c r="AE6" s="2215"/>
      <c r="AF6" s="2215"/>
      <c r="AG6" s="2215"/>
      <c r="AH6" s="2215"/>
      <c r="AI6" s="2215"/>
      <c r="AJ6" s="2215"/>
      <c r="AK6" s="2215"/>
      <c r="AL6" s="2215"/>
      <c r="AM6" s="2215"/>
      <c r="AN6" s="2215"/>
      <c r="AO6" s="2215"/>
      <c r="AP6" s="2215"/>
      <c r="AQ6" s="2215"/>
      <c r="AR6" s="2215"/>
      <c r="AS6" s="2215"/>
      <c r="AT6" s="2215"/>
      <c r="AU6" s="2216"/>
    </row>
    <row r="7" spans="1:47" ht="12.75" customHeight="1">
      <c r="A7" s="2070"/>
      <c r="B7" s="2064"/>
      <c r="C7" s="2073" t="s">
        <v>268</v>
      </c>
      <c r="D7" s="2066"/>
      <c r="E7" s="2066"/>
      <c r="F7" s="2066"/>
      <c r="G7" s="2054"/>
      <c r="H7" s="2073" t="s">
        <v>269</v>
      </c>
      <c r="I7" s="2066"/>
      <c r="J7" s="2066"/>
      <c r="K7" s="2066"/>
      <c r="L7" s="2054"/>
      <c r="M7" s="2073" t="s">
        <v>270</v>
      </c>
      <c r="N7" s="2066"/>
      <c r="O7" s="2066"/>
      <c r="P7" s="2066"/>
      <c r="Q7" s="2054"/>
      <c r="R7" s="2085" t="s">
        <v>906</v>
      </c>
      <c r="S7" s="2086"/>
      <c r="T7" s="2086"/>
      <c r="U7" s="2086"/>
      <c r="V7" s="2086"/>
      <c r="W7" s="2086"/>
      <c r="X7" s="2086"/>
      <c r="Y7" s="2086"/>
      <c r="Z7" s="2086"/>
      <c r="AA7" s="2086"/>
      <c r="AB7" s="2086"/>
      <c r="AC7" s="2086"/>
      <c r="AD7" s="2086"/>
      <c r="AE7" s="2086"/>
      <c r="AF7" s="2074"/>
      <c r="AG7" s="2085" t="s">
        <v>944</v>
      </c>
      <c r="AH7" s="2086"/>
      <c r="AI7" s="2086"/>
      <c r="AJ7" s="2086"/>
      <c r="AK7" s="2086"/>
      <c r="AL7" s="2086"/>
      <c r="AM7" s="2086"/>
      <c r="AN7" s="2086"/>
      <c r="AO7" s="2086"/>
      <c r="AP7" s="2086"/>
      <c r="AQ7" s="2086"/>
      <c r="AR7" s="2086"/>
      <c r="AS7" s="2086"/>
      <c r="AT7" s="2086"/>
      <c r="AU7" s="2074"/>
    </row>
    <row r="8" spans="1:47" ht="12.75" customHeight="1">
      <c r="A8" s="2070"/>
      <c r="B8" s="2064"/>
      <c r="C8" s="2065"/>
      <c r="D8" s="2055"/>
      <c r="E8" s="2055"/>
      <c r="F8" s="2055"/>
      <c r="G8" s="2056"/>
      <c r="H8" s="2065"/>
      <c r="I8" s="2055"/>
      <c r="J8" s="2055"/>
      <c r="K8" s="2055"/>
      <c r="L8" s="2056"/>
      <c r="M8" s="2065"/>
      <c r="N8" s="2055"/>
      <c r="O8" s="2055"/>
      <c r="P8" s="2055"/>
      <c r="Q8" s="2056"/>
      <c r="R8" s="2057" t="s">
        <v>421</v>
      </c>
      <c r="S8" s="2057"/>
      <c r="T8" s="2057"/>
      <c r="U8" s="2057"/>
      <c r="V8" s="2057"/>
      <c r="W8" s="2085" t="s">
        <v>271</v>
      </c>
      <c r="X8" s="2086"/>
      <c r="Y8" s="2086"/>
      <c r="Z8" s="2086"/>
      <c r="AA8" s="2074"/>
      <c r="AB8" s="2085" t="s">
        <v>272</v>
      </c>
      <c r="AC8" s="2086"/>
      <c r="AD8" s="2086"/>
      <c r="AE8" s="2086"/>
      <c r="AF8" s="2074"/>
      <c r="AG8" s="2057" t="s">
        <v>271</v>
      </c>
      <c r="AH8" s="2057"/>
      <c r="AI8" s="2057"/>
      <c r="AJ8" s="2057"/>
      <c r="AK8" s="2057"/>
      <c r="AL8" s="2085" t="s">
        <v>272</v>
      </c>
      <c r="AM8" s="2086"/>
      <c r="AN8" s="2086"/>
      <c r="AO8" s="2086"/>
      <c r="AP8" s="2074"/>
      <c r="AQ8" s="2085" t="s">
        <v>421</v>
      </c>
      <c r="AR8" s="2086"/>
      <c r="AS8" s="2086"/>
      <c r="AT8" s="2086"/>
      <c r="AU8" s="2074"/>
    </row>
    <row r="9" spans="1:47" ht="105">
      <c r="A9" s="2048"/>
      <c r="B9" s="2065"/>
      <c r="C9" s="43" t="s">
        <v>1321</v>
      </c>
      <c r="D9" s="43" t="s">
        <v>1322</v>
      </c>
      <c r="E9" s="43" t="s">
        <v>767</v>
      </c>
      <c r="F9" s="43" t="s">
        <v>1323</v>
      </c>
      <c r="G9" s="43" t="s">
        <v>1324</v>
      </c>
      <c r="H9" s="43" t="s">
        <v>1321</v>
      </c>
      <c r="I9" s="43" t="s">
        <v>1322</v>
      </c>
      <c r="J9" s="43" t="s">
        <v>767</v>
      </c>
      <c r="K9" s="43" t="s">
        <v>1323</v>
      </c>
      <c r="L9" s="43" t="s">
        <v>1324</v>
      </c>
      <c r="M9" s="43" t="s">
        <v>1321</v>
      </c>
      <c r="N9" s="43" t="s">
        <v>1322</v>
      </c>
      <c r="O9" s="43" t="s">
        <v>767</v>
      </c>
      <c r="P9" s="43" t="s">
        <v>1323</v>
      </c>
      <c r="Q9" s="43" t="s">
        <v>1324</v>
      </c>
      <c r="R9" s="43" t="s">
        <v>1321</v>
      </c>
      <c r="S9" s="43" t="s">
        <v>1322</v>
      </c>
      <c r="T9" s="43" t="s">
        <v>767</v>
      </c>
      <c r="U9" s="43" t="s">
        <v>1323</v>
      </c>
      <c r="V9" s="43" t="s">
        <v>1324</v>
      </c>
      <c r="W9" s="43" t="s">
        <v>1321</v>
      </c>
      <c r="X9" s="43" t="s">
        <v>1322</v>
      </c>
      <c r="Y9" s="43" t="s">
        <v>767</v>
      </c>
      <c r="Z9" s="43" t="s">
        <v>1323</v>
      </c>
      <c r="AA9" s="43" t="s">
        <v>1324</v>
      </c>
      <c r="AB9" s="43" t="s">
        <v>1321</v>
      </c>
      <c r="AC9" s="43" t="s">
        <v>1322</v>
      </c>
      <c r="AD9" s="43" t="s">
        <v>767</v>
      </c>
      <c r="AE9" s="43" t="s">
        <v>1323</v>
      </c>
      <c r="AF9" s="43" t="s">
        <v>1324</v>
      </c>
      <c r="AG9" s="43" t="s">
        <v>1321</v>
      </c>
      <c r="AH9" s="43" t="s">
        <v>1322</v>
      </c>
      <c r="AI9" s="43" t="s">
        <v>767</v>
      </c>
      <c r="AJ9" s="43" t="s">
        <v>1323</v>
      </c>
      <c r="AK9" s="43" t="s">
        <v>1324</v>
      </c>
      <c r="AL9" s="43" t="s">
        <v>1321</v>
      </c>
      <c r="AM9" s="43" t="s">
        <v>1322</v>
      </c>
      <c r="AN9" s="43" t="s">
        <v>767</v>
      </c>
      <c r="AO9" s="43" t="s">
        <v>1323</v>
      </c>
      <c r="AP9" s="43" t="s">
        <v>1324</v>
      </c>
      <c r="AQ9" s="43" t="s">
        <v>1321</v>
      </c>
      <c r="AR9" s="43" t="s">
        <v>1322</v>
      </c>
      <c r="AS9" s="43" t="s">
        <v>767</v>
      </c>
      <c r="AT9" s="43" t="s">
        <v>1323</v>
      </c>
      <c r="AU9" s="43" t="s">
        <v>1324</v>
      </c>
    </row>
    <row r="10" spans="1:47" ht="12.75">
      <c r="A10" s="43">
        <v>1</v>
      </c>
      <c r="B10" s="49">
        <v>2</v>
      </c>
      <c r="C10" s="43">
        <v>3</v>
      </c>
      <c r="D10" s="43">
        <v>4</v>
      </c>
      <c r="E10" s="49">
        <v>5</v>
      </c>
      <c r="F10" s="43">
        <v>6</v>
      </c>
      <c r="G10" s="43">
        <v>7</v>
      </c>
      <c r="H10" s="49">
        <v>8</v>
      </c>
      <c r="I10" s="43">
        <v>9</v>
      </c>
      <c r="J10" s="43">
        <v>10</v>
      </c>
      <c r="K10" s="49">
        <v>11</v>
      </c>
      <c r="L10" s="43">
        <v>12</v>
      </c>
      <c r="M10" s="43">
        <v>13</v>
      </c>
      <c r="N10" s="49">
        <v>14</v>
      </c>
      <c r="O10" s="43">
        <v>15</v>
      </c>
      <c r="P10" s="43">
        <v>16</v>
      </c>
      <c r="Q10" s="49">
        <v>17</v>
      </c>
      <c r="R10" s="43">
        <v>18</v>
      </c>
      <c r="S10" s="43">
        <v>19</v>
      </c>
      <c r="T10" s="49">
        <v>20</v>
      </c>
      <c r="U10" s="43">
        <v>21</v>
      </c>
      <c r="V10" s="43">
        <v>22</v>
      </c>
      <c r="W10" s="49">
        <v>23</v>
      </c>
      <c r="X10" s="43">
        <v>24</v>
      </c>
      <c r="Y10" s="43">
        <v>25</v>
      </c>
      <c r="Z10" s="49">
        <v>26</v>
      </c>
      <c r="AA10" s="43">
        <v>27</v>
      </c>
      <c r="AB10" s="43">
        <v>28</v>
      </c>
      <c r="AC10" s="49">
        <v>29</v>
      </c>
      <c r="AD10" s="43">
        <v>30</v>
      </c>
      <c r="AE10" s="43">
        <v>31</v>
      </c>
      <c r="AF10" s="49">
        <v>32</v>
      </c>
      <c r="AG10" s="43">
        <v>33</v>
      </c>
      <c r="AH10" s="43">
        <v>34</v>
      </c>
      <c r="AI10" s="49">
        <v>35</v>
      </c>
      <c r="AJ10" s="43">
        <v>36</v>
      </c>
      <c r="AK10" s="43">
        <v>37</v>
      </c>
      <c r="AL10" s="49">
        <v>38</v>
      </c>
      <c r="AM10" s="43">
        <v>39</v>
      </c>
      <c r="AN10" s="43">
        <v>40</v>
      </c>
      <c r="AO10" s="49">
        <v>41</v>
      </c>
      <c r="AP10" s="43">
        <v>42</v>
      </c>
      <c r="AQ10" s="43">
        <v>43</v>
      </c>
      <c r="AR10" s="49">
        <v>44</v>
      </c>
      <c r="AS10" s="43">
        <v>45</v>
      </c>
      <c r="AT10" s="43">
        <v>46</v>
      </c>
      <c r="AU10" s="49">
        <v>47</v>
      </c>
    </row>
    <row r="11" spans="1:47" ht="26.25">
      <c r="A11" s="86" t="s">
        <v>1671</v>
      </c>
      <c r="B11" s="26" t="s">
        <v>770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12.75">
      <c r="A12" s="14" t="s">
        <v>1663</v>
      </c>
      <c r="B12" s="61" t="s">
        <v>1288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26.25">
      <c r="A13" s="14" t="s">
        <v>424</v>
      </c>
      <c r="B13" s="61" t="s">
        <v>771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26.25">
      <c r="A14" s="14" t="s">
        <v>425</v>
      </c>
      <c r="B14" s="61" t="s">
        <v>772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26.25">
      <c r="A15" s="14" t="s">
        <v>232</v>
      </c>
      <c r="B15" s="61" t="s">
        <v>773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26.25">
      <c r="A16" s="14" t="s">
        <v>233</v>
      </c>
      <c r="B16" s="61" t="s">
        <v>774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26.25">
      <c r="A17" s="14" t="s">
        <v>234</v>
      </c>
      <c r="B17" s="61" t="s">
        <v>201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12.75">
      <c r="A18" s="14"/>
      <c r="B18" s="6" t="s">
        <v>1660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18" customHeight="1">
      <c r="A19" s="86" t="s">
        <v>72</v>
      </c>
      <c r="B19" s="26" t="s">
        <v>775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12.75">
      <c r="A20" s="14"/>
      <c r="B20" s="26" t="s">
        <v>1660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52.5">
      <c r="A21" s="14" t="s">
        <v>281</v>
      </c>
      <c r="B21" s="21" t="s">
        <v>1325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12.75">
      <c r="A22" s="14"/>
      <c r="B22" s="61" t="s">
        <v>1288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ht="26.25">
      <c r="A23" s="14"/>
      <c r="B23" s="61" t="s">
        <v>771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26.25">
      <c r="A24" s="14"/>
      <c r="B24" s="61" t="s">
        <v>772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26.25">
      <c r="A25" s="14"/>
      <c r="B25" s="61" t="s">
        <v>773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ht="26.25">
      <c r="A26" s="14"/>
      <c r="B26" s="61" t="s">
        <v>774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ht="26.25">
      <c r="A27" s="14"/>
      <c r="B27" s="61" t="s">
        <v>201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ht="66">
      <c r="A28" s="14" t="s">
        <v>1326</v>
      </c>
      <c r="B28" s="6" t="s">
        <v>1327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ht="12.75">
      <c r="A29" s="14"/>
      <c r="B29" s="61" t="s">
        <v>1288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12.75">
      <c r="A30" s="14"/>
      <c r="B30" s="61" t="s">
        <v>1289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12.75">
      <c r="A31" s="14" t="s">
        <v>1328</v>
      </c>
      <c r="B31" s="85" t="s">
        <v>1660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ht="12.75" hidden="1" outlineLevel="1">
      <c r="A32" s="141" t="s">
        <v>304</v>
      </c>
    </row>
    <row r="33" spans="1:161" ht="12.75" hidden="1" outlineLevel="1">
      <c r="A33" s="142" t="s">
        <v>238</v>
      </c>
      <c r="B33" s="2233" t="s">
        <v>1177</v>
      </c>
      <c r="C33" s="2233"/>
      <c r="D33" s="2233"/>
      <c r="E33" s="2233"/>
      <c r="F33" s="2233"/>
      <c r="G33" s="2233"/>
      <c r="H33" s="2233"/>
      <c r="I33" s="2233"/>
      <c r="J33" s="2233"/>
      <c r="K33" s="2233"/>
      <c r="L33" s="2233"/>
      <c r="M33" s="2233"/>
      <c r="N33" s="2233"/>
      <c r="O33" s="2233"/>
      <c r="P33" s="2233"/>
      <c r="Q33" s="2233"/>
      <c r="R33" s="2233"/>
      <c r="S33" s="2233"/>
      <c r="T33" s="2233"/>
      <c r="U33" s="2233"/>
      <c r="V33" s="2233"/>
      <c r="W33" s="2233"/>
      <c r="X33" s="2233"/>
      <c r="Y33" s="2233"/>
      <c r="Z33" s="2233"/>
      <c r="AA33" s="2233"/>
      <c r="AB33" s="2233"/>
      <c r="AC33" s="2233"/>
      <c r="AD33" s="2233"/>
      <c r="AE33" s="2233"/>
      <c r="AF33" s="2233"/>
      <c r="AG33" s="2233"/>
      <c r="AH33" s="2233"/>
      <c r="AI33" s="2233"/>
      <c r="AJ33" s="2233"/>
      <c r="AK33" s="2233"/>
      <c r="AL33" s="2233"/>
      <c r="AM33" s="2233"/>
      <c r="AN33" s="2233"/>
      <c r="AO33" s="2233"/>
      <c r="AP33" s="2233"/>
      <c r="AQ33" s="2233"/>
      <c r="AR33" s="2233"/>
      <c r="AS33" s="2233"/>
      <c r="AT33" s="2233"/>
      <c r="AU33" s="2233"/>
      <c r="AV33" s="2233"/>
      <c r="AW33" s="2233"/>
      <c r="AX33" s="2233"/>
      <c r="AY33" s="2233"/>
      <c r="AZ33" s="2233"/>
      <c r="BA33" s="2233"/>
      <c r="BB33" s="2233"/>
      <c r="BC33" s="2233"/>
      <c r="BD33" s="2233"/>
      <c r="BE33" s="2233"/>
      <c r="BF33" s="2233"/>
      <c r="BG33" s="2233"/>
      <c r="BH33" s="2233"/>
      <c r="BI33" s="2233"/>
      <c r="BJ33" s="2233"/>
      <c r="BK33" s="2233"/>
      <c r="BL33" s="2233"/>
      <c r="BM33" s="2233"/>
      <c r="BN33" s="2233"/>
      <c r="BO33" s="2233"/>
      <c r="BP33" s="2233"/>
      <c r="BQ33" s="2233"/>
      <c r="BR33" s="2233"/>
      <c r="BS33" s="2233"/>
      <c r="BT33" s="2233"/>
      <c r="BU33" s="2233"/>
      <c r="BV33" s="2233"/>
      <c r="BW33" s="2233"/>
      <c r="BX33" s="2233"/>
      <c r="BY33" s="2233"/>
      <c r="BZ33" s="2233"/>
      <c r="CA33" s="2233"/>
      <c r="CB33" s="2233"/>
      <c r="CC33" s="2233"/>
      <c r="CD33" s="2233"/>
      <c r="CE33" s="2233"/>
      <c r="CF33" s="2233"/>
      <c r="CG33" s="2233"/>
      <c r="CH33" s="2233"/>
      <c r="CI33" s="2233"/>
      <c r="CJ33" s="2233"/>
      <c r="CK33" s="2233"/>
      <c r="CL33" s="2233"/>
      <c r="CM33" s="2233"/>
      <c r="CN33" s="2233"/>
      <c r="CO33" s="2233"/>
      <c r="CP33" s="2233"/>
      <c r="CQ33" s="2233"/>
      <c r="CR33" s="2233"/>
      <c r="CS33" s="2233"/>
      <c r="CT33" s="2233"/>
      <c r="CU33" s="2233"/>
      <c r="CV33" s="2233"/>
      <c r="CW33" s="2233"/>
      <c r="CX33" s="2233"/>
      <c r="CY33" s="2233"/>
      <c r="CZ33" s="2233"/>
      <c r="DA33" s="2233"/>
      <c r="DB33" s="2233"/>
      <c r="DC33" s="2233"/>
      <c r="DD33" s="2233"/>
      <c r="DE33" s="2233"/>
      <c r="DF33" s="2233"/>
      <c r="DG33" s="2233"/>
      <c r="DH33" s="2233"/>
      <c r="DI33" s="2233"/>
      <c r="DJ33" s="2233"/>
      <c r="DK33" s="2233"/>
      <c r="DL33" s="2233"/>
      <c r="DM33" s="2233"/>
      <c r="DN33" s="2233"/>
      <c r="DO33" s="2233"/>
      <c r="DP33" s="2233"/>
      <c r="DQ33" s="2233"/>
      <c r="DR33" s="2233"/>
      <c r="DS33" s="2233"/>
      <c r="DT33" s="2233"/>
      <c r="DU33" s="2233"/>
      <c r="DV33" s="2233"/>
      <c r="DW33" s="2233"/>
      <c r="DX33" s="2233"/>
      <c r="DY33" s="2233"/>
      <c r="DZ33" s="2233"/>
      <c r="EA33" s="2233"/>
      <c r="EB33" s="2233"/>
      <c r="EC33" s="2233"/>
      <c r="ED33" s="2233"/>
      <c r="EE33" s="2233"/>
      <c r="EF33" s="2233"/>
      <c r="EG33" s="2233"/>
      <c r="EH33" s="2233"/>
      <c r="EI33" s="2233"/>
      <c r="EJ33" s="2233"/>
      <c r="EK33" s="2233"/>
      <c r="EL33" s="2233"/>
      <c r="EM33" s="2233"/>
      <c r="EN33" s="2233"/>
      <c r="EO33" s="2233"/>
      <c r="EP33" s="2233"/>
      <c r="EQ33" s="2233"/>
      <c r="ER33" s="2233"/>
      <c r="ES33" s="2233"/>
      <c r="ET33" s="2233"/>
      <c r="EU33" s="2233"/>
      <c r="EV33" s="2233"/>
      <c r="EW33" s="2233"/>
      <c r="EX33" s="2233"/>
      <c r="EY33" s="2233"/>
      <c r="EZ33" s="2233"/>
      <c r="FA33" s="2233"/>
      <c r="FB33" s="2233"/>
      <c r="FC33" s="2233"/>
      <c r="FD33" s="2233"/>
      <c r="FE33" s="2233"/>
    </row>
    <row r="34" spans="1:161" ht="12.75" hidden="1" outlineLevel="1">
      <c r="A34" s="142" t="s">
        <v>240</v>
      </c>
      <c r="B34" s="2233" t="s">
        <v>1315</v>
      </c>
      <c r="C34" s="2233"/>
      <c r="D34" s="2233"/>
      <c r="E34" s="2233"/>
      <c r="F34" s="2233"/>
      <c r="G34" s="2233"/>
      <c r="H34" s="2233"/>
      <c r="I34" s="2233"/>
      <c r="J34" s="2233"/>
      <c r="K34" s="2233"/>
      <c r="L34" s="2233"/>
      <c r="M34" s="2233"/>
      <c r="N34" s="2233"/>
      <c r="O34" s="2233"/>
      <c r="P34" s="2233"/>
      <c r="Q34" s="2233"/>
      <c r="R34" s="2233"/>
      <c r="S34" s="2233"/>
      <c r="T34" s="2233"/>
      <c r="U34" s="2233"/>
      <c r="V34" s="2233"/>
      <c r="W34" s="2233"/>
      <c r="X34" s="2233"/>
      <c r="Y34" s="2233"/>
      <c r="Z34" s="2233"/>
      <c r="AA34" s="2233"/>
      <c r="AB34" s="2233"/>
      <c r="AC34" s="2233"/>
      <c r="AD34" s="2233"/>
      <c r="AE34" s="2233"/>
      <c r="AF34" s="2233"/>
      <c r="AG34" s="2233"/>
      <c r="AH34" s="2233"/>
      <c r="AI34" s="2233"/>
      <c r="AJ34" s="2233"/>
      <c r="AK34" s="2233"/>
      <c r="AL34" s="2233"/>
      <c r="AM34" s="2233"/>
      <c r="AN34" s="2233"/>
      <c r="AO34" s="2233"/>
      <c r="AP34" s="2233"/>
      <c r="AQ34" s="2233"/>
      <c r="AR34" s="2233"/>
      <c r="AS34" s="2233"/>
      <c r="AT34" s="2233"/>
      <c r="AU34" s="2233"/>
      <c r="AV34" s="2233"/>
      <c r="AW34" s="2233"/>
      <c r="AX34" s="2233"/>
      <c r="AY34" s="2233"/>
      <c r="AZ34" s="2233"/>
      <c r="BA34" s="2233"/>
      <c r="BB34" s="2233"/>
      <c r="BC34" s="2233"/>
      <c r="BD34" s="2233"/>
      <c r="BE34" s="2233"/>
      <c r="BF34" s="2233"/>
      <c r="BG34" s="2233"/>
      <c r="BH34" s="2233"/>
      <c r="BI34" s="2233"/>
      <c r="BJ34" s="2233"/>
      <c r="BK34" s="2233"/>
      <c r="BL34" s="2233"/>
      <c r="BM34" s="2233"/>
      <c r="BN34" s="2233"/>
      <c r="BO34" s="2233"/>
      <c r="BP34" s="2233"/>
      <c r="BQ34" s="2233"/>
      <c r="BR34" s="2233"/>
      <c r="BS34" s="2233"/>
      <c r="BT34" s="2233"/>
      <c r="BU34" s="2233"/>
      <c r="BV34" s="2233"/>
      <c r="BW34" s="2233"/>
      <c r="BX34" s="2233"/>
      <c r="BY34" s="2233"/>
      <c r="BZ34" s="2233"/>
      <c r="CA34" s="2233"/>
      <c r="CB34" s="2233"/>
      <c r="CC34" s="2233"/>
      <c r="CD34" s="2233"/>
      <c r="CE34" s="2233"/>
      <c r="CF34" s="2233"/>
      <c r="CG34" s="2233"/>
      <c r="CH34" s="2233"/>
      <c r="CI34" s="2233"/>
      <c r="CJ34" s="2233"/>
      <c r="CK34" s="2233"/>
      <c r="CL34" s="2233"/>
      <c r="CM34" s="2233"/>
      <c r="CN34" s="2233"/>
      <c r="CO34" s="2233"/>
      <c r="CP34" s="2233"/>
      <c r="CQ34" s="2233"/>
      <c r="CR34" s="2233"/>
      <c r="CS34" s="2233"/>
      <c r="CT34" s="2233"/>
      <c r="CU34" s="2233"/>
      <c r="CV34" s="2233"/>
      <c r="CW34" s="2233"/>
      <c r="CX34" s="2233"/>
      <c r="CY34" s="2233"/>
      <c r="CZ34" s="2233"/>
      <c r="DA34" s="2233"/>
      <c r="DB34" s="2233"/>
      <c r="DC34" s="2233"/>
      <c r="DD34" s="2233"/>
      <c r="DE34" s="2233"/>
      <c r="DF34" s="2233"/>
      <c r="DG34" s="2233"/>
      <c r="DH34" s="2233"/>
      <c r="DI34" s="2233"/>
      <c r="DJ34" s="2233"/>
      <c r="DK34" s="2233"/>
      <c r="DL34" s="2233"/>
      <c r="DM34" s="2233"/>
      <c r="DN34" s="2233"/>
      <c r="DO34" s="2233"/>
      <c r="DP34" s="2233"/>
      <c r="DQ34" s="2233"/>
      <c r="DR34" s="2233"/>
      <c r="DS34" s="2233"/>
      <c r="DT34" s="2233"/>
      <c r="DU34" s="2233"/>
      <c r="DV34" s="2233"/>
      <c r="DW34" s="2233"/>
      <c r="DX34" s="2233"/>
      <c r="DY34" s="2233"/>
      <c r="DZ34" s="2233"/>
      <c r="EA34" s="2233"/>
      <c r="EB34" s="2233"/>
      <c r="EC34" s="2233"/>
      <c r="ED34" s="2233"/>
      <c r="EE34" s="2233"/>
      <c r="EF34" s="2233"/>
      <c r="EG34" s="2233"/>
      <c r="EH34" s="2233"/>
      <c r="EI34" s="2233"/>
      <c r="EJ34" s="2233"/>
      <c r="EK34" s="2233"/>
      <c r="EL34" s="2233"/>
      <c r="EM34" s="2233"/>
      <c r="EN34" s="2233"/>
      <c r="EO34" s="2233"/>
      <c r="EP34" s="2233"/>
      <c r="EQ34" s="2233"/>
      <c r="ER34" s="2233"/>
      <c r="ES34" s="2233"/>
      <c r="ET34" s="2233"/>
      <c r="EU34" s="2233"/>
      <c r="EV34" s="2233"/>
      <c r="EW34" s="2233"/>
      <c r="EX34" s="2233"/>
      <c r="EY34" s="2233"/>
      <c r="EZ34" s="2233"/>
      <c r="FA34" s="2233"/>
      <c r="FB34" s="2233"/>
      <c r="FC34" s="2233"/>
      <c r="FD34" s="2233"/>
      <c r="FE34" s="2233"/>
    </row>
    <row r="35" spans="1:161" ht="12.75" hidden="1" outlineLevel="1">
      <c r="A35" s="142" t="s">
        <v>241</v>
      </c>
      <c r="B35" s="2233" t="s">
        <v>305</v>
      </c>
      <c r="C35" s="2233"/>
      <c r="D35" s="2233"/>
      <c r="E35" s="2233"/>
      <c r="F35" s="2233"/>
      <c r="G35" s="2233"/>
      <c r="H35" s="2233"/>
      <c r="I35" s="2233"/>
      <c r="J35" s="2233"/>
      <c r="K35" s="2233"/>
      <c r="L35" s="2233"/>
      <c r="M35" s="2233"/>
      <c r="N35" s="2233"/>
      <c r="O35" s="2233"/>
      <c r="P35" s="2233"/>
      <c r="Q35" s="2233"/>
      <c r="R35" s="2233"/>
      <c r="S35" s="2233"/>
      <c r="T35" s="2233"/>
      <c r="U35" s="2233"/>
      <c r="V35" s="2233"/>
      <c r="W35" s="2233"/>
      <c r="X35" s="2233"/>
      <c r="Y35" s="2233"/>
      <c r="Z35" s="2233"/>
      <c r="AA35" s="2233"/>
      <c r="AB35" s="2233"/>
      <c r="AC35" s="2233"/>
      <c r="AD35" s="2233"/>
      <c r="AE35" s="2233"/>
      <c r="AF35" s="2233"/>
      <c r="AG35" s="2233"/>
      <c r="AH35" s="2233"/>
      <c r="AI35" s="2233"/>
      <c r="AJ35" s="2233"/>
      <c r="AK35" s="2233"/>
      <c r="AL35" s="2233"/>
      <c r="AM35" s="2233"/>
      <c r="AN35" s="2233"/>
      <c r="AO35" s="2233"/>
      <c r="AP35" s="2233"/>
      <c r="AQ35" s="2233"/>
      <c r="AR35" s="2233"/>
      <c r="AS35" s="2233"/>
      <c r="AT35" s="2233"/>
      <c r="AU35" s="2233"/>
      <c r="AV35" s="2233"/>
      <c r="AW35" s="2233"/>
      <c r="AX35" s="2233"/>
      <c r="AY35" s="2233"/>
      <c r="AZ35" s="2233"/>
      <c r="BA35" s="2233"/>
      <c r="BB35" s="2233"/>
      <c r="BC35" s="2233"/>
      <c r="BD35" s="2233"/>
      <c r="BE35" s="2233"/>
      <c r="BF35" s="2233"/>
      <c r="BG35" s="2233"/>
      <c r="BH35" s="2233"/>
      <c r="BI35" s="2233"/>
      <c r="BJ35" s="2233"/>
      <c r="BK35" s="2233"/>
      <c r="BL35" s="2233"/>
      <c r="BM35" s="2233"/>
      <c r="BN35" s="2233"/>
      <c r="BO35" s="2233"/>
      <c r="BP35" s="2233"/>
      <c r="BQ35" s="2233"/>
      <c r="BR35" s="2233"/>
      <c r="BS35" s="2233"/>
      <c r="BT35" s="2233"/>
      <c r="BU35" s="2233"/>
      <c r="BV35" s="2233"/>
      <c r="BW35" s="2233"/>
      <c r="BX35" s="2233"/>
      <c r="BY35" s="2233"/>
      <c r="BZ35" s="2233"/>
      <c r="CA35" s="2233"/>
      <c r="CB35" s="2233"/>
      <c r="CC35" s="2233"/>
      <c r="CD35" s="2233"/>
      <c r="CE35" s="2233"/>
      <c r="CF35" s="2233"/>
      <c r="CG35" s="2233"/>
      <c r="CH35" s="2233"/>
      <c r="CI35" s="2233"/>
      <c r="CJ35" s="2233"/>
      <c r="CK35" s="2233"/>
      <c r="CL35" s="2233"/>
      <c r="CM35" s="2233"/>
      <c r="CN35" s="2233"/>
      <c r="CO35" s="2233"/>
      <c r="CP35" s="2233"/>
      <c r="CQ35" s="2233"/>
      <c r="CR35" s="2233"/>
      <c r="CS35" s="2233"/>
      <c r="CT35" s="2233"/>
      <c r="CU35" s="2233"/>
      <c r="CV35" s="2233"/>
      <c r="CW35" s="2233"/>
      <c r="CX35" s="2233"/>
      <c r="CY35" s="2233"/>
      <c r="CZ35" s="2233"/>
      <c r="DA35" s="2233"/>
      <c r="DB35" s="2233"/>
      <c r="DC35" s="2233"/>
      <c r="DD35" s="2233"/>
      <c r="DE35" s="2233"/>
      <c r="DF35" s="2233"/>
      <c r="DG35" s="2233"/>
      <c r="DH35" s="2233"/>
      <c r="DI35" s="2233"/>
      <c r="DJ35" s="2233"/>
      <c r="DK35" s="2233"/>
      <c r="DL35" s="2233"/>
      <c r="DM35" s="2233"/>
      <c r="DN35" s="2233"/>
      <c r="DO35" s="2233"/>
      <c r="DP35" s="2233"/>
      <c r="DQ35" s="2233"/>
      <c r="DR35" s="2233"/>
      <c r="DS35" s="2233"/>
      <c r="DT35" s="2233"/>
      <c r="DU35" s="2233"/>
      <c r="DV35" s="2233"/>
      <c r="DW35" s="2233"/>
      <c r="DX35" s="2233"/>
      <c r="DY35" s="2233"/>
      <c r="DZ35" s="2233"/>
      <c r="EA35" s="2233"/>
      <c r="EB35" s="2233"/>
      <c r="EC35" s="2233"/>
      <c r="ED35" s="2233"/>
      <c r="EE35" s="2233"/>
      <c r="EF35" s="2233"/>
      <c r="EG35" s="2233"/>
      <c r="EH35" s="2233"/>
      <c r="EI35" s="2233"/>
      <c r="EJ35" s="2233"/>
      <c r="EK35" s="2233"/>
      <c r="EL35" s="2233"/>
      <c r="EM35" s="2233"/>
      <c r="EN35" s="2233"/>
      <c r="EO35" s="2233"/>
      <c r="EP35" s="2233"/>
      <c r="EQ35" s="2233"/>
      <c r="ER35" s="2233"/>
      <c r="ES35" s="2233"/>
      <c r="ET35" s="2233"/>
      <c r="EU35" s="2233"/>
      <c r="EV35" s="2233"/>
      <c r="EW35" s="2233"/>
      <c r="EX35" s="2233"/>
      <c r="EY35" s="2233"/>
      <c r="EZ35" s="2233"/>
      <c r="FA35" s="2233"/>
      <c r="FB35" s="2233"/>
      <c r="FC35" s="2233"/>
      <c r="FD35" s="2233"/>
      <c r="FE35" s="2233"/>
    </row>
    <row r="36" spans="1:161" ht="12.75" hidden="1" outlineLevel="1">
      <c r="A36" s="142" t="s">
        <v>242</v>
      </c>
      <c r="B36" s="2233" t="s">
        <v>1519</v>
      </c>
      <c r="C36" s="2233"/>
      <c r="D36" s="2233"/>
      <c r="E36" s="2233"/>
      <c r="F36" s="2233"/>
      <c r="G36" s="2233"/>
      <c r="H36" s="2233"/>
      <c r="I36" s="2233"/>
      <c r="J36" s="2233"/>
      <c r="K36" s="2233"/>
      <c r="L36" s="2233"/>
      <c r="M36" s="2233"/>
      <c r="N36" s="2233"/>
      <c r="O36" s="2233"/>
      <c r="P36" s="2233"/>
      <c r="Q36" s="2233"/>
      <c r="R36" s="2233"/>
      <c r="S36" s="2233"/>
      <c r="T36" s="2233"/>
      <c r="U36" s="2233"/>
      <c r="V36" s="2233"/>
      <c r="W36" s="2233"/>
      <c r="X36" s="2233"/>
      <c r="Y36" s="2233"/>
      <c r="Z36" s="2233"/>
      <c r="AA36" s="2233"/>
      <c r="AB36" s="2233"/>
      <c r="AC36" s="2233"/>
      <c r="AD36" s="2233"/>
      <c r="AE36" s="2233"/>
      <c r="AF36" s="2233"/>
      <c r="AG36" s="2233"/>
      <c r="AH36" s="2233"/>
      <c r="AI36" s="2233"/>
      <c r="AJ36" s="2233"/>
      <c r="AK36" s="2233"/>
      <c r="AL36" s="2233"/>
      <c r="AM36" s="2233"/>
      <c r="AN36" s="2233"/>
      <c r="AO36" s="2233"/>
      <c r="AP36" s="2233"/>
      <c r="AQ36" s="2233"/>
      <c r="AR36" s="2233"/>
      <c r="AS36" s="2233"/>
      <c r="AT36" s="2233"/>
      <c r="AU36" s="2233"/>
      <c r="AV36" s="2233"/>
      <c r="AW36" s="2233"/>
      <c r="AX36" s="2233"/>
      <c r="AY36" s="2233"/>
      <c r="AZ36" s="2233"/>
      <c r="BA36" s="2233"/>
      <c r="BB36" s="2233"/>
      <c r="BC36" s="2233"/>
      <c r="BD36" s="2233"/>
      <c r="BE36" s="2233"/>
      <c r="BF36" s="2233"/>
      <c r="BG36" s="2233"/>
      <c r="BH36" s="2233"/>
      <c r="BI36" s="2233"/>
      <c r="BJ36" s="2233"/>
      <c r="BK36" s="2233"/>
      <c r="BL36" s="2233"/>
      <c r="BM36" s="2233"/>
      <c r="BN36" s="2233"/>
      <c r="BO36" s="2233"/>
      <c r="BP36" s="2233"/>
      <c r="BQ36" s="2233"/>
      <c r="BR36" s="2233"/>
      <c r="BS36" s="2233"/>
      <c r="BT36" s="2233"/>
      <c r="BU36" s="2233"/>
      <c r="BV36" s="2233"/>
      <c r="BW36" s="2233"/>
      <c r="BX36" s="2233"/>
      <c r="BY36" s="2233"/>
      <c r="BZ36" s="2233"/>
      <c r="CA36" s="2233"/>
      <c r="CB36" s="2233"/>
      <c r="CC36" s="2233"/>
      <c r="CD36" s="2233"/>
      <c r="CE36" s="2233"/>
      <c r="CF36" s="2233"/>
      <c r="CG36" s="2233"/>
      <c r="CH36" s="2233"/>
      <c r="CI36" s="2233"/>
      <c r="CJ36" s="2233"/>
      <c r="CK36" s="2233"/>
      <c r="CL36" s="2233"/>
      <c r="CM36" s="2233"/>
      <c r="CN36" s="2233"/>
      <c r="CO36" s="2233"/>
      <c r="CP36" s="2233"/>
      <c r="CQ36" s="2233"/>
      <c r="CR36" s="2233"/>
      <c r="CS36" s="2233"/>
      <c r="CT36" s="2233"/>
      <c r="CU36" s="2233"/>
      <c r="CV36" s="2233"/>
      <c r="CW36" s="2233"/>
      <c r="CX36" s="2233"/>
      <c r="CY36" s="2233"/>
      <c r="CZ36" s="2233"/>
      <c r="DA36" s="2233"/>
      <c r="DB36" s="2233"/>
      <c r="DC36" s="2233"/>
      <c r="DD36" s="2233"/>
      <c r="DE36" s="2233"/>
      <c r="DF36" s="2233"/>
      <c r="DG36" s="2233"/>
      <c r="DH36" s="2233"/>
      <c r="DI36" s="2233"/>
      <c r="DJ36" s="2233"/>
      <c r="DK36" s="2233"/>
      <c r="DL36" s="2233"/>
      <c r="DM36" s="2233"/>
      <c r="DN36" s="2233"/>
      <c r="DO36" s="2233"/>
      <c r="DP36" s="2233"/>
      <c r="DQ36" s="2233"/>
      <c r="DR36" s="2233"/>
      <c r="DS36" s="2233"/>
      <c r="DT36" s="2233"/>
      <c r="DU36" s="2233"/>
      <c r="DV36" s="2233"/>
      <c r="DW36" s="2233"/>
      <c r="DX36" s="2233"/>
      <c r="DY36" s="2233"/>
      <c r="DZ36" s="2233"/>
      <c r="EA36" s="2233"/>
      <c r="EB36" s="2233"/>
      <c r="EC36" s="2233"/>
      <c r="ED36" s="2233"/>
      <c r="EE36" s="2233"/>
      <c r="EF36" s="2233"/>
      <c r="EG36" s="2233"/>
      <c r="EH36" s="2233"/>
      <c r="EI36" s="2233"/>
      <c r="EJ36" s="2233"/>
      <c r="EK36" s="2233"/>
      <c r="EL36" s="2233"/>
      <c r="EM36" s="2233"/>
      <c r="EN36" s="2233"/>
      <c r="EO36" s="2233"/>
      <c r="EP36" s="2233"/>
      <c r="EQ36" s="2233"/>
      <c r="ER36" s="2233"/>
      <c r="ES36" s="2233"/>
      <c r="ET36" s="2233"/>
      <c r="EU36" s="2233"/>
      <c r="EV36" s="2233"/>
      <c r="EW36" s="2233"/>
      <c r="EX36" s="2233"/>
      <c r="EY36" s="2233"/>
      <c r="EZ36" s="2233"/>
      <c r="FA36" s="2233"/>
      <c r="FB36" s="2233"/>
      <c r="FC36" s="2233"/>
      <c r="FD36" s="2233"/>
      <c r="FE36" s="2233"/>
    </row>
    <row r="37" spans="1:161" ht="12.75" hidden="1" outlineLevel="1">
      <c r="A37" s="143" t="s">
        <v>243</v>
      </c>
      <c r="B37" s="141" t="s">
        <v>1520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</row>
    <row r="38" spans="1:161" ht="12.75" hidden="1" outlineLevel="1">
      <c r="A38" s="143" t="s">
        <v>244</v>
      </c>
      <c r="B38" s="141" t="s">
        <v>1521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</row>
    <row r="39" spans="1:161" ht="12.75" hidden="1" outlineLevel="1">
      <c r="A39" s="141"/>
      <c r="B39" s="141" t="s">
        <v>1522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</row>
    <row r="40" spans="1:161" ht="12.75" hidden="1" outlineLevel="1">
      <c r="A40" s="141"/>
      <c r="B40" s="141" t="s">
        <v>1523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</row>
    <row r="41" spans="1:161" ht="12.75" hidden="1" outlineLevel="1">
      <c r="A41" s="141"/>
      <c r="B41" s="141" t="s">
        <v>1524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</row>
    <row r="42" spans="1:161" ht="12.75" hidden="1" outlineLevel="1">
      <c r="A42" s="141"/>
      <c r="B42" s="141" t="s">
        <v>1525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</row>
    <row r="43" spans="1:161" ht="12.75" hidden="1" outlineLevel="1">
      <c r="A43" s="141"/>
      <c r="B43" s="141" t="s">
        <v>1526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</row>
    <row r="44" spans="1:161" ht="12.75" hidden="1" outlineLevel="1">
      <c r="A44" s="141"/>
      <c r="B44" s="141" t="s">
        <v>1527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</row>
    <row r="45" spans="1:161" ht="12.75" hidden="1" outlineLevel="1">
      <c r="A45" s="142" t="s">
        <v>245</v>
      </c>
      <c r="B45" s="2233" t="s">
        <v>1486</v>
      </c>
      <c r="C45" s="2233"/>
      <c r="D45" s="2233"/>
      <c r="E45" s="2233"/>
      <c r="F45" s="2233"/>
      <c r="G45" s="2233"/>
      <c r="H45" s="2233"/>
      <c r="I45" s="2233"/>
      <c r="J45" s="2233"/>
      <c r="K45" s="2233"/>
      <c r="L45" s="2233"/>
      <c r="M45" s="2233"/>
      <c r="N45" s="2233"/>
      <c r="O45" s="2233"/>
      <c r="P45" s="2233"/>
      <c r="Q45" s="2233"/>
      <c r="R45" s="2233"/>
      <c r="S45" s="2233"/>
      <c r="T45" s="2233"/>
      <c r="U45" s="2233"/>
      <c r="V45" s="2233"/>
      <c r="W45" s="2233"/>
      <c r="X45" s="2233"/>
      <c r="Y45" s="2233"/>
      <c r="Z45" s="2233"/>
      <c r="AA45" s="2233"/>
      <c r="AB45" s="2233"/>
      <c r="AC45" s="2233"/>
      <c r="AD45" s="2233"/>
      <c r="AE45" s="2233"/>
      <c r="AF45" s="2233"/>
      <c r="AG45" s="2233"/>
      <c r="AH45" s="2233"/>
      <c r="AI45" s="2233"/>
      <c r="AJ45" s="2233"/>
      <c r="AK45" s="2233"/>
      <c r="AL45" s="2233"/>
      <c r="AM45" s="2233"/>
      <c r="AN45" s="2233"/>
      <c r="AO45" s="2233"/>
      <c r="AP45" s="2233"/>
      <c r="AQ45" s="2233"/>
      <c r="AR45" s="2233"/>
      <c r="AS45" s="2233"/>
      <c r="AT45" s="2233"/>
      <c r="AU45" s="2233"/>
      <c r="AV45" s="2233"/>
      <c r="AW45" s="2233"/>
      <c r="AX45" s="2233"/>
      <c r="AY45" s="2233"/>
      <c r="AZ45" s="2233"/>
      <c r="BA45" s="2233"/>
      <c r="BB45" s="2233"/>
      <c r="BC45" s="2233"/>
      <c r="BD45" s="2233"/>
      <c r="BE45" s="2233"/>
      <c r="BF45" s="2233"/>
      <c r="BG45" s="2233"/>
      <c r="BH45" s="2233"/>
      <c r="BI45" s="2233"/>
      <c r="BJ45" s="2233"/>
      <c r="BK45" s="2233"/>
      <c r="BL45" s="2233"/>
      <c r="BM45" s="2233"/>
      <c r="BN45" s="2233"/>
      <c r="BO45" s="2233"/>
      <c r="BP45" s="2233"/>
      <c r="BQ45" s="2233"/>
      <c r="BR45" s="2233"/>
      <c r="BS45" s="2233"/>
      <c r="BT45" s="2233"/>
      <c r="BU45" s="2233"/>
      <c r="BV45" s="2233"/>
      <c r="BW45" s="2233"/>
      <c r="BX45" s="2233"/>
      <c r="BY45" s="2233"/>
      <c r="BZ45" s="2233"/>
      <c r="CA45" s="2233"/>
      <c r="CB45" s="2233"/>
      <c r="CC45" s="2233"/>
      <c r="CD45" s="2233"/>
      <c r="CE45" s="2233"/>
      <c r="CF45" s="2233"/>
      <c r="CG45" s="2233"/>
      <c r="CH45" s="2233"/>
      <c r="CI45" s="2233"/>
      <c r="CJ45" s="2233"/>
      <c r="CK45" s="2233"/>
      <c r="CL45" s="2233"/>
      <c r="CM45" s="2233"/>
      <c r="CN45" s="2233"/>
      <c r="CO45" s="2233"/>
      <c r="CP45" s="2233"/>
      <c r="CQ45" s="2233"/>
      <c r="CR45" s="2233"/>
      <c r="CS45" s="2233"/>
      <c r="CT45" s="2233"/>
      <c r="CU45" s="2233"/>
      <c r="CV45" s="2233"/>
      <c r="CW45" s="2233"/>
      <c r="CX45" s="2233"/>
      <c r="CY45" s="2233"/>
      <c r="CZ45" s="2233"/>
      <c r="DA45" s="2233"/>
      <c r="DB45" s="2233"/>
      <c r="DC45" s="2233"/>
      <c r="DD45" s="2233"/>
      <c r="DE45" s="2233"/>
      <c r="DF45" s="2233"/>
      <c r="DG45" s="2233"/>
      <c r="DH45" s="2233"/>
      <c r="DI45" s="2233"/>
      <c r="DJ45" s="2233"/>
      <c r="DK45" s="2233"/>
      <c r="DL45" s="2233"/>
      <c r="DM45" s="2233"/>
      <c r="DN45" s="2233"/>
      <c r="DO45" s="2233"/>
      <c r="DP45" s="2233"/>
      <c r="DQ45" s="2233"/>
      <c r="DR45" s="2233"/>
      <c r="DS45" s="2233"/>
      <c r="DT45" s="2233"/>
      <c r="DU45" s="2233"/>
      <c r="DV45" s="2233"/>
      <c r="DW45" s="2233"/>
      <c r="DX45" s="2233"/>
      <c r="DY45" s="2233"/>
      <c r="DZ45" s="2233"/>
      <c r="EA45" s="2233"/>
      <c r="EB45" s="2233"/>
      <c r="EC45" s="2233"/>
      <c r="ED45" s="2233"/>
      <c r="EE45" s="2233"/>
      <c r="EF45" s="2233"/>
      <c r="EG45" s="2233"/>
      <c r="EH45" s="2233"/>
      <c r="EI45" s="2233"/>
      <c r="EJ45" s="2233"/>
      <c r="EK45" s="2233"/>
      <c r="EL45" s="2233"/>
      <c r="EM45" s="2233"/>
      <c r="EN45" s="2233"/>
      <c r="EO45" s="2233"/>
      <c r="EP45" s="2233"/>
      <c r="EQ45" s="2233"/>
      <c r="ER45" s="2233"/>
      <c r="ES45" s="2233"/>
      <c r="ET45" s="2233"/>
      <c r="EU45" s="2233"/>
      <c r="EV45" s="2233"/>
      <c r="EW45" s="2233"/>
      <c r="EX45" s="2233"/>
      <c r="EY45" s="2233"/>
      <c r="EZ45" s="2233"/>
      <c r="FA45" s="2233"/>
      <c r="FB45" s="2233"/>
      <c r="FC45" s="2233"/>
      <c r="FD45" s="2233"/>
      <c r="FE45" s="2233"/>
    </row>
    <row r="46" ht="12.75" collapsed="1"/>
    <row r="48" ht="13.5">
      <c r="A48" s="7" t="s">
        <v>1244</v>
      </c>
    </row>
  </sheetData>
  <sheetProtection/>
  <mergeCells count="22">
    <mergeCell ref="A6:A9"/>
    <mergeCell ref="B6:B9"/>
    <mergeCell ref="W8:AA8"/>
    <mergeCell ref="AG8:AK8"/>
    <mergeCell ref="R6:AU6"/>
    <mergeCell ref="AG7:AU7"/>
    <mergeCell ref="AT1:AU1"/>
    <mergeCell ref="AL8:AP8"/>
    <mergeCell ref="C6:Q6"/>
    <mergeCell ref="C7:G8"/>
    <mergeCell ref="H7:L8"/>
    <mergeCell ref="AB8:AF8"/>
    <mergeCell ref="R7:AF7"/>
    <mergeCell ref="AG1:AH1"/>
    <mergeCell ref="B45:FE45"/>
    <mergeCell ref="AQ8:AU8"/>
    <mergeCell ref="M7:Q8"/>
    <mergeCell ref="R8:V8"/>
    <mergeCell ref="B33:FE33"/>
    <mergeCell ref="B34:FE34"/>
    <mergeCell ref="B35:FE35"/>
    <mergeCell ref="B36:FE36"/>
  </mergeCells>
  <printOptions/>
  <pageMargins left="0.7086614173228347" right="0.7086614173228347" top="0.46" bottom="0.43" header="0.31496062992125984" footer="0.31496062992125984"/>
  <pageSetup fitToHeight="3" fitToWidth="1" horizontalDpi="600" verticalDpi="600" orientation="landscape" paperSize="9" scale="2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2"/>
  <sheetViews>
    <sheetView zoomScaleSheetLayoutView="100" workbookViewId="0" topLeftCell="A1">
      <pane xSplit="2" ySplit="10" topLeftCell="C11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/>
  <cols>
    <col min="1" max="1" width="9.140625" style="1" customWidth="1"/>
    <col min="2" max="2" width="22.00390625" style="1" customWidth="1"/>
    <col min="3" max="3" width="11.28125" style="1" customWidth="1"/>
    <col min="4" max="4" width="9.8515625" style="1" customWidth="1"/>
    <col min="5" max="5" width="14.140625" style="1" customWidth="1"/>
    <col min="6" max="6" width="11.8515625" style="1" customWidth="1"/>
    <col min="7" max="7" width="10.8515625" style="1" customWidth="1"/>
    <col min="8" max="8" width="9.140625" style="1" customWidth="1"/>
    <col min="9" max="9" width="9.28125" style="1" customWidth="1"/>
    <col min="10" max="16384" width="9.140625" style="1" customWidth="1"/>
  </cols>
  <sheetData>
    <row r="1" spans="1:10" ht="15">
      <c r="A1" s="52" t="s">
        <v>701</v>
      </c>
      <c r="B1" s="52"/>
      <c r="C1" s="52"/>
      <c r="D1" s="52"/>
      <c r="E1" s="52"/>
      <c r="I1" s="2234" t="s">
        <v>45</v>
      </c>
      <c r="J1" s="2234"/>
    </row>
    <row r="2" spans="1:5" ht="12.75">
      <c r="A2" s="52" t="s">
        <v>405</v>
      </c>
      <c r="B2" s="52"/>
      <c r="C2" s="52"/>
      <c r="D2" s="52"/>
      <c r="E2" s="52"/>
    </row>
    <row r="4" spans="1:10" ht="16.5">
      <c r="A4" s="2181" t="s">
        <v>341</v>
      </c>
      <c r="B4" s="2181"/>
      <c r="C4" s="2181"/>
      <c r="D4" s="2181"/>
      <c r="E4" s="2181"/>
      <c r="F4" s="2181"/>
      <c r="G4" s="2181"/>
      <c r="H4" s="2181"/>
      <c r="I4" s="2181"/>
      <c r="J4" s="2181"/>
    </row>
    <row r="5" ht="13.5">
      <c r="A5" s="550" t="s">
        <v>1087</v>
      </c>
    </row>
    <row r="6" spans="1:10" ht="12.75" customHeight="1">
      <c r="A6" s="2069" t="s">
        <v>1662</v>
      </c>
      <c r="B6" s="2054" t="s">
        <v>46</v>
      </c>
      <c r="C6" s="2069" t="s">
        <v>47</v>
      </c>
      <c r="D6" s="2069" t="s">
        <v>48</v>
      </c>
      <c r="E6" s="2057" t="s">
        <v>49</v>
      </c>
      <c r="F6" s="2057"/>
      <c r="G6" s="2057"/>
      <c r="H6" s="2085" t="s">
        <v>50</v>
      </c>
      <c r="I6" s="2086"/>
      <c r="J6" s="2074"/>
    </row>
    <row r="7" spans="1:10" ht="12.75" customHeight="1">
      <c r="A7" s="2070"/>
      <c r="B7" s="2135"/>
      <c r="C7" s="2070"/>
      <c r="D7" s="2070"/>
      <c r="E7" s="2069" t="s">
        <v>452</v>
      </c>
      <c r="F7" s="2241" t="s">
        <v>51</v>
      </c>
      <c r="G7" s="2242"/>
      <c r="H7" s="2069" t="s">
        <v>52</v>
      </c>
      <c r="I7" s="2069" t="s">
        <v>53</v>
      </c>
      <c r="J7" s="2069" t="s">
        <v>1676</v>
      </c>
    </row>
    <row r="8" spans="1:10" ht="26.25">
      <c r="A8" s="2070"/>
      <c r="B8" s="2135"/>
      <c r="C8" s="2070"/>
      <c r="D8" s="2070"/>
      <c r="E8" s="2048"/>
      <c r="F8" s="22" t="s">
        <v>54</v>
      </c>
      <c r="G8" s="22" t="s">
        <v>55</v>
      </c>
      <c r="H8" s="2070"/>
      <c r="I8" s="2070"/>
      <c r="J8" s="2070"/>
    </row>
    <row r="9" spans="1:10" ht="66">
      <c r="A9" s="2048"/>
      <c r="B9" s="2056"/>
      <c r="C9" s="2048"/>
      <c r="D9" s="2048"/>
      <c r="E9" s="22" t="s">
        <v>56</v>
      </c>
      <c r="F9" s="22" t="s">
        <v>57</v>
      </c>
      <c r="G9" s="22" t="s">
        <v>56</v>
      </c>
      <c r="H9" s="2048"/>
      <c r="I9" s="2048"/>
      <c r="J9" s="2048"/>
    </row>
    <row r="10" spans="1:10" ht="15" customHeight="1">
      <c r="A10" s="4">
        <v>1</v>
      </c>
      <c r="B10" s="5">
        <v>2</v>
      </c>
      <c r="C10" s="4">
        <v>3</v>
      </c>
      <c r="D10" s="5">
        <v>4</v>
      </c>
      <c r="E10" s="4">
        <v>5</v>
      </c>
      <c r="F10" s="5">
        <v>6</v>
      </c>
      <c r="G10" s="4">
        <v>7</v>
      </c>
      <c r="H10" s="5">
        <v>8</v>
      </c>
      <c r="I10" s="4">
        <v>9</v>
      </c>
      <c r="J10" s="4">
        <v>10</v>
      </c>
    </row>
    <row r="11" spans="1:10" s="596" customFormat="1" ht="12.75">
      <c r="A11" s="14"/>
      <c r="B11" s="14"/>
      <c r="C11" s="14"/>
      <c r="D11" s="14"/>
      <c r="E11" s="595"/>
      <c r="F11" s="14"/>
      <c r="G11" s="14"/>
      <c r="H11" s="14"/>
      <c r="I11" s="14"/>
      <c r="J11" s="14"/>
    </row>
    <row r="12" spans="1:10" ht="13.5" customHeight="1">
      <c r="A12" s="2243" t="s">
        <v>1659</v>
      </c>
      <c r="B12" s="2244"/>
      <c r="C12" s="2244"/>
      <c r="D12" s="2244"/>
      <c r="E12" s="2244"/>
      <c r="F12" s="2244"/>
      <c r="G12" s="2244"/>
      <c r="H12" s="2244"/>
      <c r="I12" s="2244"/>
      <c r="J12" s="2245"/>
    </row>
    <row r="13" spans="1:10" ht="12.75" hidden="1">
      <c r="A13" s="2094" t="s">
        <v>69</v>
      </c>
      <c r="B13" s="2095"/>
      <c r="C13" s="2095"/>
      <c r="D13" s="2095"/>
      <c r="E13" s="2095"/>
      <c r="F13" s="2095"/>
      <c r="G13" s="2095"/>
      <c r="H13" s="2095"/>
      <c r="I13" s="2095"/>
      <c r="J13" s="2079"/>
    </row>
    <row r="14" spans="1:10" ht="12.75" hidden="1">
      <c r="A14" s="14" t="s">
        <v>1671</v>
      </c>
      <c r="B14" s="26" t="s">
        <v>449</v>
      </c>
      <c r="C14" s="19">
        <v>95.779</v>
      </c>
      <c r="D14" s="19">
        <f>C14/(273*24)*1000</f>
        <v>14.618284493284492</v>
      </c>
      <c r="E14" s="1135">
        <v>6.58</v>
      </c>
      <c r="F14" s="539"/>
      <c r="G14" s="539"/>
      <c r="H14" s="539"/>
      <c r="I14" s="539"/>
      <c r="J14" s="597">
        <f>C14*E14</f>
        <v>630.22582</v>
      </c>
    </row>
    <row r="15" spans="1:10" ht="12.75" hidden="1">
      <c r="A15" s="14" t="s">
        <v>1663</v>
      </c>
      <c r="B15" s="6" t="s">
        <v>59</v>
      </c>
      <c r="C15" s="598"/>
      <c r="D15" s="4"/>
      <c r="E15" s="18"/>
      <c r="F15" s="4"/>
      <c r="G15" s="4"/>
      <c r="H15" s="4"/>
      <c r="I15" s="4"/>
      <c r="J15" s="598"/>
    </row>
    <row r="16" spans="1:10" ht="12.75" hidden="1">
      <c r="A16" s="14" t="s">
        <v>424</v>
      </c>
      <c r="B16" s="6" t="s">
        <v>60</v>
      </c>
      <c r="C16" s="598"/>
      <c r="D16" s="4"/>
      <c r="E16" s="18"/>
      <c r="F16" s="4"/>
      <c r="G16" s="4"/>
      <c r="H16" s="4"/>
      <c r="I16" s="4"/>
      <c r="J16" s="598"/>
    </row>
    <row r="17" spans="1:10" ht="12.75" hidden="1">
      <c r="A17" s="14" t="s">
        <v>230</v>
      </c>
      <c r="B17" s="1136"/>
      <c r="C17" s="18"/>
      <c r="D17" s="182"/>
      <c r="E17" s="598"/>
      <c r="F17" s="4"/>
      <c r="G17" s="4"/>
      <c r="H17" s="4"/>
      <c r="I17" s="4"/>
      <c r="J17" s="598">
        <f>C17*E17</f>
        <v>0</v>
      </c>
    </row>
    <row r="18" spans="1:10" ht="12.75" hidden="1">
      <c r="A18" s="14"/>
      <c r="B18" s="599"/>
      <c r="C18" s="598"/>
      <c r="D18" s="4"/>
      <c r="E18" s="18"/>
      <c r="F18" s="4"/>
      <c r="G18" s="4"/>
      <c r="H18" s="4"/>
      <c r="I18" s="4"/>
      <c r="J18" s="598"/>
    </row>
    <row r="19" spans="1:10" ht="26.25" hidden="1" outlineLevel="1">
      <c r="A19" s="14" t="s">
        <v>1664</v>
      </c>
      <c r="B19" s="26" t="s">
        <v>1505</v>
      </c>
      <c r="C19" s="598"/>
      <c r="D19" s="4"/>
      <c r="E19" s="18"/>
      <c r="F19" s="4"/>
      <c r="G19" s="4"/>
      <c r="H19" s="4"/>
      <c r="I19" s="4"/>
      <c r="J19" s="598"/>
    </row>
    <row r="20" spans="1:10" ht="12.75" hidden="1" outlineLevel="1">
      <c r="A20" s="14" t="s">
        <v>1665</v>
      </c>
      <c r="B20" s="599" t="s">
        <v>450</v>
      </c>
      <c r="C20" s="598"/>
      <c r="D20" s="4"/>
      <c r="E20" s="18"/>
      <c r="F20" s="4"/>
      <c r="G20" s="4"/>
      <c r="H20" s="4"/>
      <c r="I20" s="4"/>
      <c r="J20" s="598"/>
    </row>
    <row r="21" spans="1:10" ht="12.75" hidden="1" outlineLevel="1">
      <c r="A21" s="14" t="s">
        <v>1666</v>
      </c>
      <c r="B21" s="28" t="s">
        <v>211</v>
      </c>
      <c r="C21" s="598"/>
      <c r="D21" s="4"/>
      <c r="E21" s="18"/>
      <c r="F21" s="4"/>
      <c r="G21" s="4"/>
      <c r="H21" s="4"/>
      <c r="I21" s="4"/>
      <c r="J21" s="598"/>
    </row>
    <row r="22" spans="1:10" ht="12.75" hidden="1">
      <c r="A22" s="2089" t="s">
        <v>68</v>
      </c>
      <c r="B22" s="2087"/>
      <c r="C22" s="2087"/>
      <c r="D22" s="2087"/>
      <c r="E22" s="2087"/>
      <c r="F22" s="2087"/>
      <c r="G22" s="2087"/>
      <c r="H22" s="2087"/>
      <c r="I22" s="2087"/>
      <c r="J22" s="2088"/>
    </row>
    <row r="23" spans="1:10" ht="26.25" hidden="1">
      <c r="A23" s="14" t="s">
        <v>1671</v>
      </c>
      <c r="B23" s="26" t="s">
        <v>58</v>
      </c>
      <c r="C23" s="19">
        <f>SUM(C26:C27)</f>
        <v>0</v>
      </c>
      <c r="D23" s="19">
        <f>SUM(D26:D27)</f>
        <v>0</v>
      </c>
      <c r="E23" s="597">
        <f>SUM(E26:E27)</f>
        <v>0</v>
      </c>
      <c r="F23" s="539"/>
      <c r="G23" s="539"/>
      <c r="H23" s="539"/>
      <c r="I23" s="539"/>
      <c r="J23" s="597">
        <f>SUM(J26:J27)</f>
        <v>0</v>
      </c>
    </row>
    <row r="24" spans="1:10" ht="12.75" hidden="1">
      <c r="A24" s="14" t="s">
        <v>1663</v>
      </c>
      <c r="B24" s="6" t="s">
        <v>59</v>
      </c>
      <c r="C24" s="598"/>
      <c r="D24" s="4"/>
      <c r="E24" s="18"/>
      <c r="F24" s="4"/>
      <c r="G24" s="4"/>
      <c r="H24" s="4"/>
      <c r="I24" s="4"/>
      <c r="J24" s="598"/>
    </row>
    <row r="25" spans="1:10" ht="12.75" hidden="1">
      <c r="A25" s="14" t="s">
        <v>424</v>
      </c>
      <c r="B25" s="6" t="s">
        <v>60</v>
      </c>
      <c r="C25" s="598"/>
      <c r="D25" s="4"/>
      <c r="E25" s="18"/>
      <c r="F25" s="4"/>
      <c r="G25" s="4"/>
      <c r="H25" s="4"/>
      <c r="I25" s="4"/>
      <c r="J25" s="598"/>
    </row>
    <row r="26" spans="1:10" ht="12.75" hidden="1">
      <c r="A26" s="14" t="s">
        <v>230</v>
      </c>
      <c r="B26" s="1136"/>
      <c r="C26" s="18"/>
      <c r="D26" s="182"/>
      <c r="E26" s="598"/>
      <c r="F26" s="4"/>
      <c r="G26" s="4"/>
      <c r="H26" s="4"/>
      <c r="I26" s="4"/>
      <c r="J26" s="598">
        <f>C26*E26</f>
        <v>0</v>
      </c>
    </row>
    <row r="27" spans="1:10" ht="12.75" hidden="1">
      <c r="A27" s="14"/>
      <c r="B27" s="599"/>
      <c r="C27" s="598"/>
      <c r="D27" s="4"/>
      <c r="E27" s="18"/>
      <c r="F27" s="4"/>
      <c r="G27" s="4"/>
      <c r="H27" s="4"/>
      <c r="I27" s="4"/>
      <c r="J27" s="598"/>
    </row>
    <row r="28" spans="1:10" ht="26.25" hidden="1" outlineLevel="1">
      <c r="A28" s="14" t="s">
        <v>1664</v>
      </c>
      <c r="B28" s="26" t="s">
        <v>1505</v>
      </c>
      <c r="C28" s="598"/>
      <c r="D28" s="4"/>
      <c r="E28" s="18"/>
      <c r="F28" s="4"/>
      <c r="G28" s="4"/>
      <c r="H28" s="4"/>
      <c r="I28" s="4"/>
      <c r="J28" s="598"/>
    </row>
    <row r="29" spans="1:10" ht="12.75" hidden="1" outlineLevel="1">
      <c r="A29" s="14" t="s">
        <v>1665</v>
      </c>
      <c r="B29" s="599"/>
      <c r="C29" s="598"/>
      <c r="D29" s="4"/>
      <c r="E29" s="18"/>
      <c r="F29" s="4"/>
      <c r="G29" s="4"/>
      <c r="H29" s="4"/>
      <c r="I29" s="4"/>
      <c r="J29" s="598"/>
    </row>
    <row r="30" spans="1:10" ht="12.75" hidden="1" outlineLevel="1">
      <c r="A30" s="14" t="s">
        <v>1666</v>
      </c>
      <c r="B30" s="28" t="s">
        <v>211</v>
      </c>
      <c r="C30" s="598"/>
      <c r="D30" s="4"/>
      <c r="E30" s="18"/>
      <c r="F30" s="4"/>
      <c r="G30" s="4"/>
      <c r="H30" s="4"/>
      <c r="I30" s="4"/>
      <c r="J30" s="598"/>
    </row>
    <row r="31" spans="1:10" ht="15.75" customHeight="1" hidden="1">
      <c r="A31" s="2094" t="s">
        <v>451</v>
      </c>
      <c r="B31" s="2095"/>
      <c r="C31" s="2095"/>
      <c r="D31" s="2095"/>
      <c r="E31" s="2095"/>
      <c r="F31" s="2095"/>
      <c r="G31" s="2095"/>
      <c r="H31" s="2095"/>
      <c r="I31" s="2095"/>
      <c r="J31" s="2079"/>
    </row>
    <row r="32" spans="1:10" ht="12.75" hidden="1">
      <c r="A32" s="14" t="s">
        <v>1671</v>
      </c>
      <c r="B32" s="26" t="s">
        <v>449</v>
      </c>
      <c r="C32" s="19">
        <v>60.3</v>
      </c>
      <c r="D32" s="19">
        <f>C32/(273*24)*1000</f>
        <v>9.203296703296704</v>
      </c>
      <c r="E32" s="1135">
        <v>6.518</v>
      </c>
      <c r="F32" s="539"/>
      <c r="G32" s="539"/>
      <c r="H32" s="539"/>
      <c r="I32" s="539"/>
      <c r="J32" s="597">
        <f>C32*E32</f>
        <v>393.0354</v>
      </c>
    </row>
    <row r="33" spans="1:10" ht="12.75" hidden="1">
      <c r="A33" s="14" t="s">
        <v>1663</v>
      </c>
      <c r="B33" s="6" t="s">
        <v>59</v>
      </c>
      <c r="C33" s="598"/>
      <c r="D33" s="4"/>
      <c r="E33" s="600"/>
      <c r="F33" s="4"/>
      <c r="G33" s="4"/>
      <c r="H33" s="4"/>
      <c r="I33" s="4"/>
      <c r="J33" s="598"/>
    </row>
    <row r="34" spans="1:10" ht="12.75" hidden="1">
      <c r="A34" s="14" t="s">
        <v>424</v>
      </c>
      <c r="B34" s="6" t="s">
        <v>60</v>
      </c>
      <c r="C34" s="598"/>
      <c r="D34" s="4"/>
      <c r="E34" s="600"/>
      <c r="F34" s="4"/>
      <c r="G34" s="4"/>
      <c r="H34" s="4"/>
      <c r="I34" s="4"/>
      <c r="J34" s="598"/>
    </row>
    <row r="35" spans="1:10" ht="12.75" hidden="1">
      <c r="A35" s="14" t="s">
        <v>230</v>
      </c>
      <c r="B35" s="6"/>
      <c r="C35" s="18">
        <f>C36+C37</f>
        <v>95.779</v>
      </c>
      <c r="D35" s="182">
        <f>D36+D37</f>
        <v>14.565</v>
      </c>
      <c r="E35" s="600">
        <f>J35/C35</f>
        <v>6.577005084621891</v>
      </c>
      <c r="F35" s="4"/>
      <c r="G35" s="4"/>
      <c r="H35" s="4"/>
      <c r="I35" s="4"/>
      <c r="J35" s="598">
        <f>SUM(J36:J37)</f>
        <v>629.93897</v>
      </c>
    </row>
    <row r="36" spans="1:10" ht="12.75" hidden="1">
      <c r="A36" s="14" t="s">
        <v>919</v>
      </c>
      <c r="B36" s="601" t="s">
        <v>271</v>
      </c>
      <c r="C36" s="18">
        <v>61.006</v>
      </c>
      <c r="D36" s="182">
        <v>9.277</v>
      </c>
      <c r="E36" s="600">
        <v>6.41</v>
      </c>
      <c r="F36" s="4"/>
      <c r="G36" s="4"/>
      <c r="H36" s="4"/>
      <c r="I36" s="4"/>
      <c r="J36" s="598">
        <f>C36*E36</f>
        <v>391.04846000000003</v>
      </c>
    </row>
    <row r="37" spans="1:10" ht="12.75" hidden="1">
      <c r="A37" s="14" t="s">
        <v>920</v>
      </c>
      <c r="B37" s="601" t="s">
        <v>272</v>
      </c>
      <c r="C37" s="18">
        <v>34.773</v>
      </c>
      <c r="D37" s="182">
        <v>5.288</v>
      </c>
      <c r="E37" s="600">
        <v>6.87</v>
      </c>
      <c r="F37" s="4"/>
      <c r="G37" s="4"/>
      <c r="H37" s="4"/>
      <c r="I37" s="4"/>
      <c r="J37" s="598">
        <f>C37*E37</f>
        <v>238.89051000000003</v>
      </c>
    </row>
    <row r="38" spans="1:10" ht="12.75" hidden="1">
      <c r="A38" s="14"/>
      <c r="B38" s="599"/>
      <c r="C38" s="598"/>
      <c r="D38" s="4"/>
      <c r="E38" s="18"/>
      <c r="F38" s="4"/>
      <c r="G38" s="4"/>
      <c r="H38" s="4"/>
      <c r="I38" s="4"/>
      <c r="J38" s="598"/>
    </row>
    <row r="39" spans="1:10" ht="26.25" hidden="1" outlineLevel="1">
      <c r="A39" s="14" t="s">
        <v>1664</v>
      </c>
      <c r="B39" s="26" t="s">
        <v>1505</v>
      </c>
      <c r="C39" s="598"/>
      <c r="D39" s="4"/>
      <c r="E39" s="18"/>
      <c r="F39" s="4"/>
      <c r="G39" s="4"/>
      <c r="H39" s="4"/>
      <c r="I39" s="4"/>
      <c r="J39" s="598"/>
    </row>
    <row r="40" spans="1:10" ht="12.75" hidden="1" outlineLevel="1">
      <c r="A40" s="14" t="s">
        <v>1665</v>
      </c>
      <c r="B40" s="599"/>
      <c r="C40" s="598"/>
      <c r="D40" s="4"/>
      <c r="E40" s="18"/>
      <c r="F40" s="4"/>
      <c r="G40" s="4"/>
      <c r="H40" s="4"/>
      <c r="I40" s="4"/>
      <c r="J40" s="598"/>
    </row>
    <row r="41" spans="1:10" ht="12.75" hidden="1" outlineLevel="1">
      <c r="A41" s="14" t="s">
        <v>1666</v>
      </c>
      <c r="B41" s="28" t="s">
        <v>211</v>
      </c>
      <c r="C41" s="598"/>
      <c r="D41" s="4"/>
      <c r="E41" s="18"/>
      <c r="F41" s="4"/>
      <c r="G41" s="4"/>
      <c r="H41" s="4"/>
      <c r="I41" s="4"/>
      <c r="J41" s="598"/>
    </row>
    <row r="42" spans="1:10" ht="13.5" customHeight="1" hidden="1">
      <c r="A42" s="2238" t="s">
        <v>1661</v>
      </c>
      <c r="B42" s="2239"/>
      <c r="C42" s="2239"/>
      <c r="D42" s="2239"/>
      <c r="E42" s="2239"/>
      <c r="F42" s="2239"/>
      <c r="G42" s="2239"/>
      <c r="H42" s="2239"/>
      <c r="I42" s="2239"/>
      <c r="J42" s="2240"/>
    </row>
    <row r="43" spans="1:10" ht="12.75">
      <c r="A43" s="2235" t="s">
        <v>406</v>
      </c>
      <c r="B43" s="2236"/>
      <c r="C43" s="2236"/>
      <c r="D43" s="2236"/>
      <c r="E43" s="2236"/>
      <c r="F43" s="2236"/>
      <c r="G43" s="2236"/>
      <c r="H43" s="2236"/>
      <c r="I43" s="2236"/>
      <c r="J43" s="2237"/>
    </row>
    <row r="44" spans="1:10" ht="12.75">
      <c r="A44" s="14" t="s">
        <v>1671</v>
      </c>
      <c r="B44" s="26" t="s">
        <v>449</v>
      </c>
      <c r="C44" s="19">
        <f>C47</f>
        <v>0.043</v>
      </c>
      <c r="D44" s="19">
        <f>C44/(273*24)*1000</f>
        <v>0.006562881562881562</v>
      </c>
      <c r="E44" s="1135">
        <f>E47</f>
        <v>7791</v>
      </c>
      <c r="F44" s="539"/>
      <c r="G44" s="539"/>
      <c r="H44" s="539"/>
      <c r="I44" s="539"/>
      <c r="J44" s="597">
        <f>C44*E44</f>
        <v>335.013</v>
      </c>
    </row>
    <row r="45" spans="1:10" ht="12.75">
      <c r="A45" s="14" t="s">
        <v>1663</v>
      </c>
      <c r="B45" s="6" t="s">
        <v>59</v>
      </c>
      <c r="C45" s="598"/>
      <c r="D45" s="4"/>
      <c r="E45" s="600"/>
      <c r="F45" s="4"/>
      <c r="G45" s="4"/>
      <c r="H45" s="4"/>
      <c r="I45" s="4"/>
      <c r="J45" s="598"/>
    </row>
    <row r="46" spans="1:10" ht="12.75">
      <c r="A46" s="14" t="s">
        <v>424</v>
      </c>
      <c r="B46" s="6" t="s">
        <v>60</v>
      </c>
      <c r="C46" s="598"/>
      <c r="D46" s="4"/>
      <c r="E46" s="600"/>
      <c r="F46" s="4"/>
      <c r="G46" s="4"/>
      <c r="H46" s="4"/>
      <c r="I46" s="4"/>
      <c r="J46" s="598"/>
    </row>
    <row r="47" spans="1:10" ht="12.75">
      <c r="A47" s="14" t="s">
        <v>230</v>
      </c>
      <c r="B47" s="1433" t="s">
        <v>407</v>
      </c>
      <c r="C47" s="19">
        <f>C48+C49</f>
        <v>0.043</v>
      </c>
      <c r="D47" s="1434">
        <f>D48+D49</f>
        <v>0.006538929440389295</v>
      </c>
      <c r="E47" s="597">
        <v>7791</v>
      </c>
      <c r="F47" s="539"/>
      <c r="G47" s="539"/>
      <c r="H47" s="539"/>
      <c r="I47" s="539"/>
      <c r="J47" s="597">
        <f>SUM(J48:J49)</f>
        <v>334.931</v>
      </c>
    </row>
    <row r="48" spans="1:11" ht="12.75">
      <c r="A48" s="14" t="s">
        <v>919</v>
      </c>
      <c r="B48" s="601" t="s">
        <v>271</v>
      </c>
      <c r="C48" s="18">
        <v>0.027</v>
      </c>
      <c r="D48" s="182">
        <f>C48/(274*24)*1000</f>
        <v>0.004105839416058394</v>
      </c>
      <c r="E48" s="598">
        <v>7561</v>
      </c>
      <c r="F48" s="4"/>
      <c r="G48" s="4"/>
      <c r="H48" s="4"/>
      <c r="I48" s="4"/>
      <c r="J48" s="598">
        <f>C48*E48</f>
        <v>204.147</v>
      </c>
      <c r="K48" s="190"/>
    </row>
    <row r="49" spans="1:10" ht="12.75">
      <c r="A49" s="14" t="s">
        <v>920</v>
      </c>
      <c r="B49" s="601" t="s">
        <v>272</v>
      </c>
      <c r="C49" s="18">
        <v>0.016</v>
      </c>
      <c r="D49" s="182">
        <f>C49/(274*24)*1000</f>
        <v>0.0024330900243309003</v>
      </c>
      <c r="E49" s="598">
        <v>8174</v>
      </c>
      <c r="F49" s="4"/>
      <c r="G49" s="4"/>
      <c r="H49" s="4"/>
      <c r="I49" s="4"/>
      <c r="J49" s="598">
        <f>C49*E49</f>
        <v>130.784</v>
      </c>
    </row>
    <row r="50" spans="1:10" ht="12.75">
      <c r="A50" s="14"/>
      <c r="B50" s="599"/>
      <c r="C50" s="598"/>
      <c r="D50" s="4"/>
      <c r="E50" s="18"/>
      <c r="F50" s="4"/>
      <c r="G50" s="4"/>
      <c r="H50" s="4"/>
      <c r="I50" s="4"/>
      <c r="J50" s="598"/>
    </row>
    <row r="51" spans="1:10" ht="26.25" hidden="1" outlineLevel="1">
      <c r="A51" s="14" t="s">
        <v>1664</v>
      </c>
      <c r="B51" s="26" t="s">
        <v>1505</v>
      </c>
      <c r="C51" s="598"/>
      <c r="D51" s="4"/>
      <c r="E51" s="18"/>
      <c r="F51" s="4"/>
      <c r="G51" s="4"/>
      <c r="H51" s="4"/>
      <c r="I51" s="4"/>
      <c r="J51" s="598"/>
    </row>
    <row r="52" spans="1:10" ht="12.75" hidden="1" outlineLevel="1">
      <c r="A52" s="14" t="s">
        <v>1665</v>
      </c>
      <c r="B52" s="599"/>
      <c r="C52" s="598"/>
      <c r="D52" s="4"/>
      <c r="E52" s="18"/>
      <c r="F52" s="4"/>
      <c r="G52" s="4"/>
      <c r="H52" s="4"/>
      <c r="I52" s="4"/>
      <c r="J52" s="598"/>
    </row>
    <row r="53" spans="1:10" ht="12.75" hidden="1" outlineLevel="1">
      <c r="A53" s="14" t="s">
        <v>1666</v>
      </c>
      <c r="B53" s="28" t="s">
        <v>211</v>
      </c>
      <c r="C53" s="598"/>
      <c r="D53" s="4"/>
      <c r="E53" s="18"/>
      <c r="F53" s="4"/>
      <c r="G53" s="4"/>
      <c r="H53" s="4"/>
      <c r="I53" s="4"/>
      <c r="J53" s="598"/>
    </row>
    <row r="54" spans="1:10" ht="12.75" collapsed="1">
      <c r="A54" s="2235" t="s">
        <v>17</v>
      </c>
      <c r="B54" s="2236"/>
      <c r="C54" s="2236"/>
      <c r="D54" s="2236"/>
      <c r="E54" s="2236"/>
      <c r="F54" s="2236"/>
      <c r="G54" s="2236"/>
      <c r="H54" s="2236"/>
      <c r="I54" s="2236"/>
      <c r="J54" s="2237"/>
    </row>
    <row r="55" spans="1:10" ht="12.75">
      <c r="A55" s="602" t="s">
        <v>1671</v>
      </c>
      <c r="B55" s="603" t="s">
        <v>449</v>
      </c>
      <c r="C55" s="19">
        <f>C58</f>
        <v>0.05883696000000001</v>
      </c>
      <c r="D55" s="19">
        <f>C55/(273*24)*1000</f>
        <v>0.00898</v>
      </c>
      <c r="E55" s="597">
        <f>E58</f>
        <v>7784.222706271703</v>
      </c>
      <c r="F55" s="539"/>
      <c r="G55" s="539"/>
      <c r="H55" s="539"/>
      <c r="I55" s="539"/>
      <c r="J55" s="597">
        <f>C55*E55</f>
        <v>458</v>
      </c>
    </row>
    <row r="56" spans="1:10" ht="12.75">
      <c r="A56" s="602" t="s">
        <v>1663</v>
      </c>
      <c r="B56" s="606" t="s">
        <v>59</v>
      </c>
      <c r="C56" s="607"/>
      <c r="D56" s="32"/>
      <c r="E56" s="91"/>
      <c r="F56" s="32"/>
      <c r="G56" s="32"/>
      <c r="H56" s="32"/>
      <c r="I56" s="32"/>
      <c r="J56" s="607"/>
    </row>
    <row r="57" spans="1:10" ht="12.75">
      <c r="A57" s="602" t="s">
        <v>424</v>
      </c>
      <c r="B57" s="606" t="s">
        <v>60</v>
      </c>
      <c r="C57" s="607"/>
      <c r="D57" s="32"/>
      <c r="E57" s="91"/>
      <c r="F57" s="32"/>
      <c r="G57" s="32"/>
      <c r="H57" s="32"/>
      <c r="I57" s="32"/>
      <c r="J57" s="607"/>
    </row>
    <row r="58" spans="1:10" ht="12.75">
      <c r="A58" s="602" t="s">
        <v>230</v>
      </c>
      <c r="B58" s="1433" t="s">
        <v>407</v>
      </c>
      <c r="C58" s="19">
        <f>'4.7 расшиф.-ээ'!J46/1000000</f>
        <v>0.05883696000000001</v>
      </c>
      <c r="D58" s="19">
        <f>D59+D60</f>
        <v>0.008947226277372263</v>
      </c>
      <c r="E58" s="605">
        <f>J58/C58</f>
        <v>7784.222706271703</v>
      </c>
      <c r="F58" s="604"/>
      <c r="G58" s="604"/>
      <c r="H58" s="604"/>
      <c r="I58" s="604"/>
      <c r="J58" s="605">
        <f>SUM(J59:J60)</f>
        <v>458</v>
      </c>
    </row>
    <row r="59" spans="1:10" ht="12.75">
      <c r="A59" s="602" t="s">
        <v>919</v>
      </c>
      <c r="B59" s="608" t="s">
        <v>271</v>
      </c>
      <c r="C59" s="18">
        <f>C58/1.6</f>
        <v>0.0367731</v>
      </c>
      <c r="D59" s="182">
        <f>C59/(274*24)*1000</f>
        <v>0.005592016423357665</v>
      </c>
      <c r="E59" s="607">
        <v>7561</v>
      </c>
      <c r="F59" s="32"/>
      <c r="G59" s="32"/>
      <c r="H59" s="32"/>
      <c r="I59" s="32"/>
      <c r="J59" s="607">
        <f>ROUND(C59*E59,0)</f>
        <v>278</v>
      </c>
    </row>
    <row r="60" spans="1:10" ht="12.75">
      <c r="A60" s="602" t="s">
        <v>920</v>
      </c>
      <c r="B60" s="608" t="s">
        <v>272</v>
      </c>
      <c r="C60" s="18">
        <f>C58-C59</f>
        <v>0.022063860000000005</v>
      </c>
      <c r="D60" s="182">
        <f>C60/(274*24)*1000</f>
        <v>0.003355209854014599</v>
      </c>
      <c r="E60" s="607">
        <v>8174</v>
      </c>
      <c r="F60" s="32"/>
      <c r="G60" s="32"/>
      <c r="H60" s="32"/>
      <c r="I60" s="32"/>
      <c r="J60" s="607">
        <f>ROUND(C60*E60,0)</f>
        <v>180</v>
      </c>
    </row>
    <row r="61" spans="1:10" ht="12.75">
      <c r="A61" s="602"/>
      <c r="B61" s="1137"/>
      <c r="C61" s="607"/>
      <c r="D61" s="32"/>
      <c r="E61" s="91"/>
      <c r="F61" s="32"/>
      <c r="G61" s="32"/>
      <c r="H61" s="32"/>
      <c r="I61" s="32"/>
      <c r="J61" s="607"/>
    </row>
    <row r="62" spans="1:10" ht="26.25" hidden="1" outlineLevel="1">
      <c r="A62" s="14" t="s">
        <v>1664</v>
      </c>
      <c r="B62" s="26" t="s">
        <v>1505</v>
      </c>
      <c r="C62" s="598"/>
      <c r="D62" s="4"/>
      <c r="E62" s="18"/>
      <c r="F62" s="4"/>
      <c r="G62" s="4"/>
      <c r="H62" s="4"/>
      <c r="I62" s="4"/>
      <c r="J62" s="598"/>
    </row>
    <row r="63" spans="1:10" ht="12.75" hidden="1" outlineLevel="1">
      <c r="A63" s="14" t="s">
        <v>1665</v>
      </c>
      <c r="B63" s="599"/>
      <c r="C63" s="598"/>
      <c r="D63" s="4"/>
      <c r="E63" s="18"/>
      <c r="F63" s="4"/>
      <c r="G63" s="4"/>
      <c r="H63" s="4"/>
      <c r="I63" s="4"/>
      <c r="J63" s="598"/>
    </row>
    <row r="64" spans="1:10" ht="12.75" hidden="1" outlineLevel="1">
      <c r="A64" s="14" t="s">
        <v>1666</v>
      </c>
      <c r="B64" s="28" t="s">
        <v>211</v>
      </c>
      <c r="C64" s="598"/>
      <c r="D64" s="4"/>
      <c r="E64" s="18"/>
      <c r="F64" s="4"/>
      <c r="G64" s="4"/>
      <c r="H64" s="4"/>
      <c r="I64" s="4"/>
      <c r="J64" s="598"/>
    </row>
    <row r="65" spans="1:10" ht="12.75" collapsed="1">
      <c r="A65" s="2238" t="s">
        <v>1661</v>
      </c>
      <c r="B65" s="2239"/>
      <c r="C65" s="2239"/>
      <c r="D65" s="2239"/>
      <c r="E65" s="2239"/>
      <c r="F65" s="2239"/>
      <c r="G65" s="2239"/>
      <c r="H65" s="2239"/>
      <c r="I65" s="2239"/>
      <c r="J65" s="2240"/>
    </row>
    <row r="66" spans="1:10" ht="12.75">
      <c r="A66" s="2235" t="s">
        <v>1143</v>
      </c>
      <c r="B66" s="2236"/>
      <c r="C66" s="2236"/>
      <c r="D66" s="2236"/>
      <c r="E66" s="2236"/>
      <c r="F66" s="2236"/>
      <c r="G66" s="2236"/>
      <c r="H66" s="2236"/>
      <c r="I66" s="2236"/>
      <c r="J66" s="2237"/>
    </row>
    <row r="67" spans="1:10" ht="26.25">
      <c r="A67" s="14" t="s">
        <v>1671</v>
      </c>
      <c r="B67" s="26" t="s">
        <v>58</v>
      </c>
      <c r="C67" s="19">
        <f>SUM(C69:C70)</f>
        <v>0.05883696000000001</v>
      </c>
      <c r="D67" s="19">
        <f>C67/(273*24)*1000</f>
        <v>0.00898</v>
      </c>
      <c r="E67" s="597">
        <f>SUM(E68:E70)</f>
        <v>8975.052000000001</v>
      </c>
      <c r="F67" s="539"/>
      <c r="G67" s="539"/>
      <c r="H67" s="539"/>
      <c r="I67" s="539"/>
      <c r="J67" s="597">
        <f>SUM(J68:J70)</f>
        <v>528.0647755219202</v>
      </c>
    </row>
    <row r="68" spans="1:10" ht="12.75">
      <c r="A68" s="14" t="s">
        <v>1663</v>
      </c>
      <c r="B68" s="6" t="s">
        <v>59</v>
      </c>
      <c r="C68" s="598"/>
      <c r="D68" s="4"/>
      <c r="E68" s="598"/>
      <c r="F68" s="4"/>
      <c r="G68" s="4"/>
      <c r="H68" s="4"/>
      <c r="I68" s="4"/>
      <c r="J68" s="598"/>
    </row>
    <row r="69" spans="1:10" ht="12.75">
      <c r="A69" s="14" t="s">
        <v>424</v>
      </c>
      <c r="B69" s="6" t="s">
        <v>60</v>
      </c>
      <c r="C69" s="598"/>
      <c r="D69" s="4"/>
      <c r="E69" s="598"/>
      <c r="F69" s="4"/>
      <c r="G69" s="4"/>
      <c r="H69" s="4"/>
      <c r="I69" s="4"/>
      <c r="J69" s="598"/>
    </row>
    <row r="70" spans="1:10" ht="12.75">
      <c r="A70" s="14" t="s">
        <v>230</v>
      </c>
      <c r="B70" s="1433" t="s">
        <v>407</v>
      </c>
      <c r="C70" s="19">
        <f>'4.7 расшиф.-ээ'!J46/1000000</f>
        <v>0.05883696000000001</v>
      </c>
      <c r="D70" s="19">
        <f>C70/(273*24)*1000</f>
        <v>0.00898</v>
      </c>
      <c r="E70" s="597">
        <f>J70/C70</f>
        <v>8975.052000000001</v>
      </c>
      <c r="F70" s="539"/>
      <c r="G70" s="539"/>
      <c r="H70" s="539"/>
      <c r="I70" s="539"/>
      <c r="J70" s="597">
        <f>SUM(J71:J72)</f>
        <v>528.0647755219202</v>
      </c>
    </row>
    <row r="71" spans="1:10" ht="12.75">
      <c r="A71" s="14" t="s">
        <v>919</v>
      </c>
      <c r="B71" s="601" t="s">
        <v>271</v>
      </c>
      <c r="C71" s="18">
        <f>C70/1.6</f>
        <v>0.0367731</v>
      </c>
      <c r="D71" s="18">
        <f>C71/(273*24)*1000</f>
        <v>0.0056125</v>
      </c>
      <c r="E71" s="598">
        <f>E60*1.098</f>
        <v>8975.052000000001</v>
      </c>
      <c r="F71" s="4"/>
      <c r="G71" s="4"/>
      <c r="H71" s="4"/>
      <c r="I71" s="4"/>
      <c r="J71" s="598">
        <f>C71*E71</f>
        <v>330.04048470120006</v>
      </c>
    </row>
    <row r="72" spans="1:10" ht="12.75">
      <c r="A72" s="14" t="s">
        <v>920</v>
      </c>
      <c r="B72" s="601" t="s">
        <v>272</v>
      </c>
      <c r="C72" s="18">
        <f>C70-C71</f>
        <v>0.022063860000000005</v>
      </c>
      <c r="D72" s="18">
        <f>C72/(273*24)*1000</f>
        <v>0.0033675000000000007</v>
      </c>
      <c r="E72" s="598">
        <f>E71</f>
        <v>8975.052000000001</v>
      </c>
      <c r="F72" s="4"/>
      <c r="G72" s="4"/>
      <c r="H72" s="4"/>
      <c r="I72" s="4"/>
      <c r="J72" s="598">
        <f>C72*E72</f>
        <v>198.02429082072007</v>
      </c>
    </row>
    <row r="73" spans="1:10" ht="12.75">
      <c r="A73" s="14"/>
      <c r="B73" s="599"/>
      <c r="C73" s="598"/>
      <c r="D73" s="4"/>
      <c r="E73" s="18"/>
      <c r="F73" s="4"/>
      <c r="G73" s="4"/>
      <c r="H73" s="4"/>
      <c r="I73" s="4"/>
      <c r="J73" s="598"/>
    </row>
    <row r="74" spans="1:10" ht="26.25" hidden="1">
      <c r="A74" s="14" t="s">
        <v>1664</v>
      </c>
      <c r="B74" s="26" t="s">
        <v>1505</v>
      </c>
      <c r="C74" s="598"/>
      <c r="D74" s="4"/>
      <c r="E74" s="18"/>
      <c r="F74" s="4"/>
      <c r="G74" s="4"/>
      <c r="H74" s="4"/>
      <c r="I74" s="4"/>
      <c r="J74" s="598"/>
    </row>
    <row r="75" spans="1:10" ht="12.75" hidden="1">
      <c r="A75" s="14" t="s">
        <v>1665</v>
      </c>
      <c r="B75" s="599"/>
      <c r="C75" s="598"/>
      <c r="D75" s="4"/>
      <c r="E75" s="18"/>
      <c r="F75" s="4"/>
      <c r="G75" s="4"/>
      <c r="H75" s="4"/>
      <c r="I75" s="4"/>
      <c r="J75" s="598"/>
    </row>
    <row r="76" spans="1:10" ht="12.75" hidden="1">
      <c r="A76" s="14" t="s">
        <v>1666</v>
      </c>
      <c r="B76" s="28" t="s">
        <v>211</v>
      </c>
      <c r="C76" s="598"/>
      <c r="D76" s="4"/>
      <c r="E76" s="18"/>
      <c r="F76" s="4"/>
      <c r="G76" s="4"/>
      <c r="H76" s="4"/>
      <c r="I76" s="4"/>
      <c r="J76" s="598"/>
    </row>
    <row r="77" spans="1:10" ht="12.75">
      <c r="A77" s="2235" t="s">
        <v>1148</v>
      </c>
      <c r="B77" s="2236"/>
      <c r="C77" s="2236"/>
      <c r="D77" s="2236"/>
      <c r="E77" s="2236"/>
      <c r="F77" s="2236"/>
      <c r="G77" s="2236"/>
      <c r="H77" s="2236"/>
      <c r="I77" s="2236"/>
      <c r="J77" s="2237"/>
    </row>
    <row r="78" spans="1:10" ht="26.25">
      <c r="A78" s="602" t="s">
        <v>1671</v>
      </c>
      <c r="B78" s="26" t="s">
        <v>58</v>
      </c>
      <c r="C78" s="19">
        <f>SUM(C80:C81)</f>
        <v>0.05883696000000001</v>
      </c>
      <c r="D78" s="19">
        <f>C78/(273*24)*1000</f>
        <v>0.00898</v>
      </c>
      <c r="E78" s="605">
        <f>E81</f>
        <v>9704.784203670617</v>
      </c>
      <c r="F78" s="604"/>
      <c r="G78" s="604"/>
      <c r="H78" s="604"/>
      <c r="I78" s="604"/>
      <c r="J78" s="605">
        <f>SUM(J79:J81)</f>
        <v>571</v>
      </c>
    </row>
    <row r="79" spans="1:10" ht="12.75">
      <c r="A79" s="602" t="s">
        <v>1663</v>
      </c>
      <c r="B79" s="6" t="s">
        <v>59</v>
      </c>
      <c r="C79" s="598"/>
      <c r="D79" s="4"/>
      <c r="E79" s="607"/>
      <c r="F79" s="32"/>
      <c r="G79" s="32"/>
      <c r="H79" s="32"/>
      <c r="I79" s="32"/>
      <c r="J79" s="607"/>
    </row>
    <row r="80" spans="1:10" ht="12.75">
      <c r="A80" s="602" t="s">
        <v>424</v>
      </c>
      <c r="B80" s="6" t="s">
        <v>60</v>
      </c>
      <c r="C80" s="598"/>
      <c r="D80" s="4"/>
      <c r="E80" s="607"/>
      <c r="F80" s="32"/>
      <c r="G80" s="32"/>
      <c r="H80" s="32"/>
      <c r="I80" s="32"/>
      <c r="J80" s="607"/>
    </row>
    <row r="81" spans="1:10" ht="12.75">
      <c r="A81" s="602" t="s">
        <v>230</v>
      </c>
      <c r="B81" s="6"/>
      <c r="C81" s="19">
        <f>'4.7 расшиф.-ээ'!J46/1000000</f>
        <v>0.05883696000000001</v>
      </c>
      <c r="D81" s="19">
        <f>C81/(273*24)*1000</f>
        <v>0.00898</v>
      </c>
      <c r="E81" s="597">
        <f>J81/C81</f>
        <v>9704.784203670617</v>
      </c>
      <c r="F81" s="604"/>
      <c r="G81" s="604"/>
      <c r="H81" s="604"/>
      <c r="I81" s="604"/>
      <c r="J81" s="605">
        <f>SUM(J82:J83)</f>
        <v>571</v>
      </c>
    </row>
    <row r="82" spans="1:10" ht="12.75">
      <c r="A82" s="602" t="s">
        <v>919</v>
      </c>
      <c r="B82" s="601" t="s">
        <v>271</v>
      </c>
      <c r="C82" s="18">
        <f>C81/1.6</f>
        <v>0.0367731</v>
      </c>
      <c r="D82" s="18">
        <f>C82/(273*24)*1000</f>
        <v>0.0056125</v>
      </c>
      <c r="E82" s="607">
        <f>E71*1.083</f>
        <v>9719.981316000001</v>
      </c>
      <c r="F82" s="32"/>
      <c r="G82" s="32"/>
      <c r="H82" s="32"/>
      <c r="I82" s="32"/>
      <c r="J82" s="607">
        <f>ROUND(C82*E82,0)</f>
        <v>357</v>
      </c>
    </row>
    <row r="83" spans="1:10" ht="12.75">
      <c r="A83" s="602" t="s">
        <v>920</v>
      </c>
      <c r="B83" s="601" t="s">
        <v>272</v>
      </c>
      <c r="C83" s="18">
        <f>C81-C82</f>
        <v>0.022063860000000005</v>
      </c>
      <c r="D83" s="18">
        <f>C83/(273*24)*1000</f>
        <v>0.0033675000000000007</v>
      </c>
      <c r="E83" s="607">
        <f>E82</f>
        <v>9719.981316000001</v>
      </c>
      <c r="F83" s="32"/>
      <c r="G83" s="32"/>
      <c r="H83" s="32"/>
      <c r="I83" s="32"/>
      <c r="J83" s="607">
        <f>ROUND(C83*E83,0)</f>
        <v>214</v>
      </c>
    </row>
    <row r="84" spans="1:10" ht="12.75">
      <c r="A84" s="602"/>
      <c r="B84" s="1137"/>
      <c r="C84" s="607"/>
      <c r="D84" s="32"/>
      <c r="E84" s="91"/>
      <c r="F84" s="32"/>
      <c r="G84" s="32"/>
      <c r="H84" s="32"/>
      <c r="I84" s="32"/>
      <c r="J84" s="607"/>
    </row>
    <row r="85" spans="1:10" ht="12.75">
      <c r="A85" s="2235" t="s">
        <v>18</v>
      </c>
      <c r="B85" s="2236"/>
      <c r="C85" s="2236"/>
      <c r="D85" s="2236"/>
      <c r="E85" s="2236"/>
      <c r="F85" s="2236"/>
      <c r="G85" s="2236"/>
      <c r="H85" s="2236"/>
      <c r="I85" s="2236"/>
      <c r="J85" s="2237"/>
    </row>
    <row r="86" spans="1:10" ht="26.25">
      <c r="A86" s="602" t="s">
        <v>1671</v>
      </c>
      <c r="B86" s="26" t="s">
        <v>58</v>
      </c>
      <c r="C86" s="19">
        <f>SUM(C88:C89)</f>
        <v>0.05883696000000001</v>
      </c>
      <c r="D86" s="19">
        <f>C86/(273*24)*1000</f>
        <v>0.00898</v>
      </c>
      <c r="E86" s="605">
        <f>E89</f>
        <v>10520.597937079005</v>
      </c>
      <c r="F86" s="604"/>
      <c r="G86" s="604"/>
      <c r="H86" s="604"/>
      <c r="I86" s="604"/>
      <c r="J86" s="605">
        <f>SUM(J87:J89)</f>
        <v>619</v>
      </c>
    </row>
    <row r="87" spans="1:10" ht="12.75">
      <c r="A87" s="602" t="s">
        <v>1663</v>
      </c>
      <c r="B87" s="6" t="s">
        <v>59</v>
      </c>
      <c r="C87" s="598"/>
      <c r="D87" s="4"/>
      <c r="E87" s="607"/>
      <c r="F87" s="32"/>
      <c r="G87" s="32"/>
      <c r="H87" s="32"/>
      <c r="I87" s="32"/>
      <c r="J87" s="607"/>
    </row>
    <row r="88" spans="1:10" ht="12.75">
      <c r="A88" s="602" t="s">
        <v>424</v>
      </c>
      <c r="B88" s="6" t="s">
        <v>60</v>
      </c>
      <c r="C88" s="598"/>
      <c r="D88" s="4"/>
      <c r="E88" s="607"/>
      <c r="F88" s="32"/>
      <c r="G88" s="32"/>
      <c r="H88" s="32"/>
      <c r="I88" s="32"/>
      <c r="J88" s="607"/>
    </row>
    <row r="89" spans="1:10" ht="12.75">
      <c r="A89" s="602" t="s">
        <v>230</v>
      </c>
      <c r="B89" s="6"/>
      <c r="C89" s="19">
        <f>'4.7 расшиф.-ээ'!J46/1000000</f>
        <v>0.05883696000000001</v>
      </c>
      <c r="D89" s="19">
        <f>C89/(273*24)*1000</f>
        <v>0.00898</v>
      </c>
      <c r="E89" s="597">
        <f>J89/C89</f>
        <v>10520.597937079005</v>
      </c>
      <c r="F89" s="604"/>
      <c r="G89" s="604"/>
      <c r="H89" s="604"/>
      <c r="I89" s="604"/>
      <c r="J89" s="605">
        <f>SUM(J90:J91)</f>
        <v>619</v>
      </c>
    </row>
    <row r="90" spans="1:10" ht="12.75">
      <c r="A90" s="602" t="s">
        <v>919</v>
      </c>
      <c r="B90" s="601" t="s">
        <v>271</v>
      </c>
      <c r="C90" s="18">
        <f>C89/1.6</f>
        <v>0.0367731</v>
      </c>
      <c r="D90" s="18">
        <f>C90/(273*24)*1000</f>
        <v>0.0056125</v>
      </c>
      <c r="E90" s="607">
        <f>E82*1.083</f>
        <v>10526.739765228001</v>
      </c>
      <c r="F90" s="32"/>
      <c r="G90" s="32"/>
      <c r="H90" s="32"/>
      <c r="I90" s="32"/>
      <c r="J90" s="607">
        <f>ROUND(C90*E90,0)</f>
        <v>387</v>
      </c>
    </row>
    <row r="91" spans="1:10" ht="12.75">
      <c r="A91" s="602" t="s">
        <v>920</v>
      </c>
      <c r="B91" s="601" t="s">
        <v>272</v>
      </c>
      <c r="C91" s="18">
        <f>C89-C90</f>
        <v>0.022063860000000005</v>
      </c>
      <c r="D91" s="18">
        <f>C91/(273*24)*1000</f>
        <v>0.0033675000000000007</v>
      </c>
      <c r="E91" s="607">
        <f>E90</f>
        <v>10526.739765228001</v>
      </c>
      <c r="F91" s="32"/>
      <c r="G91" s="32"/>
      <c r="H91" s="32"/>
      <c r="I91" s="32"/>
      <c r="J91" s="607">
        <f>ROUND(C91*E91,0)</f>
        <v>232</v>
      </c>
    </row>
    <row r="92" spans="1:10" ht="12.75">
      <c r="A92" s="602"/>
      <c r="B92" s="1137"/>
      <c r="C92" s="607"/>
      <c r="D92" s="32"/>
      <c r="E92" s="91"/>
      <c r="F92" s="32"/>
      <c r="G92" s="32"/>
      <c r="H92" s="32"/>
      <c r="I92" s="32"/>
      <c r="J92" s="607"/>
    </row>
  </sheetData>
  <sheetProtection/>
  <mergeCells count="24">
    <mergeCell ref="A85:J85"/>
    <mergeCell ref="I1:J1"/>
    <mergeCell ref="A4:J4"/>
    <mergeCell ref="A6:A9"/>
    <mergeCell ref="B6:B9"/>
    <mergeCell ref="C6:C9"/>
    <mergeCell ref="H7:H9"/>
    <mergeCell ref="I7:I9"/>
    <mergeCell ref="J7:J9"/>
    <mergeCell ref="D6:D9"/>
    <mergeCell ref="A22:J22"/>
    <mergeCell ref="A31:J31"/>
    <mergeCell ref="E6:G6"/>
    <mergeCell ref="A13:J13"/>
    <mergeCell ref="F7:G7"/>
    <mergeCell ref="H6:J6"/>
    <mergeCell ref="A12:J12"/>
    <mergeCell ref="E7:E8"/>
    <mergeCell ref="A77:J77"/>
    <mergeCell ref="A66:J66"/>
    <mergeCell ref="A65:J65"/>
    <mergeCell ref="A42:J42"/>
    <mergeCell ref="A54:J54"/>
    <mergeCell ref="A43:J43"/>
  </mergeCells>
  <printOptions/>
  <pageMargins left="0.7874015748031497" right="0.35433070866141736" top="0.4724409448818898" bottom="0.4330708661417323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V525"/>
  <sheetViews>
    <sheetView zoomScale="70" zoomScaleNormal="70" workbookViewId="0" topLeftCell="A1">
      <selection activeCell="V37" sqref="V37"/>
    </sheetView>
  </sheetViews>
  <sheetFormatPr defaultColWidth="9.140625" defaultRowHeight="15" outlineLevelCol="1"/>
  <cols>
    <col min="1" max="1" width="19.28125" style="848" customWidth="1"/>
    <col min="2" max="3" width="9.140625" style="1090" hidden="1" customWidth="1" outlineLevel="1"/>
    <col min="4" max="4" width="9.140625" style="848" hidden="1" customWidth="1" outlineLevel="1"/>
    <col min="5" max="5" width="9.140625" style="848" customWidth="1" collapsed="1"/>
    <col min="6" max="6" width="9.140625" style="848" customWidth="1"/>
    <col min="7" max="7" width="24.28125" style="848" customWidth="1"/>
    <col min="8" max="8" width="11.00390625" style="848" bestFit="1" customWidth="1"/>
    <col min="9" max="10" width="9.140625" style="848" hidden="1" customWidth="1" outlineLevel="1"/>
    <col min="11" max="11" width="9.8515625" style="848" customWidth="1" collapsed="1"/>
    <col min="12" max="13" width="9.140625" style="848" hidden="1" customWidth="1" outlineLevel="1"/>
    <col min="14" max="14" width="10.140625" style="848" customWidth="1" collapsed="1"/>
    <col min="15" max="16" width="9.140625" style="848" hidden="1" customWidth="1" outlineLevel="1"/>
    <col min="17" max="17" width="9.7109375" style="848" customWidth="1" collapsed="1"/>
    <col min="18" max="19" width="9.140625" style="848" hidden="1" customWidth="1" outlineLevel="1"/>
    <col min="20" max="20" width="9.7109375" style="848" customWidth="1" collapsed="1"/>
    <col min="21" max="22" width="9.140625" style="848" hidden="1" customWidth="1" outlineLevel="1"/>
    <col min="23" max="23" width="9.7109375" style="848" customWidth="1" collapsed="1"/>
    <col min="24" max="25" width="9.140625" style="848" hidden="1" customWidth="1" outlineLevel="1"/>
    <col min="26" max="26" width="10.28125" style="848" customWidth="1" collapsed="1"/>
    <col min="27" max="28" width="9.140625" style="848" hidden="1" customWidth="1" outlineLevel="1"/>
    <col min="29" max="29" width="10.28125" style="848" customWidth="1" collapsed="1"/>
    <col min="30" max="31" width="9.140625" style="848" hidden="1" customWidth="1" outlineLevel="1"/>
    <col min="32" max="32" width="9.57421875" style="848" customWidth="1" collapsed="1"/>
    <col min="33" max="34" width="9.140625" style="848" hidden="1" customWidth="1" outlineLevel="1"/>
    <col min="35" max="35" width="9.7109375" style="848" customWidth="1" collapsed="1"/>
    <col min="36" max="37" width="9.140625" style="848" hidden="1" customWidth="1" outlineLevel="1"/>
    <col min="38" max="38" width="9.7109375" style="848" customWidth="1" collapsed="1"/>
    <col min="39" max="40" width="9.140625" style="848" hidden="1" customWidth="1" outlineLevel="1"/>
    <col min="41" max="41" width="9.7109375" style="848" customWidth="1" collapsed="1"/>
    <col min="42" max="43" width="9.140625" style="848" hidden="1" customWidth="1" outlineLevel="1"/>
    <col min="44" max="44" width="11.8515625" style="848" customWidth="1" collapsed="1"/>
    <col min="45" max="45" width="9.140625" style="848" hidden="1" customWidth="1" outlineLevel="1"/>
    <col min="46" max="46" width="10.7109375" style="848" hidden="1" customWidth="1" outlineLevel="1"/>
    <col min="47" max="47" width="12.57421875" style="848" bestFit="1" customWidth="1" collapsed="1"/>
    <col min="48" max="49" width="9.140625" style="848" hidden="1" customWidth="1" outlineLevel="1"/>
    <col min="50" max="50" width="12.00390625" style="848" customWidth="1" collapsed="1"/>
    <col min="51" max="52" width="9.140625" style="848" hidden="1" customWidth="1" outlineLevel="1"/>
    <col min="53" max="53" width="12.28125" style="848" customWidth="1" collapsed="1"/>
    <col min="54" max="55" width="9.140625" style="848" hidden="1" customWidth="1" outlineLevel="1"/>
    <col min="56" max="56" width="10.7109375" style="848" customWidth="1" collapsed="1"/>
    <col min="57" max="58" width="9.140625" style="848" hidden="1" customWidth="1" outlineLevel="1"/>
    <col min="59" max="59" width="9.140625" style="848" customWidth="1" collapsed="1"/>
    <col min="60" max="60" width="10.7109375" style="848" customWidth="1"/>
    <col min="61" max="61" width="10.8515625" style="848" customWidth="1"/>
    <col min="62" max="62" width="10.57421875" style="848" customWidth="1"/>
    <col min="63" max="63" width="12.421875" style="848" customWidth="1"/>
    <col min="64" max="64" width="9.140625" style="848" customWidth="1"/>
    <col min="65" max="65" width="14.7109375" style="848" customWidth="1"/>
    <col min="66" max="254" width="9.140625" style="848" customWidth="1"/>
    <col min="255" max="255" width="19.28125" style="848" customWidth="1"/>
    <col min="256" max="16384" width="9.140625" style="848" customWidth="1"/>
  </cols>
  <sheetData>
    <row r="1" spans="1:64" ht="18">
      <c r="A1" s="843" t="s">
        <v>1405</v>
      </c>
      <c r="B1" s="844"/>
      <c r="C1" s="845"/>
      <c r="D1" s="846"/>
      <c r="E1" s="847"/>
      <c r="G1" s="463"/>
      <c r="H1" s="486" t="s">
        <v>1392</v>
      </c>
      <c r="I1" s="849" t="s">
        <v>1406</v>
      </c>
      <c r="J1" s="850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  <c r="AJ1" s="847"/>
      <c r="AK1" s="847"/>
      <c r="AL1" s="847"/>
      <c r="AM1" s="847"/>
      <c r="AN1" s="847"/>
      <c r="AO1" s="847"/>
      <c r="AP1" s="847"/>
      <c r="AQ1" s="847"/>
      <c r="AR1" s="851"/>
      <c r="AS1" s="851"/>
      <c r="AT1" s="852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  <c r="BF1" s="847"/>
      <c r="BG1" s="847"/>
      <c r="BH1" s="847"/>
      <c r="BI1" s="853"/>
      <c r="BJ1" s="853"/>
      <c r="BK1" s="853"/>
      <c r="BL1"/>
    </row>
    <row r="2" spans="1:64" ht="15.75">
      <c r="A2" s="52" t="s">
        <v>1407</v>
      </c>
      <c r="B2" s="854"/>
      <c r="C2" s="854"/>
      <c r="D2" s="855"/>
      <c r="E2" s="847"/>
      <c r="F2" s="847"/>
      <c r="G2" s="847"/>
      <c r="H2" s="856" t="s">
        <v>1449</v>
      </c>
      <c r="I2" s="857">
        <v>0.04959</v>
      </c>
      <c r="J2" s="857"/>
      <c r="K2" s="859">
        <v>0.0489</v>
      </c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847"/>
      <c r="AB2" s="847"/>
      <c r="AC2" s="847"/>
      <c r="AD2" s="847"/>
      <c r="AE2" s="847"/>
      <c r="AF2" s="847"/>
      <c r="AG2" s="847"/>
      <c r="AH2" s="847"/>
      <c r="AI2" s="847"/>
      <c r="AJ2" s="847"/>
      <c r="AK2" s="847"/>
      <c r="AL2" s="847"/>
      <c r="AM2" s="847"/>
      <c r="AN2" s="847"/>
      <c r="AO2" s="847"/>
      <c r="AP2" s="847"/>
      <c r="AQ2" s="847"/>
      <c r="AR2" s="851"/>
      <c r="AS2" s="851"/>
      <c r="AT2" s="852"/>
      <c r="AU2" s="847"/>
      <c r="AV2" s="847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53"/>
      <c r="BJ2" s="853"/>
      <c r="BK2" s="853"/>
      <c r="BL2"/>
    </row>
    <row r="3" spans="1:64" ht="15.75">
      <c r="A3" s="855" t="s">
        <v>0</v>
      </c>
      <c r="B3" s="854"/>
      <c r="C3" s="854"/>
      <c r="D3" s="855"/>
      <c r="E3" s="847"/>
      <c r="F3" s="847"/>
      <c r="G3" s="847"/>
      <c r="H3" s="847"/>
      <c r="I3" s="847"/>
      <c r="J3" s="847"/>
      <c r="K3" s="860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C3" s="847"/>
      <c r="AD3" s="847"/>
      <c r="AE3" s="847"/>
      <c r="AF3" s="847"/>
      <c r="AG3" s="847"/>
      <c r="AH3" s="847"/>
      <c r="AI3" s="847"/>
      <c r="AJ3" s="847"/>
      <c r="AK3" s="847"/>
      <c r="AL3" s="847"/>
      <c r="AM3" s="847"/>
      <c r="AN3" s="847"/>
      <c r="AO3" s="847"/>
      <c r="AP3" s="847"/>
      <c r="AQ3" s="847"/>
      <c r="AR3" s="861"/>
      <c r="AS3" s="851"/>
      <c r="AT3" s="852"/>
      <c r="AU3" s="847"/>
      <c r="AV3" s="847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53"/>
      <c r="BJ3" s="853"/>
      <c r="BK3" s="853"/>
      <c r="BL3"/>
    </row>
    <row r="4" spans="1:64" ht="15.75" thickBot="1">
      <c r="A4" s="2119" t="s">
        <v>1408</v>
      </c>
      <c r="B4" s="2110" t="s">
        <v>1409</v>
      </c>
      <c r="C4" s="2112" t="s">
        <v>1410</v>
      </c>
      <c r="D4" s="2112" t="s">
        <v>1411</v>
      </c>
      <c r="E4" s="2119" t="s">
        <v>254</v>
      </c>
      <c r="F4" s="2114" t="s">
        <v>1412</v>
      </c>
      <c r="G4" s="2116" t="s">
        <v>1670</v>
      </c>
      <c r="H4" s="2129" t="s">
        <v>1413</v>
      </c>
      <c r="I4" s="2130"/>
      <c r="J4" s="2130"/>
      <c r="K4" s="2132" t="s">
        <v>1414</v>
      </c>
      <c r="L4" s="2133"/>
      <c r="M4" s="2133"/>
      <c r="N4" s="2129" t="s">
        <v>895</v>
      </c>
      <c r="O4" s="2130"/>
      <c r="P4" s="2130"/>
      <c r="Q4" s="2129" t="s">
        <v>896</v>
      </c>
      <c r="R4" s="2130"/>
      <c r="S4" s="2130"/>
      <c r="T4" s="2129" t="s">
        <v>364</v>
      </c>
      <c r="U4" s="2130"/>
      <c r="V4" s="2130"/>
      <c r="W4" s="2129" t="s">
        <v>365</v>
      </c>
      <c r="X4" s="2130"/>
      <c r="Y4" s="2130"/>
      <c r="Z4" s="2129" t="s">
        <v>366</v>
      </c>
      <c r="AA4" s="2130"/>
      <c r="AB4" s="2131"/>
      <c r="AC4" s="2129" t="s">
        <v>367</v>
      </c>
      <c r="AD4" s="2130"/>
      <c r="AE4" s="2130"/>
      <c r="AF4" s="2132" t="s">
        <v>368</v>
      </c>
      <c r="AG4" s="2133"/>
      <c r="AH4" s="2133"/>
      <c r="AI4" s="2129" t="s">
        <v>369</v>
      </c>
      <c r="AJ4" s="2130"/>
      <c r="AK4" s="2130"/>
      <c r="AL4" s="2129" t="s">
        <v>370</v>
      </c>
      <c r="AM4" s="2130"/>
      <c r="AN4" s="2130"/>
      <c r="AO4" s="2129" t="s">
        <v>371</v>
      </c>
      <c r="AP4" s="2130"/>
      <c r="AQ4" s="2131"/>
      <c r="AR4" s="2121" t="s">
        <v>372</v>
      </c>
      <c r="AS4" s="2122"/>
      <c r="AT4" s="2123"/>
      <c r="AU4" s="2129" t="s">
        <v>373</v>
      </c>
      <c r="AV4" s="2130"/>
      <c r="AW4" s="2130"/>
      <c r="AX4" s="2129" t="s">
        <v>374</v>
      </c>
      <c r="AY4" s="2130"/>
      <c r="AZ4" s="2130"/>
      <c r="BA4" s="2129" t="s">
        <v>375</v>
      </c>
      <c r="BB4" s="2130"/>
      <c r="BC4" s="2130"/>
      <c r="BD4" s="2129" t="s">
        <v>376</v>
      </c>
      <c r="BE4" s="2130"/>
      <c r="BF4" s="2131"/>
      <c r="BG4" s="847"/>
      <c r="BH4" s="847"/>
      <c r="BI4" s="853"/>
      <c r="BJ4" s="853"/>
      <c r="BK4" s="853"/>
      <c r="BL4"/>
    </row>
    <row r="5" spans="1:64" ht="15.75">
      <c r="A5" s="2120"/>
      <c r="B5" s="2111"/>
      <c r="C5" s="2113"/>
      <c r="D5" s="2113"/>
      <c r="E5" s="2120"/>
      <c r="F5" s="2115"/>
      <c r="G5" s="2117"/>
      <c r="H5" s="862" t="s">
        <v>377</v>
      </c>
      <c r="I5" s="862" t="s">
        <v>378</v>
      </c>
      <c r="J5" s="862" t="s">
        <v>379</v>
      </c>
      <c r="K5" s="862" t="s">
        <v>377</v>
      </c>
      <c r="L5" s="862" t="s">
        <v>378</v>
      </c>
      <c r="M5" s="862" t="s">
        <v>379</v>
      </c>
      <c r="N5" s="862" t="s">
        <v>377</v>
      </c>
      <c r="O5" s="862" t="s">
        <v>378</v>
      </c>
      <c r="P5" s="862" t="s">
        <v>379</v>
      </c>
      <c r="Q5" s="862" t="s">
        <v>377</v>
      </c>
      <c r="R5" s="862" t="s">
        <v>378</v>
      </c>
      <c r="S5" s="862" t="s">
        <v>379</v>
      </c>
      <c r="T5" s="862" t="s">
        <v>377</v>
      </c>
      <c r="U5" s="862" t="s">
        <v>378</v>
      </c>
      <c r="V5" s="862" t="s">
        <v>379</v>
      </c>
      <c r="W5" s="862" t="s">
        <v>377</v>
      </c>
      <c r="X5" s="862" t="s">
        <v>378</v>
      </c>
      <c r="Y5" s="862" t="s">
        <v>379</v>
      </c>
      <c r="Z5" s="862" t="s">
        <v>377</v>
      </c>
      <c r="AA5" s="862" t="s">
        <v>378</v>
      </c>
      <c r="AB5" s="862" t="s">
        <v>379</v>
      </c>
      <c r="AC5" s="862" t="s">
        <v>377</v>
      </c>
      <c r="AD5" s="862" t="s">
        <v>378</v>
      </c>
      <c r="AE5" s="862" t="s">
        <v>379</v>
      </c>
      <c r="AF5" s="862" t="s">
        <v>377</v>
      </c>
      <c r="AG5" s="862" t="s">
        <v>378</v>
      </c>
      <c r="AH5" s="862" t="s">
        <v>379</v>
      </c>
      <c r="AI5" s="862" t="s">
        <v>377</v>
      </c>
      <c r="AJ5" s="862" t="s">
        <v>378</v>
      </c>
      <c r="AK5" s="862" t="s">
        <v>379</v>
      </c>
      <c r="AL5" s="862" t="s">
        <v>377</v>
      </c>
      <c r="AM5" s="862" t="s">
        <v>378</v>
      </c>
      <c r="AN5" s="862" t="s">
        <v>379</v>
      </c>
      <c r="AO5" s="862" t="s">
        <v>377</v>
      </c>
      <c r="AP5" s="862" t="s">
        <v>378</v>
      </c>
      <c r="AQ5" s="863" t="s">
        <v>379</v>
      </c>
      <c r="AR5" s="864" t="s">
        <v>377</v>
      </c>
      <c r="AS5" s="865" t="s">
        <v>378</v>
      </c>
      <c r="AT5" s="866" t="s">
        <v>379</v>
      </c>
      <c r="AU5" s="862" t="s">
        <v>377</v>
      </c>
      <c r="AV5" s="862" t="s">
        <v>378</v>
      </c>
      <c r="AW5" s="862" t="s">
        <v>379</v>
      </c>
      <c r="AX5" s="862" t="s">
        <v>377</v>
      </c>
      <c r="AY5" s="862" t="s">
        <v>378</v>
      </c>
      <c r="AZ5" s="862" t="s">
        <v>379</v>
      </c>
      <c r="BA5" s="862" t="s">
        <v>377</v>
      </c>
      <c r="BB5" s="862" t="s">
        <v>378</v>
      </c>
      <c r="BC5" s="862" t="s">
        <v>379</v>
      </c>
      <c r="BD5" s="862" t="s">
        <v>377</v>
      </c>
      <c r="BE5" s="862" t="s">
        <v>377</v>
      </c>
      <c r="BF5" s="862" t="s">
        <v>377</v>
      </c>
      <c r="BG5" s="862" t="s">
        <v>377</v>
      </c>
      <c r="BH5" s="862" t="s">
        <v>377</v>
      </c>
      <c r="BI5" s="867" t="s">
        <v>377</v>
      </c>
      <c r="BJ5" s="853"/>
      <c r="BK5" s="853"/>
      <c r="BL5"/>
    </row>
    <row r="6" spans="1:64" ht="16.5" thickBot="1">
      <c r="A6" s="868"/>
      <c r="B6" s="869"/>
      <c r="C6" s="869"/>
      <c r="D6" s="870"/>
      <c r="E6" s="871"/>
      <c r="F6" s="872"/>
      <c r="G6" s="870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73"/>
      <c r="AO6" s="873"/>
      <c r="AP6" s="873"/>
      <c r="AQ6" s="874"/>
      <c r="AR6" s="875"/>
      <c r="AS6" s="875"/>
      <c r="AT6" s="874"/>
      <c r="AU6" s="873"/>
      <c r="AV6" s="873"/>
      <c r="AW6" s="873"/>
      <c r="AX6" s="873"/>
      <c r="AY6" s="873"/>
      <c r="AZ6" s="873"/>
      <c r="BA6" s="873"/>
      <c r="BB6" s="873"/>
      <c r="BC6" s="873"/>
      <c r="BD6" s="876"/>
      <c r="BE6" s="876"/>
      <c r="BF6" s="876"/>
      <c r="BG6" s="876" t="s">
        <v>380</v>
      </c>
      <c r="BH6" s="876" t="s">
        <v>381</v>
      </c>
      <c r="BI6" s="877" t="s">
        <v>382</v>
      </c>
      <c r="BJ6" s="878"/>
      <c r="BK6" s="853"/>
      <c r="BL6"/>
    </row>
    <row r="7" spans="1:64" ht="15.75">
      <c r="A7" s="2100" t="s">
        <v>383</v>
      </c>
      <c r="B7" s="879" t="s">
        <v>384</v>
      </c>
      <c r="C7" s="879" t="s">
        <v>385</v>
      </c>
      <c r="D7" s="880" t="s">
        <v>386</v>
      </c>
      <c r="E7" s="881" t="s">
        <v>238</v>
      </c>
      <c r="F7" s="881" t="s">
        <v>387</v>
      </c>
      <c r="G7" s="882" t="s">
        <v>388</v>
      </c>
      <c r="H7" s="883">
        <f>SUM(H8:H9)</f>
        <v>49.07986926933406</v>
      </c>
      <c r="I7" s="883">
        <f>SUM(I8:I9)</f>
        <v>8.615083435574595</v>
      </c>
      <c r="J7" s="884" t="e">
        <f>#N/A</f>
        <v>#N/A</v>
      </c>
      <c r="K7" s="883">
        <f>SUM(K8:K9)</f>
        <v>45.04202506978106</v>
      </c>
      <c r="L7" s="883">
        <f>SUM(L8:L9)</f>
        <v>8.615083435574595</v>
      </c>
      <c r="M7" s="884">
        <f>L7-K7</f>
        <v>-36.426941634206464</v>
      </c>
      <c r="N7" s="883">
        <f>SUM(N8:N9)</f>
        <v>44.07294246188834</v>
      </c>
      <c r="O7" s="883">
        <f>SUM(O8:O9)</f>
        <v>8.615083435574595</v>
      </c>
      <c r="P7" s="884">
        <f>O7-N7</f>
        <v>-35.45785902631374</v>
      </c>
      <c r="Q7" s="883">
        <f>SUM(Q8:Q9)</f>
        <v>36.38021438057641</v>
      </c>
      <c r="R7" s="883">
        <f>SUM(R8:R9)</f>
        <v>8.615083435574595</v>
      </c>
      <c r="S7" s="884">
        <f>R7-Q7</f>
        <v>-27.765130945001815</v>
      </c>
      <c r="T7" s="883">
        <f>SUM(T8:T9)</f>
        <v>29.862778309046337</v>
      </c>
      <c r="U7" s="883">
        <f>SUM(U8:U9)</f>
        <v>0</v>
      </c>
      <c r="V7" s="884">
        <f>U7-T7</f>
        <v>-29.862778309046337</v>
      </c>
      <c r="W7" s="883">
        <f>SUM(W8:W9)</f>
        <v>10.985983652368738</v>
      </c>
      <c r="X7" s="883">
        <f>SUM(X8:X9)</f>
        <v>0</v>
      </c>
      <c r="Y7" s="884">
        <f>X7-W7</f>
        <v>-10.985983652368738</v>
      </c>
      <c r="Z7" s="883">
        <f>SUM(Z8:Z9)</f>
        <v>0</v>
      </c>
      <c r="AA7" s="884">
        <f>SUM(AA8:AA9)</f>
        <v>0</v>
      </c>
      <c r="AB7" s="884">
        <f>AA7-Z7</f>
        <v>0</v>
      </c>
      <c r="AC7" s="883">
        <f>SUM(AC8:AC9)</f>
        <v>0</v>
      </c>
      <c r="AD7" s="884">
        <f>SUM(AD8:AD9)</f>
        <v>0</v>
      </c>
      <c r="AE7" s="884">
        <f>AD7-AC7</f>
        <v>0</v>
      </c>
      <c r="AF7" s="883">
        <f>SUM(AF8:AF9)</f>
        <v>10.658892876958406</v>
      </c>
      <c r="AG7" s="884">
        <f>SUM(AG8:AG9)</f>
        <v>0</v>
      </c>
      <c r="AH7" s="884">
        <f>AG7-AF7</f>
        <v>-10.658892876958406</v>
      </c>
      <c r="AI7" s="883">
        <f>SUM(AI8:AI9)</f>
        <v>28.915027708245596</v>
      </c>
      <c r="AJ7" s="883">
        <f>SUM(AJ8:AJ9)</f>
        <v>8.615083435574595</v>
      </c>
      <c r="AK7" s="884">
        <f>AJ7-AI7</f>
        <v>-20.299944272671</v>
      </c>
      <c r="AL7" s="883">
        <f>SUM(AL8:AL9)</f>
        <v>37.035411741258606</v>
      </c>
      <c r="AM7" s="883">
        <f>SUM(AM8:AM9)</f>
        <v>8.615083435574595</v>
      </c>
      <c r="AN7" s="884">
        <f>AM7-AL7</f>
        <v>-28.42032830568401</v>
      </c>
      <c r="AO7" s="883">
        <f>SUM(AO8:AO9)</f>
        <v>44.34314788505339</v>
      </c>
      <c r="AP7" s="883">
        <f>SUM(AP8:AP9)</f>
        <v>0</v>
      </c>
      <c r="AQ7" s="884">
        <f>AP7-AO7</f>
        <v>-44.34314788505339</v>
      </c>
      <c r="AR7" s="885">
        <f>SUMIF($H$5:$AQ$5,$AR$5,H7:AQ7)</f>
        <v>336.37629335451095</v>
      </c>
      <c r="AS7" s="886">
        <f>SUMIF($H$5:$AQ$5,$AS$5,H7:AQ7)</f>
        <v>51.690500613447576</v>
      </c>
      <c r="AT7" s="887" t="e">
        <f>#N/A</f>
        <v>#N/A</v>
      </c>
      <c r="AU7" s="888">
        <f>H7+K7+N7</f>
        <v>138.19483680100348</v>
      </c>
      <c r="AV7" s="889" t="e">
        <f>#N/A</f>
        <v>#N/A</v>
      </c>
      <c r="AW7" s="889" t="e">
        <f>#N/A</f>
        <v>#N/A</v>
      </c>
      <c r="AX7" s="888">
        <f>Q7+T7+W7</f>
        <v>77.22897634199148</v>
      </c>
      <c r="AY7" s="889" t="e">
        <f>#N/A</f>
        <v>#N/A</v>
      </c>
      <c r="AZ7" s="889" t="e">
        <f>#N/A</f>
        <v>#N/A</v>
      </c>
      <c r="BA7" s="888">
        <f>Z7+AC7+AF7</f>
        <v>10.658892876958406</v>
      </c>
      <c r="BB7" s="889" t="e">
        <f>#N/A</f>
        <v>#N/A</v>
      </c>
      <c r="BC7" s="889" t="e">
        <f>#N/A</f>
        <v>#N/A</v>
      </c>
      <c r="BD7" s="888">
        <f>AI7+AL7+AO7</f>
        <v>110.2935873345576</v>
      </c>
      <c r="BE7" s="889" t="e">
        <f>#N/A</f>
        <v>#N/A</v>
      </c>
      <c r="BF7" s="889" t="e">
        <f>#N/A</f>
        <v>#N/A</v>
      </c>
      <c r="BG7" s="890">
        <f>AU7+AX7</f>
        <v>215.42381314299496</v>
      </c>
      <c r="BH7" s="891">
        <f>BA7+BD7</f>
        <v>120.952480211516</v>
      </c>
      <c r="BI7" s="892">
        <f>BG7+BH7</f>
        <v>336.37629335451095</v>
      </c>
      <c r="BJ7" s="893" t="s">
        <v>389</v>
      </c>
      <c r="BK7" s="853"/>
      <c r="BL7"/>
    </row>
    <row r="8" spans="1:64" ht="15.75">
      <c r="A8" s="2101"/>
      <c r="B8" s="894" t="s">
        <v>390</v>
      </c>
      <c r="C8" s="879" t="s">
        <v>385</v>
      </c>
      <c r="D8" s="895" t="s">
        <v>386</v>
      </c>
      <c r="E8" s="881" t="s">
        <v>240</v>
      </c>
      <c r="F8" s="881" t="s">
        <v>387</v>
      </c>
      <c r="G8" s="882" t="s">
        <v>20</v>
      </c>
      <c r="H8" s="888">
        <f>H9*0.01/0.99</f>
        <v>0.49079869269334064</v>
      </c>
      <c r="I8" s="888">
        <f>I9*0.01/0.99</f>
        <v>0.08615083435574596</v>
      </c>
      <c r="J8" s="884" t="e">
        <f>#N/A</f>
        <v>#N/A</v>
      </c>
      <c r="K8" s="888">
        <f>K9*0.01/0.99</f>
        <v>0.4504202506978106</v>
      </c>
      <c r="L8" s="896">
        <f>L9*0.01/0.99</f>
        <v>0.08615083435574596</v>
      </c>
      <c r="M8" s="884">
        <f>L8-K8</f>
        <v>-0.36426941634206467</v>
      </c>
      <c r="N8" s="888">
        <f>N9*0.01/0.99</f>
        <v>0.44072942461888337</v>
      </c>
      <c r="O8" s="888">
        <f>O9*0.01/0.99</f>
        <v>0.08615083435574596</v>
      </c>
      <c r="P8" s="897">
        <f>O8-N8</f>
        <v>-0.3545785902631374</v>
      </c>
      <c r="Q8" s="888">
        <f>Q9*0.01/0.99</f>
        <v>0.36380214380576414</v>
      </c>
      <c r="R8" s="888">
        <f>R9*0.01/0.99</f>
        <v>0.08615083435574596</v>
      </c>
      <c r="S8" s="897">
        <f>R8-Q8</f>
        <v>-0.2776513094500182</v>
      </c>
      <c r="T8" s="888">
        <f>T9*0.01/0.99</f>
        <v>0.2986277830904634</v>
      </c>
      <c r="U8" s="888">
        <f>U9*0.01/0.99</f>
        <v>0</v>
      </c>
      <c r="V8" s="897">
        <f>U8-T8</f>
        <v>-0.2986277830904634</v>
      </c>
      <c r="W8" s="888">
        <f>W9*0.01/0.99</f>
        <v>0.10985983652368737</v>
      </c>
      <c r="X8" s="888">
        <f>X9*0.01/0.99</f>
        <v>0</v>
      </c>
      <c r="Y8" s="897">
        <f>X8-W8</f>
        <v>-0.10985983652368737</v>
      </c>
      <c r="Z8" s="888">
        <f>Z9*0.01/0.99</f>
        <v>0</v>
      </c>
      <c r="AA8" s="898"/>
      <c r="AB8" s="897">
        <f>AA8-Z8</f>
        <v>0</v>
      </c>
      <c r="AC8" s="888">
        <f>AC9*0.01/0.99</f>
        <v>0</v>
      </c>
      <c r="AD8" s="898"/>
      <c r="AE8" s="897">
        <f>AD8-AC8</f>
        <v>0</v>
      </c>
      <c r="AF8" s="888">
        <f>AF9*0.01/0.99</f>
        <v>0.10658892876958406</v>
      </c>
      <c r="AG8" s="898"/>
      <c r="AH8" s="897">
        <f>AG8-AF8</f>
        <v>-0.10658892876958406</v>
      </c>
      <c r="AI8" s="888">
        <f>AI9*0.01/0.99</f>
        <v>0.28915027708245594</v>
      </c>
      <c r="AJ8" s="888">
        <f>AJ9*0.01/0.99</f>
        <v>0.08615083435574596</v>
      </c>
      <c r="AK8" s="897">
        <f>AJ8-AI8</f>
        <v>-0.20299944272671</v>
      </c>
      <c r="AL8" s="888">
        <f>AL9*0.01/0.99</f>
        <v>0.37035411741258606</v>
      </c>
      <c r="AM8" s="888">
        <f>AM9*0.01/0.99</f>
        <v>0.08615083435574596</v>
      </c>
      <c r="AN8" s="897">
        <f>AM8-AL8</f>
        <v>-0.2842032830568401</v>
      </c>
      <c r="AO8" s="888">
        <f>AO9*0.01/0.99</f>
        <v>0.4434314788505339</v>
      </c>
      <c r="AP8" s="896">
        <f>AP9*0.01/0.99</f>
        <v>0</v>
      </c>
      <c r="AQ8" s="884">
        <f>AP8-AO8</f>
        <v>-0.4434314788505339</v>
      </c>
      <c r="AR8" s="885">
        <f>SUMIF($H$5:$AQ$5,$AR$5,H8:AQ8)</f>
        <v>3.3637629335451096</v>
      </c>
      <c r="AS8" s="886">
        <f>SUMIF($H$5:$AQ$5,$AS$5,H8:AQ8)</f>
        <v>0.5169050061344758</v>
      </c>
      <c r="AT8" s="899" t="e">
        <f>#N/A</f>
        <v>#N/A</v>
      </c>
      <c r="AU8" s="888">
        <f>H8+K8+N8</f>
        <v>1.3819483680100346</v>
      </c>
      <c r="AV8" s="889" t="e">
        <f>#N/A</f>
        <v>#N/A</v>
      </c>
      <c r="AW8" s="889" t="e">
        <f>#N/A</f>
        <v>#N/A</v>
      </c>
      <c r="AX8" s="888">
        <f>Q8+T8+W8</f>
        <v>0.7722897634199148</v>
      </c>
      <c r="AY8" s="889" t="e">
        <f>#N/A</f>
        <v>#N/A</v>
      </c>
      <c r="AZ8" s="889" t="e">
        <f>#N/A</f>
        <v>#N/A</v>
      </c>
      <c r="BA8" s="888">
        <f>Z8+AC8+AF8</f>
        <v>0.10658892876958406</v>
      </c>
      <c r="BB8" s="889" t="e">
        <f>#N/A</f>
        <v>#N/A</v>
      </c>
      <c r="BC8" s="889" t="e">
        <f>#N/A</f>
        <v>#N/A</v>
      </c>
      <c r="BD8" s="888">
        <f>AI8+AL8+AO8</f>
        <v>1.1029358733455759</v>
      </c>
      <c r="BE8" s="889" t="e">
        <f>#N/A</f>
        <v>#N/A</v>
      </c>
      <c r="BF8" s="889" t="e">
        <f>#N/A</f>
        <v>#N/A</v>
      </c>
      <c r="BG8" s="900">
        <f>AU8+AX8</f>
        <v>2.1542381314299495</v>
      </c>
      <c r="BH8" s="901">
        <f>BA8+BD8</f>
        <v>1.20952480211516</v>
      </c>
      <c r="BI8" s="902">
        <f>BG8+BH8</f>
        <v>3.363762933545109</v>
      </c>
      <c r="BJ8" s="893" t="s">
        <v>21</v>
      </c>
      <c r="BK8" s="853"/>
      <c r="BL8"/>
    </row>
    <row r="9" spans="1:64" ht="15.75">
      <c r="A9" s="2101"/>
      <c r="B9" s="894"/>
      <c r="C9" s="879" t="s">
        <v>385</v>
      </c>
      <c r="D9" s="895" t="s">
        <v>386</v>
      </c>
      <c r="E9" s="881" t="s">
        <v>241</v>
      </c>
      <c r="F9" s="881" t="s">
        <v>387</v>
      </c>
      <c r="G9" s="882" t="s">
        <v>22</v>
      </c>
      <c r="H9" s="903">
        <f>SUM(H10,H12)</f>
        <v>48.58907057664072</v>
      </c>
      <c r="I9" s="904">
        <f>SUM(I10,I12)</f>
        <v>8.52893260121885</v>
      </c>
      <c r="J9" s="884" t="e">
        <f>#N/A</f>
        <v>#N/A</v>
      </c>
      <c r="K9" s="903">
        <f>SUM(K10,K12)</f>
        <v>44.59160481908325</v>
      </c>
      <c r="L9" s="904">
        <f>SUM(L10,L12)</f>
        <v>8.52893260121885</v>
      </c>
      <c r="M9" s="884">
        <f>L9-K9</f>
        <v>-36.0626722178644</v>
      </c>
      <c r="N9" s="903">
        <f>SUM(N10,N12)</f>
        <v>43.63221303726945</v>
      </c>
      <c r="O9" s="904">
        <f>SUM(O10,O12)</f>
        <v>8.52893260121885</v>
      </c>
      <c r="P9" s="884">
        <f>O9-N9</f>
        <v>-35.1032804360506</v>
      </c>
      <c r="Q9" s="903">
        <f>SUM(Q10,Q12)</f>
        <v>36.01641223677065</v>
      </c>
      <c r="R9" s="904">
        <f>SUM(R10,R12)</f>
        <v>8.52893260121885</v>
      </c>
      <c r="S9" s="884">
        <f>R9-Q9</f>
        <v>-27.4874796355518</v>
      </c>
      <c r="T9" s="903">
        <f>SUM(T10,T12)</f>
        <v>29.564150525955874</v>
      </c>
      <c r="U9" s="904">
        <f>SUM(U10,U12)</f>
        <v>0</v>
      </c>
      <c r="V9" s="884">
        <f>U9-T9</f>
        <v>-29.564150525955874</v>
      </c>
      <c r="W9" s="903">
        <f>SUM(W10,W12)</f>
        <v>10.87612381584505</v>
      </c>
      <c r="X9" s="903">
        <f>SUM(X10,X12)</f>
        <v>0</v>
      </c>
      <c r="Y9" s="884">
        <f>X9-W9</f>
        <v>-10.87612381584505</v>
      </c>
      <c r="Z9" s="903">
        <f>SUM(Z10,Z12)</f>
        <v>0</v>
      </c>
      <c r="AA9" s="904">
        <f>SUM(AA10,AA12)</f>
        <v>0</v>
      </c>
      <c r="AB9" s="884">
        <f>AA9-Z9</f>
        <v>0</v>
      </c>
      <c r="AC9" s="903">
        <f>SUM(AC10,AC12)</f>
        <v>0</v>
      </c>
      <c r="AD9" s="904">
        <f>SUM(AD10,AD12)</f>
        <v>0</v>
      </c>
      <c r="AE9" s="884">
        <f>AD9-AC9</f>
        <v>0</v>
      </c>
      <c r="AF9" s="903">
        <f>SUM(AF10,AF12)</f>
        <v>10.552303948188822</v>
      </c>
      <c r="AG9" s="904">
        <f>SUM(AG10,AG12)</f>
        <v>0</v>
      </c>
      <c r="AH9" s="884">
        <f>AG9-AF9</f>
        <v>-10.552303948188822</v>
      </c>
      <c r="AI9" s="903">
        <f>SUM(AI10,AI12)</f>
        <v>28.62587743116314</v>
      </c>
      <c r="AJ9" s="904">
        <f>SUM(AJ10,AJ12)</f>
        <v>8.52893260121885</v>
      </c>
      <c r="AK9" s="884">
        <f>AJ9-AI9</f>
        <v>-20.09694482994429</v>
      </c>
      <c r="AL9" s="903">
        <f>SUM(AL10,AL12)</f>
        <v>36.66505762384602</v>
      </c>
      <c r="AM9" s="904">
        <f>SUM(AM10,AM12)</f>
        <v>8.52893260121885</v>
      </c>
      <c r="AN9" s="884">
        <f>AM9-AL9</f>
        <v>-28.13612502262717</v>
      </c>
      <c r="AO9" s="903">
        <f>SUM(AO10,AO12)</f>
        <v>43.899716406202856</v>
      </c>
      <c r="AP9" s="904">
        <f>SUM(AP10,AP12)</f>
        <v>0</v>
      </c>
      <c r="AQ9" s="884">
        <f>AP9-AO9</f>
        <v>-43.899716406202856</v>
      </c>
      <c r="AR9" s="885">
        <f>SUMIF($H$5:$AQ$5,$AR$5,H9:AQ9)</f>
        <v>333.0125304209658</v>
      </c>
      <c r="AS9" s="886">
        <f>SUMIF($H$5:$AQ$5,$AS$5,H9:AQ9)</f>
        <v>51.173595607313096</v>
      </c>
      <c r="AT9" s="887" t="e">
        <f>#N/A</f>
        <v>#N/A</v>
      </c>
      <c r="AU9" s="888">
        <f>H9+K9+N9</f>
        <v>136.81288843299342</v>
      </c>
      <c r="AV9" s="889" t="e">
        <f>#N/A</f>
        <v>#N/A</v>
      </c>
      <c r="AW9" s="889" t="e">
        <f>#N/A</f>
        <v>#N/A</v>
      </c>
      <c r="AX9" s="888">
        <f>Q9+T9+W9</f>
        <v>76.45668657857156</v>
      </c>
      <c r="AY9" s="889" t="e">
        <f>#N/A</f>
        <v>#N/A</v>
      </c>
      <c r="AZ9" s="889" t="e">
        <f>#N/A</f>
        <v>#N/A</v>
      </c>
      <c r="BA9" s="888">
        <f>Z9+AC9+AF9</f>
        <v>10.552303948188822</v>
      </c>
      <c r="BB9" s="889" t="e">
        <f>#N/A</f>
        <v>#N/A</v>
      </c>
      <c r="BC9" s="889" t="e">
        <f>#N/A</f>
        <v>#N/A</v>
      </c>
      <c r="BD9" s="888">
        <f>AI9+AL9+AO9</f>
        <v>109.19065146121201</v>
      </c>
      <c r="BE9" s="889" t="e">
        <f>#N/A</f>
        <v>#N/A</v>
      </c>
      <c r="BF9" s="889" t="e">
        <f>#N/A</f>
        <v>#N/A</v>
      </c>
      <c r="BG9" s="890">
        <f>AU9+AX9</f>
        <v>213.269575011565</v>
      </c>
      <c r="BH9" s="891">
        <f>BA9+BD9</f>
        <v>119.74295540940084</v>
      </c>
      <c r="BI9" s="905">
        <f>BG9+BH9</f>
        <v>333.01253042096585</v>
      </c>
      <c r="BJ9" s="893" t="s">
        <v>23</v>
      </c>
      <c r="BK9" s="853"/>
      <c r="BL9"/>
    </row>
    <row r="10" spans="1:64" ht="15.75">
      <c r="A10" s="2101"/>
      <c r="B10" s="894"/>
      <c r="C10" s="879" t="s">
        <v>385</v>
      </c>
      <c r="D10" s="895" t="s">
        <v>386</v>
      </c>
      <c r="E10" s="881" t="s">
        <v>242</v>
      </c>
      <c r="F10" s="881" t="s">
        <v>387</v>
      </c>
      <c r="G10" s="906" t="s">
        <v>1415</v>
      </c>
      <c r="H10" s="907">
        <f aca="true" t="shared" si="0" ref="H10:AO10">H12*0.00562/(1-0.00562)</f>
        <v>0.2730705766407208</v>
      </c>
      <c r="I10" s="907">
        <f t="shared" si="0"/>
        <v>0.047932601218849936</v>
      </c>
      <c r="J10" s="907" t="e">
        <f t="shared" si="0"/>
        <v>#N/A</v>
      </c>
      <c r="K10" s="907">
        <f t="shared" si="0"/>
        <v>0.25060481908324783</v>
      </c>
      <c r="L10" s="907">
        <f t="shared" si="0"/>
        <v>0.047932601218849936</v>
      </c>
      <c r="M10" s="907">
        <f t="shared" si="0"/>
        <v>-0.2026722178643979</v>
      </c>
      <c r="N10" s="907">
        <f t="shared" si="0"/>
        <v>0.24521303726945431</v>
      </c>
      <c r="O10" s="907">
        <f t="shared" si="0"/>
        <v>0.047932601218849936</v>
      </c>
      <c r="P10" s="907">
        <f t="shared" si="0"/>
        <v>-0.19728043605060439</v>
      </c>
      <c r="Q10" s="907">
        <f t="shared" si="0"/>
        <v>0.20241223677065107</v>
      </c>
      <c r="R10" s="907">
        <f t="shared" si="0"/>
        <v>0.047932601218849936</v>
      </c>
      <c r="S10" s="907">
        <f t="shared" si="0"/>
        <v>-0.15447963555180108</v>
      </c>
      <c r="T10" s="907">
        <f t="shared" si="0"/>
        <v>0.166150525955872</v>
      </c>
      <c r="U10" s="907">
        <f t="shared" si="0"/>
        <v>0</v>
      </c>
      <c r="V10" s="907">
        <f t="shared" si="0"/>
        <v>-0.166150525955872</v>
      </c>
      <c r="W10" s="907">
        <f t="shared" si="0"/>
        <v>0.06112381584504918</v>
      </c>
      <c r="X10" s="908">
        <f t="shared" si="0"/>
        <v>0</v>
      </c>
      <c r="Y10" s="908">
        <f t="shared" si="0"/>
        <v>-0.06112381584504918</v>
      </c>
      <c r="Z10" s="907">
        <f t="shared" si="0"/>
        <v>0</v>
      </c>
      <c r="AA10" s="907">
        <f t="shared" si="0"/>
        <v>0</v>
      </c>
      <c r="AB10" s="907">
        <f t="shared" si="0"/>
        <v>0</v>
      </c>
      <c r="AC10" s="907">
        <f t="shared" si="0"/>
        <v>0</v>
      </c>
      <c r="AD10" s="907">
        <f t="shared" si="0"/>
        <v>0</v>
      </c>
      <c r="AE10" s="907">
        <f t="shared" si="0"/>
        <v>0</v>
      </c>
      <c r="AF10" s="907">
        <f t="shared" si="0"/>
        <v>0.059303948188821176</v>
      </c>
      <c r="AG10" s="907">
        <f t="shared" si="0"/>
        <v>0</v>
      </c>
      <c r="AH10" s="907">
        <f t="shared" si="0"/>
        <v>-0.059303948188821176</v>
      </c>
      <c r="AI10" s="907">
        <f t="shared" si="0"/>
        <v>0.16087743116313682</v>
      </c>
      <c r="AJ10" s="907">
        <f t="shared" si="0"/>
        <v>0.047932601218849936</v>
      </c>
      <c r="AK10" s="907">
        <f t="shared" si="0"/>
        <v>-0.1129448299442869</v>
      </c>
      <c r="AL10" s="907">
        <f t="shared" si="0"/>
        <v>0.20605762384601461</v>
      </c>
      <c r="AM10" s="907">
        <f t="shared" si="0"/>
        <v>0.047932601218849936</v>
      </c>
      <c r="AN10" s="907">
        <f t="shared" si="0"/>
        <v>-0.15812502262716469</v>
      </c>
      <c r="AO10" s="907">
        <f t="shared" si="0"/>
        <v>0.24671640620286003</v>
      </c>
      <c r="AP10" s="888">
        <f>AP12*0.00561/(1-0.00561)</f>
        <v>0</v>
      </c>
      <c r="AQ10" s="884">
        <f>AP10-AO10</f>
        <v>-0.24671640620286003</v>
      </c>
      <c r="AR10" s="909">
        <f>H10+K10+N10+Q10+T10+W10+Z10+AC10+AF10+AI10+AL10+AO10</f>
        <v>1.8715304209658277</v>
      </c>
      <c r="AS10" s="886">
        <f>SUMIF($H$5:$AQ$5,$AS$5,H10:AQ10)</f>
        <v>0.28759560731309963</v>
      </c>
      <c r="AT10" s="899" t="e">
        <f>#N/A</f>
        <v>#N/A</v>
      </c>
      <c r="AU10" s="888">
        <f>H10+K10+N10</f>
        <v>0.7688884329934229</v>
      </c>
      <c r="AV10" s="889" t="e">
        <f>#N/A</f>
        <v>#N/A</v>
      </c>
      <c r="AW10" s="889" t="e">
        <f>#N/A</f>
        <v>#N/A</v>
      </c>
      <c r="AX10" s="888">
        <f>Q10+T10+W10</f>
        <v>0.4296865785715723</v>
      </c>
      <c r="AY10" s="889" t="e">
        <f>#N/A</f>
        <v>#N/A</v>
      </c>
      <c r="AZ10" s="889" t="e">
        <f>#N/A</f>
        <v>#N/A</v>
      </c>
      <c r="BA10" s="888">
        <f>Z10+AC10+AF10</f>
        <v>0.059303948188821176</v>
      </c>
      <c r="BB10" s="889" t="e">
        <f>#N/A</f>
        <v>#N/A</v>
      </c>
      <c r="BC10" s="889" t="e">
        <f>#N/A</f>
        <v>#N/A</v>
      </c>
      <c r="BD10" s="888">
        <f>AI10+AL10+AO10</f>
        <v>0.6136514612120115</v>
      </c>
      <c r="BE10" s="889" t="e">
        <f>#N/A</f>
        <v>#N/A</v>
      </c>
      <c r="BF10" s="889" t="e">
        <f>#N/A</f>
        <v>#N/A</v>
      </c>
      <c r="BG10" s="900">
        <f>AU10+AX10</f>
        <v>1.1985750115649951</v>
      </c>
      <c r="BH10" s="901">
        <f>BA10+BD10</f>
        <v>0.6729554094008328</v>
      </c>
      <c r="BI10" s="902">
        <f>BG10+BH10</f>
        <v>1.871530420965828</v>
      </c>
      <c r="BJ10" s="893" t="s">
        <v>1416</v>
      </c>
      <c r="BK10" s="853"/>
      <c r="BL10"/>
    </row>
    <row r="11" spans="1:64" ht="15">
      <c r="A11" s="2101"/>
      <c r="B11" s="894"/>
      <c r="C11" s="879" t="s">
        <v>385</v>
      </c>
      <c r="D11" s="895" t="s">
        <v>386</v>
      </c>
      <c r="E11" s="881" t="s">
        <v>243</v>
      </c>
      <c r="F11" s="881" t="s">
        <v>387</v>
      </c>
      <c r="G11" s="882" t="s">
        <v>1417</v>
      </c>
      <c r="H11" s="910">
        <f aca="true" t="shared" si="1" ref="H11:AV11">IF(H9&gt;0,ROUND(H10/H9,3),0%)</f>
        <v>0.006</v>
      </c>
      <c r="I11" s="910">
        <f t="shared" si="1"/>
        <v>0.006</v>
      </c>
      <c r="J11" s="910" t="e">
        <f t="shared" si="1"/>
        <v>#N/A</v>
      </c>
      <c r="K11" s="910">
        <f t="shared" si="1"/>
        <v>0.006</v>
      </c>
      <c r="L11" s="910">
        <f t="shared" si="1"/>
        <v>0.006</v>
      </c>
      <c r="M11" s="910">
        <f t="shared" si="1"/>
        <v>0</v>
      </c>
      <c r="N11" s="910">
        <f t="shared" si="1"/>
        <v>0.006</v>
      </c>
      <c r="O11" s="910">
        <f t="shared" si="1"/>
        <v>0.006</v>
      </c>
      <c r="P11" s="910">
        <f t="shared" si="1"/>
        <v>0</v>
      </c>
      <c r="Q11" s="910">
        <f t="shared" si="1"/>
        <v>0.006</v>
      </c>
      <c r="R11" s="910">
        <f t="shared" si="1"/>
        <v>0.006</v>
      </c>
      <c r="S11" s="910">
        <f t="shared" si="1"/>
        <v>0</v>
      </c>
      <c r="T11" s="910">
        <f t="shared" si="1"/>
        <v>0.006</v>
      </c>
      <c r="U11" s="910">
        <f t="shared" si="1"/>
        <v>0</v>
      </c>
      <c r="V11" s="910">
        <f t="shared" si="1"/>
        <v>0</v>
      </c>
      <c r="W11" s="910">
        <f t="shared" si="1"/>
        <v>0.006</v>
      </c>
      <c r="X11" s="910">
        <f t="shared" si="1"/>
        <v>0</v>
      </c>
      <c r="Y11" s="910">
        <f t="shared" si="1"/>
        <v>0</v>
      </c>
      <c r="Z11" s="910">
        <f t="shared" si="1"/>
        <v>0</v>
      </c>
      <c r="AA11" s="910">
        <f t="shared" si="1"/>
        <v>0</v>
      </c>
      <c r="AB11" s="910">
        <f t="shared" si="1"/>
        <v>0</v>
      </c>
      <c r="AC11" s="910">
        <f t="shared" si="1"/>
        <v>0</v>
      </c>
      <c r="AD11" s="910">
        <f t="shared" si="1"/>
        <v>0</v>
      </c>
      <c r="AE11" s="910">
        <f t="shared" si="1"/>
        <v>0</v>
      </c>
      <c r="AF11" s="910">
        <f t="shared" si="1"/>
        <v>0.006</v>
      </c>
      <c r="AG11" s="910">
        <f t="shared" si="1"/>
        <v>0</v>
      </c>
      <c r="AH11" s="910">
        <f t="shared" si="1"/>
        <v>0</v>
      </c>
      <c r="AI11" s="910">
        <f t="shared" si="1"/>
        <v>0.006</v>
      </c>
      <c r="AJ11" s="910">
        <f t="shared" si="1"/>
        <v>0.006</v>
      </c>
      <c r="AK11" s="910">
        <f t="shared" si="1"/>
        <v>0</v>
      </c>
      <c r="AL11" s="910">
        <f t="shared" si="1"/>
        <v>0.006</v>
      </c>
      <c r="AM11" s="910">
        <f t="shared" si="1"/>
        <v>0.006</v>
      </c>
      <c r="AN11" s="910">
        <f t="shared" si="1"/>
        <v>0</v>
      </c>
      <c r="AO11" s="910">
        <f t="shared" si="1"/>
        <v>0.006</v>
      </c>
      <c r="AP11" s="910">
        <f t="shared" si="1"/>
        <v>0</v>
      </c>
      <c r="AQ11" s="910">
        <f t="shared" si="1"/>
        <v>0</v>
      </c>
      <c r="AR11" s="911">
        <f t="shared" si="1"/>
        <v>0.006</v>
      </c>
      <c r="AS11" s="910">
        <f t="shared" si="1"/>
        <v>0.006</v>
      </c>
      <c r="AT11" s="910" t="e">
        <f t="shared" si="1"/>
        <v>#N/A</v>
      </c>
      <c r="AU11" s="910">
        <f t="shared" si="1"/>
        <v>0.006</v>
      </c>
      <c r="AV11" s="912" t="e">
        <f t="shared" si="1"/>
        <v>#N/A</v>
      </c>
      <c r="AW11" s="910" t="e">
        <f>#N/A</f>
        <v>#N/A</v>
      </c>
      <c r="AX11" s="912">
        <f>IF(AX9&gt;0,ROUND(AX10/AX9,3),0%)</f>
        <v>0.006</v>
      </c>
      <c r="AY11" s="912"/>
      <c r="AZ11" s="910" t="e">
        <f>#N/A</f>
        <v>#N/A</v>
      </c>
      <c r="BA11" s="912">
        <f>IF(BA9&gt;0,ROUND(BA10/BA9,3),0%)</f>
        <v>0.006</v>
      </c>
      <c r="BB11" s="912" t="e">
        <f>IF(BB9&gt;0,ROUND(BB10/BB9,3),0%)</f>
        <v>#N/A</v>
      </c>
      <c r="BC11" s="910" t="e">
        <f>#N/A</f>
        <v>#N/A</v>
      </c>
      <c r="BD11" s="912">
        <f>IF(BD9&gt;0,ROUND(BD10/BD9,3),0%)</f>
        <v>0.006</v>
      </c>
      <c r="BE11" s="912" t="e">
        <f>IF(BE9&gt;0,ROUND(BE10/BE9,3),0%)</f>
        <v>#N/A</v>
      </c>
      <c r="BF11" s="910" t="e">
        <f>#N/A</f>
        <v>#N/A</v>
      </c>
      <c r="BG11" s="913"/>
      <c r="BH11" s="914"/>
      <c r="BI11" s="915"/>
      <c r="BJ11" s="893"/>
      <c r="BK11" s="853"/>
      <c r="BL11"/>
    </row>
    <row r="12" spans="1:64" ht="15.75">
      <c r="A12" s="2101"/>
      <c r="B12" s="894"/>
      <c r="C12" s="879" t="s">
        <v>385</v>
      </c>
      <c r="D12" s="895" t="s">
        <v>386</v>
      </c>
      <c r="E12" s="881" t="s">
        <v>244</v>
      </c>
      <c r="F12" s="881" t="s">
        <v>387</v>
      </c>
      <c r="G12" s="882" t="s">
        <v>1418</v>
      </c>
      <c r="H12" s="904">
        <f>SUM(H14:H15)</f>
        <v>48.316</v>
      </c>
      <c r="I12" s="904">
        <f>SUM(I14:I15)</f>
        <v>8.481</v>
      </c>
      <c r="J12" s="884" t="e">
        <f>#N/A</f>
        <v>#N/A</v>
      </c>
      <c r="K12" s="904">
        <f>SUM(K14:K15)</f>
        <v>44.341</v>
      </c>
      <c r="L12" s="904">
        <f>SUM(L14:L15)</f>
        <v>8.481</v>
      </c>
      <c r="M12" s="884">
        <f>L12-K12</f>
        <v>-35.86</v>
      </c>
      <c r="N12" s="904">
        <f>SUM(N14:N15)</f>
        <v>43.387</v>
      </c>
      <c r="O12" s="904">
        <f>SUM(O14:O15)</f>
        <v>8.481</v>
      </c>
      <c r="P12" s="884">
        <f>O12-N12</f>
        <v>-34.906</v>
      </c>
      <c r="Q12" s="904">
        <f>SUM(Q14:Q15)</f>
        <v>35.814</v>
      </c>
      <c r="R12" s="904">
        <f>SUM(R14:R15)</f>
        <v>8.481</v>
      </c>
      <c r="S12" s="884">
        <f>R12-Q12</f>
        <v>-27.333</v>
      </c>
      <c r="T12" s="904">
        <f>SUM(T14:T15)</f>
        <v>29.398000000000003</v>
      </c>
      <c r="U12" s="904">
        <f>SUM(U14:U15)</f>
        <v>0</v>
      </c>
      <c r="V12" s="884">
        <f>U12-T12</f>
        <v>-29.398000000000003</v>
      </c>
      <c r="W12" s="904">
        <f>SUM(W14:W15)</f>
        <v>10.815000000000001</v>
      </c>
      <c r="X12" s="904">
        <f>SUM(X14:X15)</f>
        <v>0</v>
      </c>
      <c r="Y12" s="904">
        <f>SUM(Y14:Y15)</f>
        <v>-10.815000000000001</v>
      </c>
      <c r="Z12" s="904">
        <f>SUM(Z14:Z15)</f>
        <v>0</v>
      </c>
      <c r="AA12" s="904">
        <f>SUM(AA14:AA15)</f>
        <v>0</v>
      </c>
      <c r="AB12" s="884">
        <f>AA12-Z12</f>
        <v>0</v>
      </c>
      <c r="AC12" s="904">
        <f>SUM(AC14:AC15)</f>
        <v>0</v>
      </c>
      <c r="AD12" s="904">
        <f>SUM(AD14:AD15)</f>
        <v>0</v>
      </c>
      <c r="AE12" s="884">
        <f>AD12-AC12</f>
        <v>0</v>
      </c>
      <c r="AF12" s="904">
        <f>SUM(AF14:AF15)</f>
        <v>10.493</v>
      </c>
      <c r="AG12" s="904">
        <f>SUM(AG14:AG15)</f>
        <v>0</v>
      </c>
      <c r="AH12" s="884">
        <f>AG12-AF12</f>
        <v>-10.493</v>
      </c>
      <c r="AI12" s="904">
        <f>SUM(AI14:AI15)</f>
        <v>28.465000000000003</v>
      </c>
      <c r="AJ12" s="904">
        <f>SUM(AJ14:AJ15)</f>
        <v>8.481</v>
      </c>
      <c r="AK12" s="884">
        <f>AJ12-AI12</f>
        <v>-19.984</v>
      </c>
      <c r="AL12" s="904">
        <f>SUM(AL14:AL15)</f>
        <v>36.459</v>
      </c>
      <c r="AM12" s="904">
        <f>SUM(AM14:AM15)</f>
        <v>8.481</v>
      </c>
      <c r="AN12" s="884">
        <f>AM12-AL12</f>
        <v>-27.978</v>
      </c>
      <c r="AO12" s="904">
        <f>SUM(AO14:AO15)</f>
        <v>43.653</v>
      </c>
      <c r="AP12" s="904">
        <f>SUM(AP14:AP15)</f>
        <v>0</v>
      </c>
      <c r="AQ12" s="884">
        <f>AP12-AO12</f>
        <v>-43.653</v>
      </c>
      <c r="AR12" s="885">
        <f>SUMIF($H$5:$AQ$5,$AR$5,H12:AQ12)</f>
        <v>331.141</v>
      </c>
      <c r="AS12" s="886">
        <f>SUMIF($H$5:$AQ$5,$AS$5,H12:AQ12)</f>
        <v>50.886</v>
      </c>
      <c r="AT12" s="887" t="e">
        <f>#N/A</f>
        <v>#N/A</v>
      </c>
      <c r="AU12" s="888">
        <f>H12+K12+N12</f>
        <v>136.044</v>
      </c>
      <c r="AV12" s="889" t="e">
        <f>#N/A</f>
        <v>#N/A</v>
      </c>
      <c r="AW12" s="889" t="e">
        <f>#N/A</f>
        <v>#N/A</v>
      </c>
      <c r="AX12" s="888">
        <f>Q12+T12+W12</f>
        <v>76.027</v>
      </c>
      <c r="AY12" s="889" t="e">
        <f>#N/A</f>
        <v>#N/A</v>
      </c>
      <c r="AZ12" s="889" t="e">
        <f>#N/A</f>
        <v>#N/A</v>
      </c>
      <c r="BA12" s="888">
        <f>Z12+AC12+AF12</f>
        <v>10.493</v>
      </c>
      <c r="BB12" s="889" t="e">
        <f>#N/A</f>
        <v>#N/A</v>
      </c>
      <c r="BC12" s="889" t="e">
        <f>#N/A</f>
        <v>#N/A</v>
      </c>
      <c r="BD12" s="888">
        <f>AI12+AL12+AO12</f>
        <v>108.577</v>
      </c>
      <c r="BE12" s="889">
        <f>SUM(AJ12,AM12,AP12)</f>
        <v>16.962</v>
      </c>
      <c r="BF12" s="889" t="e">
        <f>#N/A</f>
        <v>#N/A</v>
      </c>
      <c r="BG12" s="900">
        <f>AU12+AX12</f>
        <v>212.07100000000003</v>
      </c>
      <c r="BH12" s="901">
        <f>BA12+BD12</f>
        <v>119.07</v>
      </c>
      <c r="BI12" s="902">
        <f>BG12+BH12</f>
        <v>331.141</v>
      </c>
      <c r="BJ12" s="893" t="s">
        <v>1419</v>
      </c>
      <c r="BK12" s="853"/>
      <c r="BL12"/>
    </row>
    <row r="13" spans="1:64" ht="15.75">
      <c r="A13" s="2101"/>
      <c r="B13" s="894"/>
      <c r="C13" s="879" t="s">
        <v>385</v>
      </c>
      <c r="D13" s="895" t="s">
        <v>386</v>
      </c>
      <c r="E13" s="881"/>
      <c r="F13" s="881"/>
      <c r="G13" s="916" t="s">
        <v>1686</v>
      </c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917"/>
      <c r="AL13" s="917"/>
      <c r="AM13" s="917"/>
      <c r="AN13" s="917"/>
      <c r="AO13" s="917"/>
      <c r="AP13" s="917"/>
      <c r="AQ13" s="917"/>
      <c r="AR13" s="885"/>
      <c r="AS13" s="886"/>
      <c r="AT13" s="899"/>
      <c r="AU13" s="889"/>
      <c r="AV13" s="889"/>
      <c r="AW13" s="889"/>
      <c r="AX13" s="889"/>
      <c r="AY13" s="889"/>
      <c r="AZ13" s="889"/>
      <c r="BA13" s="889"/>
      <c r="BB13" s="889"/>
      <c r="BC13" s="889"/>
      <c r="BD13" s="889"/>
      <c r="BE13" s="889"/>
      <c r="BF13" s="889"/>
      <c r="BG13" s="890"/>
      <c r="BH13" s="891"/>
      <c r="BI13" s="905"/>
      <c r="BJ13" s="893"/>
      <c r="BK13" s="853"/>
      <c r="BL13"/>
    </row>
    <row r="14" spans="1:64" ht="15.75">
      <c r="A14" s="2101"/>
      <c r="B14" s="918"/>
      <c r="C14" s="879" t="s">
        <v>385</v>
      </c>
      <c r="D14" s="919" t="s">
        <v>386</v>
      </c>
      <c r="E14" s="920" t="s">
        <v>1171</v>
      </c>
      <c r="F14" s="920" t="s">
        <v>387</v>
      </c>
      <c r="G14" s="921" t="s">
        <v>1420</v>
      </c>
      <c r="H14" s="922">
        <v>39.835</v>
      </c>
      <c r="I14" s="922"/>
      <c r="J14" s="923">
        <f>I14-H14</f>
        <v>-39.835</v>
      </c>
      <c r="K14" s="922">
        <v>35.86</v>
      </c>
      <c r="L14" s="922"/>
      <c r="M14" s="923">
        <f>L14-K14</f>
        <v>-35.86</v>
      </c>
      <c r="N14" s="922">
        <v>34.906</v>
      </c>
      <c r="O14" s="922"/>
      <c r="P14" s="923">
        <f>O14-N14</f>
        <v>-34.906</v>
      </c>
      <c r="Q14" s="922">
        <v>27.333</v>
      </c>
      <c r="R14" s="922"/>
      <c r="S14" s="923">
        <f>R14-Q14</f>
        <v>-27.333</v>
      </c>
      <c r="T14" s="922">
        <v>20.917</v>
      </c>
      <c r="U14" s="922"/>
      <c r="V14" s="923">
        <f>U14-T14</f>
        <v>-20.917</v>
      </c>
      <c r="W14" s="922">
        <v>6.575</v>
      </c>
      <c r="X14" s="924"/>
      <c r="Y14" s="925">
        <f>X14-W14</f>
        <v>-6.575</v>
      </c>
      <c r="Z14" s="922"/>
      <c r="AA14" s="922"/>
      <c r="AB14" s="923">
        <f>AA14-Z14</f>
        <v>0</v>
      </c>
      <c r="AC14" s="922"/>
      <c r="AD14" s="922"/>
      <c r="AE14" s="923">
        <f>AD14-AC14</f>
        <v>0</v>
      </c>
      <c r="AF14" s="922">
        <v>6.253</v>
      </c>
      <c r="AG14" s="922"/>
      <c r="AH14" s="923">
        <f>AG14-AF14</f>
        <v>-6.253</v>
      </c>
      <c r="AI14" s="922">
        <v>19.984</v>
      </c>
      <c r="AJ14" s="922"/>
      <c r="AK14" s="923">
        <f>AJ14-AI14</f>
        <v>-19.984</v>
      </c>
      <c r="AL14" s="922">
        <v>27.978</v>
      </c>
      <c r="AM14" s="922"/>
      <c r="AN14" s="923">
        <f>AM14-AL14</f>
        <v>-27.978</v>
      </c>
      <c r="AO14" s="922">
        <v>35.172</v>
      </c>
      <c r="AP14" s="926"/>
      <c r="AQ14" s="927">
        <f>AP14-AO14</f>
        <v>-35.172</v>
      </c>
      <c r="AR14" s="885">
        <f>SUMIF($H$5:$AQ$5,$AR$5,H14:AQ14)</f>
        <v>254.813</v>
      </c>
      <c r="AS14" s="928">
        <f>SUMIF($H$5:$AQ$5,$AS$5,H14:AQ14)</f>
        <v>0</v>
      </c>
      <c r="AT14" s="929">
        <f>AS14-AR14</f>
        <v>-254.813</v>
      </c>
      <c r="AU14" s="929">
        <f>SUM(H14,K14,N14)</f>
        <v>110.601</v>
      </c>
      <c r="AV14" s="929">
        <f>SUM(I14,L14,O14)</f>
        <v>0</v>
      </c>
      <c r="AW14" s="929">
        <f>AV14-AU14</f>
        <v>-110.601</v>
      </c>
      <c r="AX14" s="929">
        <f>SUM(Q14,T14,W14)</f>
        <v>54.825</v>
      </c>
      <c r="AY14" s="929">
        <f>SUM(R14,U14,X14)</f>
        <v>0</v>
      </c>
      <c r="AZ14" s="929">
        <f>AY14-AX14</f>
        <v>-54.825</v>
      </c>
      <c r="BA14" s="929">
        <f>SUM(Z14,AC14,AF14)</f>
        <v>6.253</v>
      </c>
      <c r="BB14" s="929">
        <f>SUM(AA14,AD14,AG14)</f>
        <v>0</v>
      </c>
      <c r="BC14" s="929">
        <f>BB14-BA14</f>
        <v>-6.253</v>
      </c>
      <c r="BD14" s="929">
        <f>SUM(AI14,AL14,AO14)</f>
        <v>83.134</v>
      </c>
      <c r="BE14" s="929">
        <f>SUM(AJ14,AM14,AP14)</f>
        <v>0</v>
      </c>
      <c r="BF14" s="929">
        <f>BE14-BD14</f>
        <v>-83.134</v>
      </c>
      <c r="BG14" s="900">
        <f>AU14+AX14</f>
        <v>165.426</v>
      </c>
      <c r="BH14" s="901">
        <f>BA14+BD14</f>
        <v>89.387</v>
      </c>
      <c r="BI14" s="902">
        <f>BG14+BH14</f>
        <v>254.813</v>
      </c>
      <c r="BJ14" s="893" t="s">
        <v>1421</v>
      </c>
      <c r="BK14" s="853"/>
      <c r="BL14"/>
    </row>
    <row r="15" spans="1:64" ht="15.75">
      <c r="A15" s="2101"/>
      <c r="B15" s="918"/>
      <c r="C15" s="879" t="s">
        <v>385</v>
      </c>
      <c r="D15" s="919" t="s">
        <v>386</v>
      </c>
      <c r="E15" s="920" t="s">
        <v>1172</v>
      </c>
      <c r="F15" s="920" t="s">
        <v>387</v>
      </c>
      <c r="G15" s="930" t="s">
        <v>1422</v>
      </c>
      <c r="H15" s="931">
        <f>SUM(H17:H18)</f>
        <v>8.481</v>
      </c>
      <c r="I15" s="931">
        <f>SUM(I17:I18)</f>
        <v>8.481</v>
      </c>
      <c r="J15" s="932">
        <f>I15-H15</f>
        <v>0</v>
      </c>
      <c r="K15" s="931">
        <f>SUM(K17:K18)</f>
        <v>8.481</v>
      </c>
      <c r="L15" s="931">
        <f>SUM(L17:L18)</f>
        <v>8.481</v>
      </c>
      <c r="M15" s="932">
        <f>L15-K15</f>
        <v>0</v>
      </c>
      <c r="N15" s="931">
        <f>SUM(N17:N18)</f>
        <v>8.481</v>
      </c>
      <c r="O15" s="931">
        <f>SUM(O17:O18)</f>
        <v>8.481</v>
      </c>
      <c r="P15" s="932">
        <f>O15-N15</f>
        <v>0</v>
      </c>
      <c r="Q15" s="931">
        <f>SUM(Q17:Q18)</f>
        <v>8.481</v>
      </c>
      <c r="R15" s="931">
        <f>SUM(R17:R18)</f>
        <v>8.481</v>
      </c>
      <c r="S15" s="932">
        <f>R15-Q15</f>
        <v>0</v>
      </c>
      <c r="T15" s="931">
        <f>SUM(T17:T18)</f>
        <v>8.481</v>
      </c>
      <c r="U15" s="931">
        <f>SUM(U17:U18)</f>
        <v>0</v>
      </c>
      <c r="V15" s="932">
        <f>U15-T15</f>
        <v>-8.481</v>
      </c>
      <c r="W15" s="931">
        <f>SUM(W17:W18)</f>
        <v>4.24</v>
      </c>
      <c r="X15" s="933">
        <f>SUM(X17:X18)</f>
        <v>0</v>
      </c>
      <c r="Y15" s="934">
        <f>X15-W15</f>
        <v>-4.24</v>
      </c>
      <c r="Z15" s="931">
        <f>SUM(Z17:Z18)</f>
        <v>0</v>
      </c>
      <c r="AA15" s="931">
        <f>SUM(AA17:AA18)</f>
        <v>0</v>
      </c>
      <c r="AB15" s="932">
        <f>AA15-Z15</f>
        <v>0</v>
      </c>
      <c r="AC15" s="931">
        <f>SUM(AC17:AC18)</f>
        <v>0</v>
      </c>
      <c r="AD15" s="931">
        <f>SUM(AD17:AD18)</f>
        <v>0</v>
      </c>
      <c r="AE15" s="932">
        <f>AD15-AC15</f>
        <v>0</v>
      </c>
      <c r="AF15" s="931">
        <f>SUM(AF17:AF18)</f>
        <v>4.24</v>
      </c>
      <c r="AG15" s="931">
        <f>SUM(AG17:AG18)</f>
        <v>0</v>
      </c>
      <c r="AH15" s="932">
        <f>AG15-AF15</f>
        <v>-4.24</v>
      </c>
      <c r="AI15" s="931">
        <f>SUM(AI17:AI18)</f>
        <v>8.481</v>
      </c>
      <c r="AJ15" s="931">
        <f>SUM(AJ17:AJ18)</f>
        <v>8.481</v>
      </c>
      <c r="AK15" s="932">
        <f>AJ15-AI15</f>
        <v>0</v>
      </c>
      <c r="AL15" s="931">
        <f>SUM(AL17:AL18)</f>
        <v>8.481</v>
      </c>
      <c r="AM15" s="931">
        <f>SUM(AM17:AM18)</f>
        <v>8.481</v>
      </c>
      <c r="AN15" s="932">
        <f>AM15-AL15</f>
        <v>0</v>
      </c>
      <c r="AO15" s="931">
        <f>SUM(AO17:AO18)</f>
        <v>8.481</v>
      </c>
      <c r="AP15" s="935">
        <f>SUM(AP17:AP18)</f>
        <v>0</v>
      </c>
      <c r="AQ15" s="936">
        <f>AP15-AO15</f>
        <v>-8.481</v>
      </c>
      <c r="AR15" s="885">
        <f>SUMIF($H$5:$AQ$5,$AR$5,H15:AQ15)</f>
        <v>76.328</v>
      </c>
      <c r="AS15" s="886">
        <f>SUMIF($H$5:$AQ$5,$AS$5,H15:AQ15)</f>
        <v>50.886</v>
      </c>
      <c r="AT15" s="887">
        <f>AS15-AR15</f>
        <v>-25.442</v>
      </c>
      <c r="AU15" s="899">
        <f>SUM(AU17:AU18)</f>
        <v>25.442999999999998</v>
      </c>
      <c r="AV15" s="899">
        <f>SUM(AV17:AV18)</f>
        <v>25.442999999999998</v>
      </c>
      <c r="AW15" s="887">
        <f>AV15-AU15</f>
        <v>0</v>
      </c>
      <c r="AX15" s="899">
        <f>SUM(AX17:AX18)</f>
        <v>21.201999999999998</v>
      </c>
      <c r="AY15" s="899">
        <f>SUM(AY17:AY18)</f>
        <v>8.481</v>
      </c>
      <c r="AZ15" s="887">
        <f>AY15-AX15</f>
        <v>-12.720999999999998</v>
      </c>
      <c r="BA15" s="899">
        <f>SUM(BA17:BA18)</f>
        <v>4.24</v>
      </c>
      <c r="BB15" s="899">
        <f>SUM(BB17:BB18)</f>
        <v>0</v>
      </c>
      <c r="BC15" s="887">
        <f>BB15-BA15</f>
        <v>-4.24</v>
      </c>
      <c r="BD15" s="899">
        <f>SUM(BD17:BD18)</f>
        <v>25.442999999999998</v>
      </c>
      <c r="BE15" s="899">
        <f>SUM(BE17:BE18)</f>
        <v>16.962</v>
      </c>
      <c r="BF15" s="887">
        <f>BE15-BD15</f>
        <v>-8.480999999999998</v>
      </c>
      <c r="BG15" s="890"/>
      <c r="BH15" s="891"/>
      <c r="BI15" s="905"/>
      <c r="BJ15" s="893"/>
      <c r="BK15" s="853"/>
      <c r="BL15"/>
    </row>
    <row r="16" spans="1:64" ht="15.75">
      <c r="A16" s="2101"/>
      <c r="B16" s="918"/>
      <c r="C16" s="879" t="s">
        <v>385</v>
      </c>
      <c r="D16" s="919" t="s">
        <v>386</v>
      </c>
      <c r="E16" s="920"/>
      <c r="F16" s="920"/>
      <c r="G16" s="937" t="s">
        <v>1686</v>
      </c>
      <c r="H16" s="938"/>
      <c r="I16" s="938"/>
      <c r="J16" s="938"/>
      <c r="K16" s="938"/>
      <c r="L16" s="938"/>
      <c r="M16" s="938"/>
      <c r="N16" s="938"/>
      <c r="O16" s="938"/>
      <c r="P16" s="938"/>
      <c r="Q16" s="938"/>
      <c r="R16" s="938"/>
      <c r="S16" s="938"/>
      <c r="T16" s="938"/>
      <c r="U16" s="938"/>
      <c r="V16" s="938"/>
      <c r="W16" s="938"/>
      <c r="X16" s="939"/>
      <c r="Y16" s="939"/>
      <c r="Z16" s="938"/>
      <c r="AA16" s="938"/>
      <c r="AB16" s="938"/>
      <c r="AC16" s="938"/>
      <c r="AD16" s="938"/>
      <c r="AE16" s="938"/>
      <c r="AF16" s="938"/>
      <c r="AG16" s="938"/>
      <c r="AH16" s="938"/>
      <c r="AI16" s="938"/>
      <c r="AJ16" s="938"/>
      <c r="AK16" s="938"/>
      <c r="AL16" s="938"/>
      <c r="AM16" s="938"/>
      <c r="AN16" s="938"/>
      <c r="AO16" s="938"/>
      <c r="AP16" s="940"/>
      <c r="AQ16" s="940"/>
      <c r="AR16" s="885"/>
      <c r="AS16" s="886"/>
      <c r="AT16" s="899"/>
      <c r="AU16" s="899"/>
      <c r="AV16" s="899"/>
      <c r="AW16" s="899"/>
      <c r="AX16" s="899"/>
      <c r="AY16" s="899"/>
      <c r="AZ16" s="899"/>
      <c r="BA16" s="899"/>
      <c r="BB16" s="899"/>
      <c r="BC16" s="899"/>
      <c r="BD16" s="899"/>
      <c r="BE16" s="899"/>
      <c r="BF16" s="899"/>
      <c r="BG16" s="890"/>
      <c r="BH16" s="891"/>
      <c r="BI16" s="905"/>
      <c r="BJ16" s="893"/>
      <c r="BK16" s="853"/>
      <c r="BL16"/>
    </row>
    <row r="17" spans="1:64" ht="15.75">
      <c r="A17" s="2101"/>
      <c r="B17" s="918"/>
      <c r="C17" s="879" t="s">
        <v>385</v>
      </c>
      <c r="D17" s="919" t="s">
        <v>386</v>
      </c>
      <c r="E17" s="920" t="s">
        <v>1423</v>
      </c>
      <c r="F17" s="920" t="s">
        <v>387</v>
      </c>
      <c r="G17" s="941" t="s">
        <v>1424</v>
      </c>
      <c r="H17" s="922">
        <v>8.481</v>
      </c>
      <c r="I17" s="922">
        <v>8.481</v>
      </c>
      <c r="J17" s="922">
        <v>8.481</v>
      </c>
      <c r="K17" s="922">
        <v>8.481</v>
      </c>
      <c r="L17" s="922">
        <v>8.481</v>
      </c>
      <c r="M17" s="922">
        <v>8.481</v>
      </c>
      <c r="N17" s="922">
        <v>8.481</v>
      </c>
      <c r="O17" s="922">
        <v>8.481</v>
      </c>
      <c r="P17" s="922">
        <v>8.481</v>
      </c>
      <c r="Q17" s="922">
        <v>8.481</v>
      </c>
      <c r="R17" s="922">
        <v>8.481</v>
      </c>
      <c r="S17" s="922">
        <v>8.481</v>
      </c>
      <c r="T17" s="922">
        <v>8.481</v>
      </c>
      <c r="U17" s="922"/>
      <c r="V17" s="923">
        <f>U17-T17</f>
        <v>-8.481</v>
      </c>
      <c r="W17" s="922">
        <v>4.24</v>
      </c>
      <c r="X17" s="924"/>
      <c r="Y17" s="925">
        <f>X17-W17</f>
        <v>-4.24</v>
      </c>
      <c r="Z17" s="922"/>
      <c r="AA17" s="922"/>
      <c r="AB17" s="923">
        <f>AA17-Z17</f>
        <v>0</v>
      </c>
      <c r="AC17" s="922"/>
      <c r="AD17" s="922"/>
      <c r="AE17" s="923">
        <f>AD17-AC17</f>
        <v>0</v>
      </c>
      <c r="AF17" s="922">
        <f>W17</f>
        <v>4.24</v>
      </c>
      <c r="AG17" s="922"/>
      <c r="AH17" s="923">
        <f>AG17-AF17</f>
        <v>-4.24</v>
      </c>
      <c r="AI17" s="922">
        <v>8.481</v>
      </c>
      <c r="AJ17" s="922">
        <v>8.481</v>
      </c>
      <c r="AK17" s="922">
        <v>8.481</v>
      </c>
      <c r="AL17" s="922">
        <v>8.481</v>
      </c>
      <c r="AM17" s="922">
        <v>8.481</v>
      </c>
      <c r="AN17" s="922">
        <v>8.481</v>
      </c>
      <c r="AO17" s="922">
        <v>8.481</v>
      </c>
      <c r="AP17" s="926"/>
      <c r="AQ17" s="927">
        <f>AP17-AO17</f>
        <v>-8.481</v>
      </c>
      <c r="AR17" s="885">
        <f>SUMIF($H$5:$AQ$5,$AR$5,H17:AQ17)</f>
        <v>76.328</v>
      </c>
      <c r="AS17" s="928">
        <f>SUMIF($H$5:$AQ$5,$AS$5,H17:AQ17)</f>
        <v>50.886</v>
      </c>
      <c r="AT17" s="929">
        <f>AS17-AR17</f>
        <v>-25.442</v>
      </c>
      <c r="AU17" s="929">
        <f>SUM(H17,K17,N17)</f>
        <v>25.442999999999998</v>
      </c>
      <c r="AV17" s="929">
        <f>SUM(I17,L17,O17)</f>
        <v>25.442999999999998</v>
      </c>
      <c r="AW17" s="929">
        <f>AV17-AU17</f>
        <v>0</v>
      </c>
      <c r="AX17" s="929">
        <f>SUM(Q17,T17,W17)</f>
        <v>21.201999999999998</v>
      </c>
      <c r="AY17" s="929">
        <f>SUM(R17,U17,X17)</f>
        <v>8.481</v>
      </c>
      <c r="AZ17" s="929">
        <f>AY17-AX17</f>
        <v>-12.720999999999998</v>
      </c>
      <c r="BA17" s="929">
        <f>SUM(Z17,AC17,AF17)</f>
        <v>4.24</v>
      </c>
      <c r="BB17" s="929">
        <f>SUM(AA17,AD17,AG17)</f>
        <v>0</v>
      </c>
      <c r="BC17" s="929">
        <f>BB17-BA17</f>
        <v>-4.24</v>
      </c>
      <c r="BD17" s="929">
        <f>SUM(AI17,AL17,AO17)</f>
        <v>25.442999999999998</v>
      </c>
      <c r="BE17" s="929">
        <f>SUM(AJ17,AM17,AP17)</f>
        <v>16.962</v>
      </c>
      <c r="BF17" s="929">
        <f>BE17-BD17</f>
        <v>-8.480999999999998</v>
      </c>
      <c r="BG17" s="900"/>
      <c r="BH17" s="901"/>
      <c r="BI17" s="902"/>
      <c r="BJ17" s="893" t="s">
        <v>1425</v>
      </c>
      <c r="BK17" s="853"/>
      <c r="BL17"/>
    </row>
    <row r="18" spans="1:64" ht="15.75">
      <c r="A18" s="2101"/>
      <c r="B18" s="894"/>
      <c r="C18" s="879" t="s">
        <v>385</v>
      </c>
      <c r="D18" s="895" t="s">
        <v>386</v>
      </c>
      <c r="E18" s="881" t="s">
        <v>1426</v>
      </c>
      <c r="F18" s="881" t="s">
        <v>387</v>
      </c>
      <c r="G18" s="942" t="s">
        <v>1427</v>
      </c>
      <c r="H18" s="943"/>
      <c r="I18" s="943"/>
      <c r="J18" s="884">
        <f>I18-H18</f>
        <v>0</v>
      </c>
      <c r="K18" s="943"/>
      <c r="L18" s="943"/>
      <c r="M18" s="884">
        <f>L18-K18</f>
        <v>0</v>
      </c>
      <c r="N18" s="943"/>
      <c r="O18" s="943"/>
      <c r="P18" s="884">
        <f>O18-N18</f>
        <v>0</v>
      </c>
      <c r="Q18" s="943"/>
      <c r="R18" s="943"/>
      <c r="S18" s="884">
        <f>R18-Q18</f>
        <v>0</v>
      </c>
      <c r="T18" s="943"/>
      <c r="U18" s="943"/>
      <c r="V18" s="884">
        <f>U18-T18</f>
        <v>0</v>
      </c>
      <c r="W18" s="943"/>
      <c r="X18" s="943"/>
      <c r="Y18" s="884">
        <f>X18-W18</f>
        <v>0</v>
      </c>
      <c r="Z18" s="943"/>
      <c r="AA18" s="943"/>
      <c r="AB18" s="884">
        <f>AA18-Z18</f>
        <v>0</v>
      </c>
      <c r="AC18" s="943"/>
      <c r="AD18" s="943"/>
      <c r="AE18" s="884">
        <f>AD18-AC18</f>
        <v>0</v>
      </c>
      <c r="AF18" s="943"/>
      <c r="AG18" s="943"/>
      <c r="AH18" s="884">
        <f>AG18-AF18</f>
        <v>0</v>
      </c>
      <c r="AI18" s="943"/>
      <c r="AJ18" s="943"/>
      <c r="AK18" s="884">
        <f>AJ18-AI18</f>
        <v>0</v>
      </c>
      <c r="AL18" s="943"/>
      <c r="AM18" s="943"/>
      <c r="AN18" s="884">
        <f>AM18-AL18</f>
        <v>0</v>
      </c>
      <c r="AO18" s="943"/>
      <c r="AP18" s="943"/>
      <c r="AQ18" s="884">
        <f>AP18-AO18</f>
        <v>0</v>
      </c>
      <c r="AR18" s="885">
        <f>SUMIF($H$5:$AQ$5,$AR$5,H18:AQ18)</f>
        <v>0</v>
      </c>
      <c r="AS18" s="886">
        <f>SUMIF($H$5:$AQ$5,$AS$5,H18:AQ18)</f>
        <v>0</v>
      </c>
      <c r="AT18" s="899">
        <f>AS18-AR18</f>
        <v>0</v>
      </c>
      <c r="AU18" s="889">
        <f>SUM(H18,K18,N18)</f>
        <v>0</v>
      </c>
      <c r="AV18" s="889">
        <f>SUM(I18,L18,O18)</f>
        <v>0</v>
      </c>
      <c r="AW18" s="889">
        <f>AV18-AU18</f>
        <v>0</v>
      </c>
      <c r="AX18" s="889">
        <f>SUM(Q18,T18,W18)</f>
        <v>0</v>
      </c>
      <c r="AY18" s="889">
        <f>SUM(R18,U18,X18)</f>
        <v>0</v>
      </c>
      <c r="AZ18" s="889">
        <f>AY18-AX18</f>
        <v>0</v>
      </c>
      <c r="BA18" s="889">
        <f>SUM(Z18,AC18,AF18)</f>
        <v>0</v>
      </c>
      <c r="BB18" s="889">
        <f>SUM(AA18,AD18,AG18)</f>
        <v>0</v>
      </c>
      <c r="BC18" s="889">
        <f>BB18-BA18</f>
        <v>0</v>
      </c>
      <c r="BD18" s="889">
        <f>SUM(AI18,AL18,AO18)</f>
        <v>0</v>
      </c>
      <c r="BE18" s="889">
        <f>SUM(AJ18,AM18,AP18)</f>
        <v>0</v>
      </c>
      <c r="BF18" s="889">
        <f>BE18-BD18</f>
        <v>0</v>
      </c>
      <c r="BG18" s="890"/>
      <c r="BH18" s="891"/>
      <c r="BI18" s="905"/>
      <c r="BJ18" s="893"/>
      <c r="BK18" s="853"/>
      <c r="BL18"/>
    </row>
    <row r="19" spans="1:64" ht="15.75">
      <c r="A19" s="2101"/>
      <c r="B19" s="894"/>
      <c r="C19" s="879" t="s">
        <v>385</v>
      </c>
      <c r="D19" s="895" t="s">
        <v>386</v>
      </c>
      <c r="E19" s="881" t="s">
        <v>1173</v>
      </c>
      <c r="F19" s="881" t="s">
        <v>1428</v>
      </c>
      <c r="G19" s="882" t="s">
        <v>1429</v>
      </c>
      <c r="H19" s="903">
        <f>SUM(H21:H22)</f>
        <v>165.64453125</v>
      </c>
      <c r="I19" s="903">
        <f>SUM(I21:I22)</f>
        <v>165.64453125</v>
      </c>
      <c r="J19" s="884">
        <f>I19-H19</f>
        <v>0</v>
      </c>
      <c r="K19" s="903">
        <f>SUM(K21:K22)</f>
        <v>165.64453125</v>
      </c>
      <c r="L19" s="903">
        <f>SUM(L21:L22)</f>
        <v>165.64453125</v>
      </c>
      <c r="M19" s="884">
        <f>L19-K19</f>
        <v>0</v>
      </c>
      <c r="N19" s="903">
        <f>SUM(N21:N22)</f>
        <v>165.64453125</v>
      </c>
      <c r="O19" s="903">
        <f>SUM(O21:O22)</f>
        <v>165.64453125</v>
      </c>
      <c r="P19" s="884">
        <f>O19-N19</f>
        <v>0</v>
      </c>
      <c r="Q19" s="903">
        <f>SUM(Q21:Q22)</f>
        <v>165.64453125</v>
      </c>
      <c r="R19" s="903">
        <f>SUM(R21:R22)</f>
        <v>165.64453125</v>
      </c>
      <c r="S19" s="884">
        <f>R19-Q19</f>
        <v>0</v>
      </c>
      <c r="T19" s="903">
        <f>SUM(T21:T22)</f>
        <v>165.64453125</v>
      </c>
      <c r="U19" s="903">
        <f>SUM(U21:U22)</f>
        <v>0</v>
      </c>
      <c r="V19" s="884">
        <f>U19-T19</f>
        <v>-165.64453125</v>
      </c>
      <c r="W19" s="903">
        <f>SUM(W21:W22)</f>
        <v>82.8125</v>
      </c>
      <c r="X19" s="903">
        <f>SUM(X21:X22)</f>
        <v>0</v>
      </c>
      <c r="Y19" s="884">
        <f>X19-W19</f>
        <v>-82.8125</v>
      </c>
      <c r="Z19" s="904">
        <f>SUM(Z21:Z25)</f>
        <v>0</v>
      </c>
      <c r="AA19" s="904">
        <f>SUM(AA21:AA25)</f>
        <v>0</v>
      </c>
      <c r="AB19" s="884">
        <f>AA19-Z19</f>
        <v>0</v>
      </c>
      <c r="AC19" s="904">
        <f>SUM(AC21:AC25)</f>
        <v>0</v>
      </c>
      <c r="AD19" s="904">
        <f>SUM(AD21:AD25)</f>
        <v>0</v>
      </c>
      <c r="AE19" s="884">
        <f>AD19-AC19</f>
        <v>0</v>
      </c>
      <c r="AF19" s="903">
        <f>SUM(AF21:AF22)</f>
        <v>82.8125</v>
      </c>
      <c r="AG19" s="903">
        <f>SUM(AG21:AG22)</f>
        <v>0</v>
      </c>
      <c r="AH19" s="884">
        <f>AG19-AF19</f>
        <v>-82.8125</v>
      </c>
      <c r="AI19" s="903">
        <f>SUM(AI21:AI22)</f>
        <v>165.64453125</v>
      </c>
      <c r="AJ19" s="903">
        <f>SUM(AJ21:AJ22)</f>
        <v>165.64453125</v>
      </c>
      <c r="AK19" s="884">
        <f>AJ19-AI19</f>
        <v>0</v>
      </c>
      <c r="AL19" s="903">
        <f>SUM(AL21:AL22)</f>
        <v>165.64453125</v>
      </c>
      <c r="AM19" s="903">
        <f>SUM(AM21:AM22)</f>
        <v>165.64453125</v>
      </c>
      <c r="AN19" s="884">
        <f>AM19-AL19</f>
        <v>0</v>
      </c>
      <c r="AO19" s="903">
        <f>SUM(AO21:AO22)</f>
        <v>165.64453125</v>
      </c>
      <c r="AP19" s="903">
        <f>SUM(AP21:AP22)</f>
        <v>0</v>
      </c>
      <c r="AQ19" s="884">
        <f>AP19-AO19</f>
        <v>-165.64453125</v>
      </c>
      <c r="AR19" s="885">
        <f>SUMIF($H$5:$AQ$5,$AR$5,H19:AQ19)</f>
        <v>1490.78125</v>
      </c>
      <c r="AS19" s="886">
        <f>SUMIF($H$5:$AQ$5,$AS$5,H19:AQ19)</f>
        <v>993.8671875</v>
      </c>
      <c r="AT19" s="887">
        <f>AS19-AR19</f>
        <v>-496.9140625</v>
      </c>
      <c r="AU19" s="888">
        <f>H19+K19+N19</f>
        <v>496.93359375</v>
      </c>
      <c r="AV19" s="889" t="e">
        <f>#N/A</f>
        <v>#N/A</v>
      </c>
      <c r="AW19" s="889" t="e">
        <f>#N/A</f>
        <v>#N/A</v>
      </c>
      <c r="AX19" s="888">
        <f>Q19+T19+W19</f>
        <v>414.1015625</v>
      </c>
      <c r="AY19" s="889" t="e">
        <f>#N/A</f>
        <v>#N/A</v>
      </c>
      <c r="AZ19" s="889" t="e">
        <f>#N/A</f>
        <v>#N/A</v>
      </c>
      <c r="BA19" s="888">
        <f>Z19+AC19+AF19</f>
        <v>82.8125</v>
      </c>
      <c r="BB19" s="889" t="e">
        <f>#N/A</f>
        <v>#N/A</v>
      </c>
      <c r="BC19" s="889" t="e">
        <f>#N/A</f>
        <v>#N/A</v>
      </c>
      <c r="BD19" s="888">
        <f>AI19+AL19+AO19</f>
        <v>496.93359375</v>
      </c>
      <c r="BE19" s="889" t="e">
        <f>SUM(BE21:BE25)</f>
        <v>#N/A</v>
      </c>
      <c r="BF19" s="944" t="e">
        <f>BE19-BD19</f>
        <v>#N/A</v>
      </c>
      <c r="BG19" s="890"/>
      <c r="BH19" s="891"/>
      <c r="BI19" s="905"/>
      <c r="BJ19" s="893"/>
      <c r="BK19" s="853"/>
      <c r="BL19"/>
    </row>
    <row r="20" spans="1:64" ht="15.75">
      <c r="A20" s="2101"/>
      <c r="B20" s="894"/>
      <c r="C20" s="879" t="s">
        <v>385</v>
      </c>
      <c r="D20" s="895" t="s">
        <v>386</v>
      </c>
      <c r="E20" s="881"/>
      <c r="F20" s="881"/>
      <c r="G20" s="916" t="s">
        <v>1686</v>
      </c>
      <c r="H20" s="889"/>
      <c r="I20" s="889"/>
      <c r="J20" s="917"/>
      <c r="K20" s="889"/>
      <c r="L20" s="889"/>
      <c r="M20" s="917"/>
      <c r="N20" s="889"/>
      <c r="O20" s="889"/>
      <c r="P20" s="917"/>
      <c r="Q20" s="889"/>
      <c r="R20" s="889"/>
      <c r="S20" s="917"/>
      <c r="T20" s="889"/>
      <c r="U20" s="889"/>
      <c r="V20" s="917"/>
      <c r="W20" s="889"/>
      <c r="X20" s="889"/>
      <c r="Y20" s="917"/>
      <c r="Z20" s="889"/>
      <c r="AA20" s="889"/>
      <c r="AB20" s="917"/>
      <c r="AC20" s="889"/>
      <c r="AD20" s="889"/>
      <c r="AE20" s="917"/>
      <c r="AF20" s="889"/>
      <c r="AG20" s="889"/>
      <c r="AH20" s="917"/>
      <c r="AI20" s="889"/>
      <c r="AJ20" s="889"/>
      <c r="AK20" s="917"/>
      <c r="AL20" s="889"/>
      <c r="AM20" s="889"/>
      <c r="AN20" s="917"/>
      <c r="AO20" s="889"/>
      <c r="AP20" s="889"/>
      <c r="AQ20" s="917"/>
      <c r="AR20" s="885"/>
      <c r="AS20" s="886"/>
      <c r="AT20" s="899"/>
      <c r="AU20" s="889"/>
      <c r="AV20" s="889"/>
      <c r="AW20" s="889"/>
      <c r="AX20" s="889"/>
      <c r="AY20" s="889"/>
      <c r="AZ20" s="889"/>
      <c r="BA20" s="889"/>
      <c r="BB20" s="889"/>
      <c r="BC20" s="889"/>
      <c r="BD20" s="889"/>
      <c r="BE20" s="889"/>
      <c r="BF20" s="889"/>
      <c r="BG20" s="890"/>
      <c r="BH20" s="891"/>
      <c r="BI20" s="905"/>
      <c r="BJ20" s="893"/>
      <c r="BK20" s="853"/>
      <c r="BL20"/>
    </row>
    <row r="21" spans="1:64" ht="15">
      <c r="A21" s="2101"/>
      <c r="B21" s="894"/>
      <c r="C21" s="879" t="s">
        <v>385</v>
      </c>
      <c r="D21" s="895" t="s">
        <v>386</v>
      </c>
      <c r="E21" s="881" t="s">
        <v>1430</v>
      </c>
      <c r="F21" s="881" t="s">
        <v>1428</v>
      </c>
      <c r="G21" s="942" t="s">
        <v>1424</v>
      </c>
      <c r="H21" s="945">
        <f>H17/0.0512</f>
        <v>165.64453125</v>
      </c>
      <c r="I21" s="945">
        <f>I17/0.0512</f>
        <v>165.64453125</v>
      </c>
      <c r="J21" s="884">
        <f>I21-H21</f>
        <v>0</v>
      </c>
      <c r="K21" s="945">
        <f>K17/0.0512</f>
        <v>165.64453125</v>
      </c>
      <c r="L21" s="945">
        <f>L17/0.0512</f>
        <v>165.64453125</v>
      </c>
      <c r="M21" s="884">
        <f>L21-K21</f>
        <v>0</v>
      </c>
      <c r="N21" s="945">
        <f>N17/0.0512</f>
        <v>165.64453125</v>
      </c>
      <c r="O21" s="945">
        <f>O17/0.0512</f>
        <v>165.64453125</v>
      </c>
      <c r="P21" s="884">
        <f>O21-N21</f>
        <v>0</v>
      </c>
      <c r="Q21" s="945">
        <f>Q17/0.0512</f>
        <v>165.64453125</v>
      </c>
      <c r="R21" s="945">
        <f>R17/0.0512</f>
        <v>165.64453125</v>
      </c>
      <c r="S21" s="884">
        <f>R21-Q21</f>
        <v>0</v>
      </c>
      <c r="T21" s="945">
        <f>T17/0.0512</f>
        <v>165.64453125</v>
      </c>
      <c r="U21" s="945">
        <f>U17/0.0512</f>
        <v>0</v>
      </c>
      <c r="V21" s="884">
        <f>U21-T21</f>
        <v>-165.64453125</v>
      </c>
      <c r="W21" s="945">
        <f>W17/0.0512</f>
        <v>82.8125</v>
      </c>
      <c r="X21" s="945">
        <f>X17/0.0512</f>
        <v>0</v>
      </c>
      <c r="Y21" s="884">
        <f>X21-W21</f>
        <v>-82.8125</v>
      </c>
      <c r="Z21" s="943"/>
      <c r="AA21" s="943"/>
      <c r="AB21" s="884">
        <f>AA21-Z21</f>
        <v>0</v>
      </c>
      <c r="AC21" s="943"/>
      <c r="AD21" s="943"/>
      <c r="AE21" s="884">
        <f>AD21-AC21</f>
        <v>0</v>
      </c>
      <c r="AF21" s="945">
        <f>AF17/0.0512</f>
        <v>82.8125</v>
      </c>
      <c r="AG21" s="945">
        <f>AG17/0.0512</f>
        <v>0</v>
      </c>
      <c r="AH21" s="884">
        <f>AG21-AF21</f>
        <v>-82.8125</v>
      </c>
      <c r="AI21" s="945">
        <f>AI17/0.0512</f>
        <v>165.64453125</v>
      </c>
      <c r="AJ21" s="945">
        <f>AJ17/0.0512</f>
        <v>165.64453125</v>
      </c>
      <c r="AK21" s="884">
        <f>AJ21-AI21</f>
        <v>0</v>
      </c>
      <c r="AL21" s="945">
        <f>AL17/0.0512</f>
        <v>165.64453125</v>
      </c>
      <c r="AM21" s="945">
        <f>AM17/0.0512</f>
        <v>165.64453125</v>
      </c>
      <c r="AN21" s="884">
        <f>AM21-AL21</f>
        <v>0</v>
      </c>
      <c r="AO21" s="945">
        <f>AO17/0.0512</f>
        <v>165.64453125</v>
      </c>
      <c r="AP21" s="945">
        <f>AP17/0.0512</f>
        <v>0</v>
      </c>
      <c r="AQ21" s="884">
        <f>AP21-AO21</f>
        <v>-165.64453125</v>
      </c>
      <c r="AR21" s="946">
        <f>AR17/0.0512</f>
        <v>1490.78125</v>
      </c>
      <c r="AS21" s="945">
        <f>AS17/0.0512</f>
        <v>993.8671875</v>
      </c>
      <c r="AT21" s="899">
        <f>AS21-AR21</f>
        <v>-496.9140625</v>
      </c>
      <c r="AU21" s="888">
        <f>H21+K21+N21</f>
        <v>496.93359375</v>
      </c>
      <c r="AV21" s="889" t="e">
        <f>#N/A</f>
        <v>#N/A</v>
      </c>
      <c r="AW21" s="889" t="e">
        <f>#N/A</f>
        <v>#N/A</v>
      </c>
      <c r="AX21" s="888">
        <f>Q21+T21+W21</f>
        <v>414.1015625</v>
      </c>
      <c r="AY21" s="889" t="e">
        <f>#N/A</f>
        <v>#N/A</v>
      </c>
      <c r="AZ21" s="889" t="e">
        <f>#N/A</f>
        <v>#N/A</v>
      </c>
      <c r="BA21" s="888">
        <f>Z21+AC21+AF21</f>
        <v>82.8125</v>
      </c>
      <c r="BB21" s="889" t="e">
        <f>#N/A</f>
        <v>#N/A</v>
      </c>
      <c r="BC21" s="889" t="e">
        <f>#N/A</f>
        <v>#N/A</v>
      </c>
      <c r="BD21" s="888">
        <f>AI21+AL21+AO21</f>
        <v>496.93359375</v>
      </c>
      <c r="BE21" s="945">
        <f>BE17/0.0512</f>
        <v>331.2890625</v>
      </c>
      <c r="BF21" s="889">
        <f>BE21-BD21</f>
        <v>-165.64453125</v>
      </c>
      <c r="BG21" s="890"/>
      <c r="BH21" s="891"/>
      <c r="BI21" s="905"/>
      <c r="BJ21" s="893" t="s">
        <v>1450</v>
      </c>
      <c r="BK21" s="853"/>
      <c r="BL21"/>
    </row>
    <row r="22" spans="1:64" ht="15.75">
      <c r="A22" s="2101"/>
      <c r="B22" s="894"/>
      <c r="C22" s="879" t="s">
        <v>385</v>
      </c>
      <c r="D22" s="895" t="s">
        <v>386</v>
      </c>
      <c r="E22" s="881" t="s">
        <v>1431</v>
      </c>
      <c r="F22" s="881" t="s">
        <v>1428</v>
      </c>
      <c r="G22" s="942" t="s">
        <v>1427</v>
      </c>
      <c r="H22" s="943"/>
      <c r="I22" s="943"/>
      <c r="J22" s="884">
        <f>I22-H22</f>
        <v>0</v>
      </c>
      <c r="K22" s="943"/>
      <c r="L22" s="943"/>
      <c r="M22" s="884">
        <f>L22-K22</f>
        <v>0</v>
      </c>
      <c r="N22" s="943"/>
      <c r="O22" s="943"/>
      <c r="P22" s="884">
        <f>O22-N22</f>
        <v>0</v>
      </c>
      <c r="Q22" s="943"/>
      <c r="R22" s="943"/>
      <c r="S22" s="884">
        <f>R22-Q22</f>
        <v>0</v>
      </c>
      <c r="T22" s="943"/>
      <c r="U22" s="943"/>
      <c r="V22" s="884">
        <f>U22-T22</f>
        <v>0</v>
      </c>
      <c r="W22" s="943"/>
      <c r="X22" s="943"/>
      <c r="Y22" s="884">
        <f>X22-W22</f>
        <v>0</v>
      </c>
      <c r="Z22" s="943"/>
      <c r="AA22" s="943"/>
      <c r="AB22" s="884">
        <f>AA22-Z22</f>
        <v>0</v>
      </c>
      <c r="AC22" s="943"/>
      <c r="AD22" s="943"/>
      <c r="AE22" s="884">
        <f>AD22-AC22</f>
        <v>0</v>
      </c>
      <c r="AF22" s="943"/>
      <c r="AG22" s="943"/>
      <c r="AH22" s="884"/>
      <c r="AI22" s="943"/>
      <c r="AJ22" s="943"/>
      <c r="AK22" s="884">
        <f>AJ22-AI22</f>
        <v>0</v>
      </c>
      <c r="AL22" s="943"/>
      <c r="AM22" s="943"/>
      <c r="AN22" s="884">
        <f>AM22-AL22</f>
        <v>0</v>
      </c>
      <c r="AO22" s="943"/>
      <c r="AP22" s="943"/>
      <c r="AQ22" s="884">
        <f>AP22-AO22</f>
        <v>0</v>
      </c>
      <c r="AR22" s="885">
        <f>SUMIF($H$5:$AQ$5,$AR$5,H22:AQ22)</f>
        <v>0</v>
      </c>
      <c r="AS22" s="886">
        <f>SUMIF($H$5:$AQ$5,$AS$5,H22:AQ22)</f>
        <v>0</v>
      </c>
      <c r="AT22" s="899">
        <f>AS22-AR22</f>
        <v>0</v>
      </c>
      <c r="AU22" s="888">
        <f>H22+K22+N22</f>
        <v>0</v>
      </c>
      <c r="AV22" s="889" t="e">
        <f>#N/A</f>
        <v>#N/A</v>
      </c>
      <c r="AW22" s="889" t="e">
        <f>#N/A</f>
        <v>#N/A</v>
      </c>
      <c r="AX22" s="888">
        <f>Q22+T22+W22</f>
        <v>0</v>
      </c>
      <c r="AY22" s="889" t="e">
        <f>#N/A</f>
        <v>#N/A</v>
      </c>
      <c r="AZ22" s="889" t="e">
        <f>#N/A</f>
        <v>#N/A</v>
      </c>
      <c r="BA22" s="888">
        <f>Z22+AC22+AF22</f>
        <v>0</v>
      </c>
      <c r="BB22" s="889" t="e">
        <f>#N/A</f>
        <v>#N/A</v>
      </c>
      <c r="BC22" s="889" t="e">
        <f>#N/A</f>
        <v>#N/A</v>
      </c>
      <c r="BD22" s="888">
        <f>AI22+AL22+AO22</f>
        <v>0</v>
      </c>
      <c r="BE22" s="889" t="e">
        <f>#N/A</f>
        <v>#N/A</v>
      </c>
      <c r="BF22" s="889" t="e">
        <f>BE22-BD22</f>
        <v>#N/A</v>
      </c>
      <c r="BG22" s="890"/>
      <c r="BH22" s="891"/>
      <c r="BI22" s="905"/>
      <c r="BJ22" s="893"/>
      <c r="BK22" s="853"/>
      <c r="BL22"/>
    </row>
    <row r="23" spans="1:64" ht="15">
      <c r="A23" s="2101"/>
      <c r="B23" s="894"/>
      <c r="C23" s="879" t="s">
        <v>385</v>
      </c>
      <c r="D23" s="895" t="s">
        <v>386</v>
      </c>
      <c r="E23" s="881" t="s">
        <v>1174</v>
      </c>
      <c r="F23" s="881" t="s">
        <v>1432</v>
      </c>
      <c r="G23" s="947" t="s">
        <v>1433</v>
      </c>
      <c r="H23" s="948">
        <v>1663</v>
      </c>
      <c r="I23" s="948"/>
      <c r="J23" s="949">
        <f>I23-H23</f>
        <v>-1663</v>
      </c>
      <c r="K23" s="948">
        <v>1435</v>
      </c>
      <c r="L23" s="948"/>
      <c r="M23" s="949">
        <f>L23-K23</f>
        <v>-1435</v>
      </c>
      <c r="N23" s="948">
        <v>1384</v>
      </c>
      <c r="O23" s="948"/>
      <c r="P23" s="949">
        <f>O23-N23</f>
        <v>-1384</v>
      </c>
      <c r="Q23" s="948">
        <v>1021</v>
      </c>
      <c r="R23" s="948"/>
      <c r="S23" s="949">
        <f>R23-Q23</f>
        <v>-1021</v>
      </c>
      <c r="T23" s="948">
        <v>1184</v>
      </c>
      <c r="U23" s="948"/>
      <c r="V23" s="949">
        <f>U23-T23</f>
        <v>-1184</v>
      </c>
      <c r="W23" s="950">
        <v>901</v>
      </c>
      <c r="X23" s="951"/>
      <c r="Y23" s="934">
        <f>X23-W23</f>
        <v>-901</v>
      </c>
      <c r="Z23" s="948"/>
      <c r="AA23" s="948"/>
      <c r="AB23" s="949">
        <f>AA23-Z23</f>
        <v>0</v>
      </c>
      <c r="AC23" s="948"/>
      <c r="AD23" s="948"/>
      <c r="AE23" s="949">
        <f>AD23-AC23</f>
        <v>0</v>
      </c>
      <c r="AF23" s="948">
        <v>1131</v>
      </c>
      <c r="AG23" s="948"/>
      <c r="AH23" s="949">
        <f>AG23-AF23</f>
        <v>-1131</v>
      </c>
      <c r="AI23" s="948">
        <v>1251</v>
      </c>
      <c r="AJ23" s="948"/>
      <c r="AK23" s="949">
        <f>AJ23-AI23</f>
        <v>-1251</v>
      </c>
      <c r="AL23" s="948">
        <v>1635</v>
      </c>
      <c r="AM23" s="948"/>
      <c r="AN23" s="949">
        <f>AM23-AL23</f>
        <v>-1635</v>
      </c>
      <c r="AO23" s="948">
        <v>1892</v>
      </c>
      <c r="AP23" s="952"/>
      <c r="AQ23" s="953">
        <f>AP23-AO23</f>
        <v>-1892</v>
      </c>
      <c r="AR23" s="885">
        <f>SUMIF($H$5:$AQ$5,$AR$5,H23:AQ23)</f>
        <v>13497</v>
      </c>
      <c r="AS23" s="954">
        <f>SUMIF($H$5:$AQ$5,$AS$5,H23:AQ23)</f>
        <v>0</v>
      </c>
      <c r="AT23" s="955">
        <f>AS23-AR23</f>
        <v>-13497</v>
      </c>
      <c r="AU23" s="888">
        <f>H23+K23+N23</f>
        <v>4482</v>
      </c>
      <c r="AV23" s="889" t="e">
        <f>#N/A</f>
        <v>#N/A</v>
      </c>
      <c r="AW23" s="889" t="e">
        <f>#N/A</f>
        <v>#N/A</v>
      </c>
      <c r="AX23" s="888">
        <f>Q23+T23+W23</f>
        <v>3106</v>
      </c>
      <c r="AY23" s="889" t="e">
        <f>#N/A</f>
        <v>#N/A</v>
      </c>
      <c r="AZ23" s="889" t="e">
        <f>#N/A</f>
        <v>#N/A</v>
      </c>
      <c r="BA23" s="888">
        <f>Z23+AC23+AF23</f>
        <v>1131</v>
      </c>
      <c r="BB23" s="889" t="e">
        <f>#N/A</f>
        <v>#N/A</v>
      </c>
      <c r="BC23" s="889" t="e">
        <f>#N/A</f>
        <v>#N/A</v>
      </c>
      <c r="BD23" s="888">
        <f>AI23+AL23+AO23</f>
        <v>4778</v>
      </c>
      <c r="BE23" s="889" t="e">
        <f>#N/A</f>
        <v>#N/A</v>
      </c>
      <c r="BF23" s="889" t="e">
        <f>BE23-BD23</f>
        <v>#N/A</v>
      </c>
      <c r="BG23" s="890">
        <f>AU23+AX23</f>
        <v>7588</v>
      </c>
      <c r="BH23" s="891">
        <f>BA23+BD23</f>
        <v>5909</v>
      </c>
      <c r="BI23" s="905">
        <f>BG23+BH23</f>
        <v>13497</v>
      </c>
      <c r="BJ23" s="893"/>
      <c r="BK23" s="853"/>
      <c r="BL23"/>
    </row>
    <row r="24" spans="1:64" ht="15">
      <c r="A24" s="2101"/>
      <c r="B24" s="894"/>
      <c r="C24" s="879" t="s">
        <v>385</v>
      </c>
      <c r="D24" s="895" t="s">
        <v>386</v>
      </c>
      <c r="E24" s="881" t="s">
        <v>1434</v>
      </c>
      <c r="F24" s="881" t="s">
        <v>1428</v>
      </c>
      <c r="G24" s="956" t="s">
        <v>1435</v>
      </c>
      <c r="H24" s="948">
        <f aca="true" t="shared" si="2" ref="H24:W24">1519.909/1519.364*H21</f>
        <v>165.70394839397028</v>
      </c>
      <c r="I24" s="948">
        <f t="shared" si="2"/>
        <v>165.70394839397028</v>
      </c>
      <c r="J24" s="948">
        <f t="shared" si="2"/>
        <v>0</v>
      </c>
      <c r="K24" s="948">
        <f t="shared" si="2"/>
        <v>165.70394839397028</v>
      </c>
      <c r="L24" s="948">
        <f t="shared" si="2"/>
        <v>165.70394839397028</v>
      </c>
      <c r="M24" s="948">
        <f t="shared" si="2"/>
        <v>0</v>
      </c>
      <c r="N24" s="948">
        <f t="shared" si="2"/>
        <v>165.70394839397028</v>
      </c>
      <c r="O24" s="948">
        <f t="shared" si="2"/>
        <v>165.70394839397028</v>
      </c>
      <c r="P24" s="948">
        <f t="shared" si="2"/>
        <v>0</v>
      </c>
      <c r="Q24" s="948">
        <f t="shared" si="2"/>
        <v>165.70394839397028</v>
      </c>
      <c r="R24" s="948">
        <f t="shared" si="2"/>
        <v>165.70394839397028</v>
      </c>
      <c r="S24" s="948">
        <f t="shared" si="2"/>
        <v>0</v>
      </c>
      <c r="T24" s="948">
        <f t="shared" si="2"/>
        <v>165.70394839397028</v>
      </c>
      <c r="U24" s="948">
        <f t="shared" si="2"/>
        <v>0</v>
      </c>
      <c r="V24" s="948">
        <f t="shared" si="2"/>
        <v>-165.70394839397028</v>
      </c>
      <c r="W24" s="948">
        <f t="shared" si="2"/>
        <v>82.84220506902889</v>
      </c>
      <c r="X24" s="951">
        <f aca="true" t="shared" si="3" ref="X24:AE24">1486.552/1486.065*X21</f>
        <v>0</v>
      </c>
      <c r="Y24" s="951">
        <f t="shared" si="3"/>
        <v>-82.8396385757016</v>
      </c>
      <c r="Z24" s="948">
        <f t="shared" si="3"/>
        <v>0</v>
      </c>
      <c r="AA24" s="948">
        <f t="shared" si="3"/>
        <v>0</v>
      </c>
      <c r="AB24" s="948">
        <f t="shared" si="3"/>
        <v>0</v>
      </c>
      <c r="AC24" s="948">
        <f t="shared" si="3"/>
        <v>0</v>
      </c>
      <c r="AD24" s="948">
        <f t="shared" si="3"/>
        <v>0</v>
      </c>
      <c r="AE24" s="948">
        <f t="shared" si="3"/>
        <v>0</v>
      </c>
      <c r="AF24" s="948">
        <f aca="true" t="shared" si="4" ref="AF24:AO24">1519.909/1519.364*AF21</f>
        <v>82.84220506902889</v>
      </c>
      <c r="AG24" s="948">
        <f t="shared" si="4"/>
        <v>0</v>
      </c>
      <c r="AH24" s="948">
        <f t="shared" si="4"/>
        <v>-82.84220506902889</v>
      </c>
      <c r="AI24" s="948">
        <f t="shared" si="4"/>
        <v>165.70394839397028</v>
      </c>
      <c r="AJ24" s="948">
        <f t="shared" si="4"/>
        <v>165.70394839397028</v>
      </c>
      <c r="AK24" s="948">
        <f t="shared" si="4"/>
        <v>0</v>
      </c>
      <c r="AL24" s="948">
        <f t="shared" si="4"/>
        <v>165.70394839397028</v>
      </c>
      <c r="AM24" s="948">
        <f t="shared" si="4"/>
        <v>165.70394839397028</v>
      </c>
      <c r="AN24" s="948">
        <f t="shared" si="4"/>
        <v>0</v>
      </c>
      <c r="AO24" s="948">
        <f t="shared" si="4"/>
        <v>165.70394839397028</v>
      </c>
      <c r="AP24" s="957"/>
      <c r="AQ24" s="958"/>
      <c r="AR24" s="959">
        <f>SUMIF($H$5:$AQ$5,$AR$5,H24:AQ24)</f>
        <v>1491.3159972898197</v>
      </c>
      <c r="AS24" s="954">
        <f>SUMIF($H$5:$AQ$5,$AS$5,H24:AQ24)</f>
        <v>994.2236903638216</v>
      </c>
      <c r="AT24" s="955">
        <f>AS24-AR24</f>
        <v>-497.0923069259982</v>
      </c>
      <c r="AU24" s="888">
        <f>H24+K24+N24</f>
        <v>497.11184518191084</v>
      </c>
      <c r="AV24" s="889" t="e">
        <f>#N/A</f>
        <v>#N/A</v>
      </c>
      <c r="AW24" s="889" t="e">
        <f>#N/A</f>
        <v>#N/A</v>
      </c>
      <c r="AX24" s="888">
        <f>Q24+T24+W24</f>
        <v>414.2501018569694</v>
      </c>
      <c r="AY24" s="889" t="e">
        <f>#N/A</f>
        <v>#N/A</v>
      </c>
      <c r="AZ24" s="889" t="e">
        <f>#N/A</f>
        <v>#N/A</v>
      </c>
      <c r="BA24" s="888">
        <f>Z24+AC24+AF24</f>
        <v>82.84220506902889</v>
      </c>
      <c r="BB24" s="889" t="e">
        <f>#N/A</f>
        <v>#N/A</v>
      </c>
      <c r="BC24" s="889" t="e">
        <f>#N/A</f>
        <v>#N/A</v>
      </c>
      <c r="BD24" s="888">
        <f>AI24+AL24+AO24</f>
        <v>497.11184518191084</v>
      </c>
      <c r="BE24" s="889" t="e">
        <f>#N/A</f>
        <v>#N/A</v>
      </c>
      <c r="BF24" s="889" t="e">
        <f>BE24-BD24</f>
        <v>#N/A</v>
      </c>
      <c r="BG24" s="900">
        <f>AU24+AX24</f>
        <v>911.3619470388803</v>
      </c>
      <c r="BH24" s="901">
        <f>BA24+BD24</f>
        <v>579.9540502509398</v>
      </c>
      <c r="BI24" s="902">
        <f>BG24+BH24</f>
        <v>1491.3159972898202</v>
      </c>
      <c r="BJ24" s="893" t="s">
        <v>1436</v>
      </c>
      <c r="BK24" s="853"/>
      <c r="BL24"/>
    </row>
    <row r="25" spans="1:64" ht="25.5">
      <c r="A25" s="2102"/>
      <c r="B25" s="894"/>
      <c r="C25" s="879" t="s">
        <v>385</v>
      </c>
      <c r="D25" s="895" t="s">
        <v>386</v>
      </c>
      <c r="E25" s="881" t="s">
        <v>1437</v>
      </c>
      <c r="F25" s="881" t="s">
        <v>1428</v>
      </c>
      <c r="G25" s="960" t="s">
        <v>1438</v>
      </c>
      <c r="H25" s="943"/>
      <c r="I25" s="943"/>
      <c r="J25" s="884">
        <f>I25-H25</f>
        <v>0</v>
      </c>
      <c r="K25" s="943"/>
      <c r="L25" s="943"/>
      <c r="M25" s="884">
        <f>L25-K25</f>
        <v>0</v>
      </c>
      <c r="N25" s="943"/>
      <c r="O25" s="943"/>
      <c r="P25" s="884">
        <f>O25-N25</f>
        <v>0</v>
      </c>
      <c r="Q25" s="943"/>
      <c r="R25" s="943"/>
      <c r="S25" s="884">
        <f>R25-Q25</f>
        <v>0</v>
      </c>
      <c r="T25" s="943"/>
      <c r="U25" s="943"/>
      <c r="V25" s="884">
        <f>U25-T25</f>
        <v>0</v>
      </c>
      <c r="W25" s="943"/>
      <c r="X25" s="943"/>
      <c r="Y25" s="884">
        <f>X25-W25</f>
        <v>0</v>
      </c>
      <c r="Z25" s="943"/>
      <c r="AA25" s="943"/>
      <c r="AB25" s="884">
        <f>AA25-Z25</f>
        <v>0</v>
      </c>
      <c r="AC25" s="943"/>
      <c r="AD25" s="943"/>
      <c r="AE25" s="884">
        <f>AD25-AC25</f>
        <v>0</v>
      </c>
      <c r="AF25" s="943"/>
      <c r="AG25" s="943"/>
      <c r="AH25" s="884">
        <f>AG25-AF25</f>
        <v>0</v>
      </c>
      <c r="AI25" s="943"/>
      <c r="AJ25" s="943"/>
      <c r="AK25" s="884">
        <f>AJ25-AI25</f>
        <v>0</v>
      </c>
      <c r="AL25" s="943"/>
      <c r="AM25" s="943"/>
      <c r="AN25" s="884">
        <f>AM25-AL25</f>
        <v>0</v>
      </c>
      <c r="AO25" s="943"/>
      <c r="AP25" s="943"/>
      <c r="AQ25" s="884">
        <f>AP25-AO25</f>
        <v>0</v>
      </c>
      <c r="AR25" s="885">
        <f>SUMIF($H$5:$AQ$5,$AR$5,H25:AQ25)</f>
        <v>0</v>
      </c>
      <c r="AS25" s="886">
        <f>SUMIF($H$5:$AQ$5,$AS$5,H25:AQ25)</f>
        <v>0</v>
      </c>
      <c r="AT25" s="899">
        <f>AS25-AR25</f>
        <v>0</v>
      </c>
      <c r="AU25" s="888">
        <f>H25+K25+N25</f>
        <v>0</v>
      </c>
      <c r="AV25" s="889" t="e">
        <f>#N/A</f>
        <v>#N/A</v>
      </c>
      <c r="AW25" s="889" t="e">
        <f>#N/A</f>
        <v>#N/A</v>
      </c>
      <c r="AX25" s="888">
        <f>Q25+T25+W25</f>
        <v>0</v>
      </c>
      <c r="AY25" s="889" t="e">
        <f>#N/A</f>
        <v>#N/A</v>
      </c>
      <c r="AZ25" s="889" t="e">
        <f>#N/A</f>
        <v>#N/A</v>
      </c>
      <c r="BA25" s="888">
        <f>Z25+AC25+AF25</f>
        <v>0</v>
      </c>
      <c r="BB25" s="889" t="e">
        <f>#N/A</f>
        <v>#N/A</v>
      </c>
      <c r="BC25" s="889" t="e">
        <f>#N/A</f>
        <v>#N/A</v>
      </c>
      <c r="BD25" s="888">
        <f>AI25+AL25+AO25</f>
        <v>0</v>
      </c>
      <c r="BE25" s="889" t="e">
        <f>#N/A</f>
        <v>#N/A</v>
      </c>
      <c r="BF25" s="889" t="e">
        <f>BE25-BD25</f>
        <v>#N/A</v>
      </c>
      <c r="BG25" s="890">
        <f>AU25+AX25</f>
        <v>0</v>
      </c>
      <c r="BH25" s="891">
        <f>BA25+BD25</f>
        <v>0</v>
      </c>
      <c r="BI25" s="905">
        <f>BG25+BH25</f>
        <v>0</v>
      </c>
      <c r="BJ25" s="893"/>
      <c r="BK25" s="853"/>
      <c r="BL25"/>
    </row>
    <row r="26" spans="1:64" ht="27" customHeight="1">
      <c r="A26" s="961" t="s">
        <v>1278</v>
      </c>
      <c r="B26" s="961" t="s">
        <v>1278</v>
      </c>
      <c r="C26" s="962" t="s">
        <v>1278</v>
      </c>
      <c r="D26" s="961" t="s">
        <v>1278</v>
      </c>
      <c r="E26" s="961" t="s">
        <v>1278</v>
      </c>
      <c r="F26" s="961" t="s">
        <v>1278</v>
      </c>
      <c r="G26" s="961" t="s">
        <v>1278</v>
      </c>
      <c r="H26" s="961" t="s">
        <v>1278</v>
      </c>
      <c r="I26" s="961" t="s">
        <v>1278</v>
      </c>
      <c r="J26" s="961" t="s">
        <v>1278</v>
      </c>
      <c r="K26" s="961" t="s">
        <v>1278</v>
      </c>
      <c r="L26" s="961" t="s">
        <v>1278</v>
      </c>
      <c r="M26" s="961" t="s">
        <v>1278</v>
      </c>
      <c r="N26" s="961" t="s">
        <v>1278</v>
      </c>
      <c r="O26" s="961" t="s">
        <v>1278</v>
      </c>
      <c r="P26" s="961" t="s">
        <v>1278</v>
      </c>
      <c r="Q26" s="961" t="s">
        <v>1278</v>
      </c>
      <c r="R26" s="961" t="s">
        <v>1278</v>
      </c>
      <c r="S26" s="961" t="s">
        <v>1278</v>
      </c>
      <c r="T26" s="961" t="s">
        <v>1278</v>
      </c>
      <c r="U26" s="961" t="s">
        <v>1278</v>
      </c>
      <c r="V26" s="961" t="s">
        <v>1278</v>
      </c>
      <c r="W26" s="961" t="s">
        <v>1278</v>
      </c>
      <c r="X26" s="961" t="s">
        <v>1278</v>
      </c>
      <c r="Y26" s="961" t="s">
        <v>1278</v>
      </c>
      <c r="Z26" s="961" t="s">
        <v>1278</v>
      </c>
      <c r="AA26" s="961" t="s">
        <v>1278</v>
      </c>
      <c r="AB26" s="961" t="s">
        <v>1278</v>
      </c>
      <c r="AC26" s="961" t="s">
        <v>1278</v>
      </c>
      <c r="AD26" s="961" t="s">
        <v>1278</v>
      </c>
      <c r="AE26" s="961" t="s">
        <v>1278</v>
      </c>
      <c r="AF26" s="961" t="s">
        <v>1278</v>
      </c>
      <c r="AG26" s="961" t="s">
        <v>1278</v>
      </c>
      <c r="AH26" s="961" t="s">
        <v>1278</v>
      </c>
      <c r="AI26" s="961" t="s">
        <v>1278</v>
      </c>
      <c r="AJ26" s="961" t="s">
        <v>1278</v>
      </c>
      <c r="AK26" s="961" t="s">
        <v>1278</v>
      </c>
      <c r="AL26" s="961" t="s">
        <v>1278</v>
      </c>
      <c r="AM26" s="961" t="s">
        <v>1278</v>
      </c>
      <c r="AN26" s="961" t="s">
        <v>1278</v>
      </c>
      <c r="AO26" s="961" t="s">
        <v>1278</v>
      </c>
      <c r="AP26" s="961" t="s">
        <v>1278</v>
      </c>
      <c r="AQ26" s="961" t="s">
        <v>1278</v>
      </c>
      <c r="AR26" s="961" t="s">
        <v>1278</v>
      </c>
      <c r="AS26" s="963" t="s">
        <v>1278</v>
      </c>
      <c r="AT26" s="961" t="s">
        <v>1278</v>
      </c>
      <c r="AU26" s="961" t="s">
        <v>1278</v>
      </c>
      <c r="AV26" s="961" t="s">
        <v>1278</v>
      </c>
      <c r="AW26" s="961" t="s">
        <v>1278</v>
      </c>
      <c r="AX26" s="961" t="s">
        <v>1278</v>
      </c>
      <c r="AY26" s="961" t="s">
        <v>1278</v>
      </c>
      <c r="AZ26" s="961" t="s">
        <v>1278</v>
      </c>
      <c r="BA26" s="961" t="s">
        <v>1278</v>
      </c>
      <c r="BB26" s="961" t="s">
        <v>1278</v>
      </c>
      <c r="BC26" s="961" t="s">
        <v>1278</v>
      </c>
      <c r="BD26" s="961" t="s">
        <v>1278</v>
      </c>
      <c r="BE26" s="961" t="s">
        <v>1278</v>
      </c>
      <c r="BF26" s="961" t="s">
        <v>1278</v>
      </c>
      <c r="BG26" s="964" t="s">
        <v>1278</v>
      </c>
      <c r="BH26" s="964" t="s">
        <v>1278</v>
      </c>
      <c r="BI26" s="965" t="s">
        <v>1278</v>
      </c>
      <c r="BJ26" s="878"/>
      <c r="BK26" s="961" t="s">
        <v>1278</v>
      </c>
      <c r="BL26"/>
    </row>
    <row r="27" spans="1:64" ht="20.25" customHeight="1">
      <c r="A27" s="2100" t="s">
        <v>1439</v>
      </c>
      <c r="B27" s="966" t="s">
        <v>384</v>
      </c>
      <c r="C27" s="879" t="s">
        <v>1440</v>
      </c>
      <c r="D27" s="880" t="s">
        <v>386</v>
      </c>
      <c r="E27" s="881" t="s">
        <v>238</v>
      </c>
      <c r="F27" s="881" t="s">
        <v>387</v>
      </c>
      <c r="G27" s="882" t="s">
        <v>388</v>
      </c>
      <c r="H27" s="883">
        <f>SUM(H28:H29)</f>
        <v>37.9029475638196</v>
      </c>
      <c r="I27" s="883">
        <f>SUM(I28:I29)</f>
        <v>4.674642035713566</v>
      </c>
      <c r="J27" s="884" t="e">
        <f>#N/A</f>
        <v>#N/A</v>
      </c>
      <c r="K27" s="883">
        <f>SUM(K28:K29)</f>
        <v>34.58638824840021</v>
      </c>
      <c r="L27" s="883">
        <f>SUM(L28:L29)</f>
        <v>4.674642035713566</v>
      </c>
      <c r="M27" s="884">
        <f>L27-K27</f>
        <v>-29.911746212686644</v>
      </c>
      <c r="N27" s="883">
        <f>SUM(N28:N29)</f>
        <v>33.790660749908405</v>
      </c>
      <c r="O27" s="883">
        <f>SUM(O28:O29)</f>
        <v>0</v>
      </c>
      <c r="P27" s="884">
        <f>O27-N27</f>
        <v>-33.790660749908405</v>
      </c>
      <c r="Q27" s="883">
        <f>SUM(Q28:Q29)</f>
        <v>27.474188203740784</v>
      </c>
      <c r="R27" s="883">
        <f>SUM(R28:R29)</f>
        <v>4.674642035713566</v>
      </c>
      <c r="S27" s="884">
        <f>R27-Q27</f>
        <v>-22.79954616802722</v>
      </c>
      <c r="T27" s="883">
        <f>SUM(T28:T29)</f>
        <v>22.122046915435345</v>
      </c>
      <c r="U27" s="883">
        <f>SUM(U28:U29)</f>
        <v>0</v>
      </c>
      <c r="V27" s="884">
        <f>U27-T27</f>
        <v>-22.122046915435345</v>
      </c>
      <c r="W27" s="883">
        <f>SUM(W28:W29)</f>
        <v>10.15940457376764</v>
      </c>
      <c r="X27" s="883">
        <f>SUM(X28:X29)</f>
        <v>4.674642035713566</v>
      </c>
      <c r="Y27" s="884">
        <f>X27-W27</f>
        <v>-5.484762538054074</v>
      </c>
      <c r="Z27" s="883">
        <f>SUM(Z28:Z29)</f>
        <v>4.674642035713566</v>
      </c>
      <c r="AA27" s="883">
        <f>SUM(AA28:AA29)</f>
        <v>0</v>
      </c>
      <c r="AB27" s="884">
        <f>AA27-Z27</f>
        <v>-4.674642035713566</v>
      </c>
      <c r="AC27" s="883">
        <f>SUM(AC28:AC29)</f>
        <v>4.674642035713566</v>
      </c>
      <c r="AD27" s="883">
        <f>SUM(AD28:AD29)</f>
        <v>4.674642035713566</v>
      </c>
      <c r="AE27" s="884">
        <f>AD27-AC27</f>
        <v>0</v>
      </c>
      <c r="AF27" s="883">
        <f>SUM(AF28:AF29)</f>
        <v>9.891077859159934</v>
      </c>
      <c r="AG27" s="883">
        <f>SUM(AG28:AG29)</f>
        <v>0</v>
      </c>
      <c r="AH27" s="884">
        <f>AG27-AF27</f>
        <v>-9.891077859159934</v>
      </c>
      <c r="AI27" s="883">
        <f>SUM(AI28:AI29)</f>
        <v>21.34379663590265</v>
      </c>
      <c r="AJ27" s="883">
        <f>SUM(AJ28:AJ29)</f>
        <v>4.674642035713566</v>
      </c>
      <c r="AK27" s="884">
        <f>AJ27-AI27</f>
        <v>-16.66915460018908</v>
      </c>
      <c r="AL27" s="883">
        <f>SUM(AL28:AL29)</f>
        <v>28.011869704659674</v>
      </c>
      <c r="AM27" s="883">
        <f>SUM(AM28:AM29)</f>
        <v>0</v>
      </c>
      <c r="AN27" s="884">
        <f>AM27-AL27</f>
        <v>-28.011869704659674</v>
      </c>
      <c r="AO27" s="883">
        <f>SUM(AO28:AO29)</f>
        <v>34.012724237859594</v>
      </c>
      <c r="AP27" s="883">
        <f>SUM(AP28:AP29)</f>
        <v>0</v>
      </c>
      <c r="AQ27" s="967">
        <f>AP27-AO27</f>
        <v>-34.012724237859594</v>
      </c>
      <c r="AR27" s="968">
        <f>SUMIF($H$5:$AQ$5,$AR$5,H27:AQ27)</f>
        <v>268.64438876408093</v>
      </c>
      <c r="AS27" s="969">
        <f>SUMIF($H$5:$AQ$5,$AS$5,H27:AQ27)</f>
        <v>28.0478522142814</v>
      </c>
      <c r="AT27" s="887" t="e">
        <f>#N/A</f>
        <v>#N/A</v>
      </c>
      <c r="AU27" s="888">
        <f>H27+K27+N27</f>
        <v>106.27999656212822</v>
      </c>
      <c r="AV27" s="889" t="e">
        <f>#N/A</f>
        <v>#N/A</v>
      </c>
      <c r="AW27" s="889" t="e">
        <f>#N/A</f>
        <v>#N/A</v>
      </c>
      <c r="AX27" s="888">
        <f>Q27+T27+W27</f>
        <v>59.75563969294377</v>
      </c>
      <c r="AY27" s="889" t="e">
        <f>#N/A</f>
        <v>#N/A</v>
      </c>
      <c r="AZ27" s="889" t="e">
        <f>#N/A</f>
        <v>#N/A</v>
      </c>
      <c r="BA27" s="888">
        <f>Z27+AC27+AF27</f>
        <v>19.240361930587063</v>
      </c>
      <c r="BB27" s="889" t="e">
        <f>#N/A</f>
        <v>#N/A</v>
      </c>
      <c r="BC27" s="889" t="e">
        <f>#N/A</f>
        <v>#N/A</v>
      </c>
      <c r="BD27" s="888">
        <f>AI27+AL27+AO27</f>
        <v>83.36839057842192</v>
      </c>
      <c r="BE27" s="889" t="e">
        <f>#N/A</f>
        <v>#N/A</v>
      </c>
      <c r="BF27" s="889" t="e">
        <f>#N/A</f>
        <v>#N/A</v>
      </c>
      <c r="BG27" s="890">
        <f>AU27+AX27</f>
        <v>166.03563625507198</v>
      </c>
      <c r="BH27" s="891">
        <f>BA27+BD27</f>
        <v>102.60875250900898</v>
      </c>
      <c r="BI27" s="905">
        <f>BG27+BH27</f>
        <v>268.644388764081</v>
      </c>
      <c r="BJ27" s="893" t="s">
        <v>389</v>
      </c>
      <c r="BK27" s="853"/>
      <c r="BL27"/>
    </row>
    <row r="28" spans="1:64" ht="19.5" customHeight="1">
      <c r="A28" s="2101"/>
      <c r="B28" s="970" t="s">
        <v>390</v>
      </c>
      <c r="C28" s="879" t="s">
        <v>1440</v>
      </c>
      <c r="D28" s="895" t="s">
        <v>386</v>
      </c>
      <c r="E28" s="881" t="s">
        <v>240</v>
      </c>
      <c r="F28" s="881" t="s">
        <v>387</v>
      </c>
      <c r="G28" s="882" t="s">
        <v>20</v>
      </c>
      <c r="H28" s="888">
        <f>H29*0.01/0.99</f>
        <v>0.37902947563819606</v>
      </c>
      <c r="I28" s="888">
        <f>I29*0.01/0.99</f>
        <v>0.04674642035713566</v>
      </c>
      <c r="J28" s="884" t="e">
        <f>#N/A</f>
        <v>#N/A</v>
      </c>
      <c r="K28" s="888">
        <f>K29*0.01/0.99</f>
        <v>0.3458638824840021</v>
      </c>
      <c r="L28" s="888">
        <f>L29*0.01/0.99</f>
        <v>0.04674642035713566</v>
      </c>
      <c r="M28" s="884">
        <f>L28-K28</f>
        <v>-0.29911746212686646</v>
      </c>
      <c r="N28" s="888">
        <f>N29*0.01/0.99</f>
        <v>0.337906607499084</v>
      </c>
      <c r="O28" s="888">
        <f>O29*0.01/0.99</f>
        <v>0</v>
      </c>
      <c r="P28" s="884">
        <f>O28-N28</f>
        <v>-0.337906607499084</v>
      </c>
      <c r="Q28" s="888">
        <f>Q29*0.01/0.99</f>
        <v>0.2747418820374079</v>
      </c>
      <c r="R28" s="888">
        <f>R29*0.01/0.99</f>
        <v>0.04674642035713566</v>
      </c>
      <c r="S28" s="884">
        <f>R28-Q28</f>
        <v>-0.22799546168027224</v>
      </c>
      <c r="T28" s="888">
        <f>T29*0.01/0.99</f>
        <v>0.22122046915435345</v>
      </c>
      <c r="U28" s="888">
        <f>U29*0.01/0.99</f>
        <v>0</v>
      </c>
      <c r="V28" s="884">
        <f>U28-T28</f>
        <v>-0.22122046915435345</v>
      </c>
      <c r="W28" s="888">
        <f>W29*0.01/0.99</f>
        <v>0.1015940457376764</v>
      </c>
      <c r="X28" s="888">
        <f>X29*0.01/0.99</f>
        <v>0.04674642035713566</v>
      </c>
      <c r="Y28" s="884">
        <f>X28-W28</f>
        <v>-0.05484762538054074</v>
      </c>
      <c r="Z28" s="888">
        <f>Z29*0.01/0.99</f>
        <v>0.04674642035713566</v>
      </c>
      <c r="AA28" s="888">
        <f>AA29*0.01/0.99</f>
        <v>0</v>
      </c>
      <c r="AB28" s="884">
        <f>AA28-Z28</f>
        <v>-0.04674642035713566</v>
      </c>
      <c r="AC28" s="888">
        <f>AC29*0.01/0.99</f>
        <v>0.04674642035713566</v>
      </c>
      <c r="AD28" s="888">
        <f>AD29*0.01/0.99</f>
        <v>0.04674642035713566</v>
      </c>
      <c r="AE28" s="884">
        <f>AD28-AC28</f>
        <v>0</v>
      </c>
      <c r="AF28" s="888">
        <f>AF29*0.01/0.99</f>
        <v>0.09891077859159933</v>
      </c>
      <c r="AG28" s="888">
        <f>AG29*0.01/0.99</f>
        <v>0</v>
      </c>
      <c r="AH28" s="884">
        <f>AG28-AF28</f>
        <v>-0.09891077859159933</v>
      </c>
      <c r="AI28" s="888">
        <f>AI29*0.01/0.99</f>
        <v>0.21343796635902648</v>
      </c>
      <c r="AJ28" s="888">
        <f>AJ29*0.01/0.99</f>
        <v>0.04674642035713566</v>
      </c>
      <c r="AK28" s="884">
        <f>AJ28-AI28</f>
        <v>-0.16669154600189082</v>
      </c>
      <c r="AL28" s="888">
        <f>AL29*0.01/0.99</f>
        <v>0.28011869704659675</v>
      </c>
      <c r="AM28" s="888">
        <f>AM29*0.01/0.99</f>
        <v>0</v>
      </c>
      <c r="AN28" s="884">
        <f>AM28-AL28</f>
        <v>-0.28011869704659675</v>
      </c>
      <c r="AO28" s="888">
        <f>AO29*0.01/0.99</f>
        <v>0.340127242378596</v>
      </c>
      <c r="AP28" s="888">
        <f>AP29*0.01/0.99</f>
        <v>0</v>
      </c>
      <c r="AQ28" s="967">
        <f>AP28-AO28</f>
        <v>-0.340127242378596</v>
      </c>
      <c r="AR28" s="885">
        <f>SUMIF($H$5:$AQ$5,$AR$5,H28:AQ28)</f>
        <v>2.6864438876408103</v>
      </c>
      <c r="AS28" s="969">
        <f>SUMIF($H$5:$AQ$5,$AS$5,H28:AQ28)</f>
        <v>0.28047852214281394</v>
      </c>
      <c r="AT28" s="899" t="e">
        <f>#N/A</f>
        <v>#N/A</v>
      </c>
      <c r="AU28" s="888">
        <f>H28+K28+N28</f>
        <v>1.062799965621282</v>
      </c>
      <c r="AV28" s="889" t="e">
        <f>#N/A</f>
        <v>#N/A</v>
      </c>
      <c r="AW28" s="889" t="e">
        <f>#N/A</f>
        <v>#N/A</v>
      </c>
      <c r="AX28" s="888">
        <f>Q28+T28+W28</f>
        <v>0.5975563969294377</v>
      </c>
      <c r="AY28" s="889" t="e">
        <f>#N/A</f>
        <v>#N/A</v>
      </c>
      <c r="AZ28" s="889" t="e">
        <f>#N/A</f>
        <v>#N/A</v>
      </c>
      <c r="BA28" s="888">
        <f>Z28+AC28+AF28</f>
        <v>0.19240361930587063</v>
      </c>
      <c r="BB28" s="889" t="e">
        <f>#N/A</f>
        <v>#N/A</v>
      </c>
      <c r="BC28" s="889" t="e">
        <f>#N/A</f>
        <v>#N/A</v>
      </c>
      <c r="BD28" s="888">
        <f>AI28+AL28+AO28</f>
        <v>0.8336839057842191</v>
      </c>
      <c r="BE28" s="889" t="e">
        <f>#N/A</f>
        <v>#N/A</v>
      </c>
      <c r="BF28" s="889" t="e">
        <f>#N/A</f>
        <v>#N/A</v>
      </c>
      <c r="BG28" s="900">
        <f>AU28+AX28</f>
        <v>1.6603563625507198</v>
      </c>
      <c r="BH28" s="901">
        <f>BA28+BD28</f>
        <v>1.0260875250900898</v>
      </c>
      <c r="BI28" s="902">
        <f>BG28+BH28</f>
        <v>2.6864438876408094</v>
      </c>
      <c r="BJ28" s="893" t="s">
        <v>21</v>
      </c>
      <c r="BK28" s="853"/>
      <c r="BL28"/>
    </row>
    <row r="29" spans="1:64" ht="18" customHeight="1">
      <c r="A29" s="2101"/>
      <c r="B29" s="970"/>
      <c r="C29" s="879" t="s">
        <v>1440</v>
      </c>
      <c r="D29" s="895" t="s">
        <v>386</v>
      </c>
      <c r="E29" s="881" t="s">
        <v>241</v>
      </c>
      <c r="F29" s="881" t="s">
        <v>387</v>
      </c>
      <c r="G29" s="882" t="s">
        <v>22</v>
      </c>
      <c r="H29" s="903">
        <f>SUM(H30,H32)</f>
        <v>37.523918088181404</v>
      </c>
      <c r="I29" s="904">
        <f>SUM(I30,I32)</f>
        <v>4.62789561535643</v>
      </c>
      <c r="J29" s="884" t="e">
        <f>#N/A</f>
        <v>#N/A</v>
      </c>
      <c r="K29" s="903">
        <f>SUM(K30,K32)</f>
        <v>34.24052436591621</v>
      </c>
      <c r="L29" s="904">
        <f>SUM(L30,L32)</f>
        <v>4.62789561535643</v>
      </c>
      <c r="M29" s="884">
        <f>L29-K29</f>
        <v>-29.61262875055978</v>
      </c>
      <c r="N29" s="903">
        <f>SUM(N30,N32)</f>
        <v>33.45275414240932</v>
      </c>
      <c r="O29" s="904">
        <f>SUM(O30,O32)</f>
        <v>0</v>
      </c>
      <c r="P29" s="884">
        <f>O29-N29</f>
        <v>-33.45275414240932</v>
      </c>
      <c r="Q29" s="903">
        <f>SUM(Q30,Q32)</f>
        <v>27.199446321703377</v>
      </c>
      <c r="R29" s="904">
        <f>SUM(R30,R32)</f>
        <v>4.62789561535643</v>
      </c>
      <c r="S29" s="884">
        <f>R29-Q29</f>
        <v>-22.571550706346947</v>
      </c>
      <c r="T29" s="903">
        <f>SUM(T30,T32)</f>
        <v>21.90082644628099</v>
      </c>
      <c r="U29" s="904">
        <f>SUM(U30,U32)</f>
        <v>0</v>
      </c>
      <c r="V29" s="884">
        <f>U29-T29</f>
        <v>-21.90082644628099</v>
      </c>
      <c r="W29" s="903">
        <f>SUM(W30,W32)</f>
        <v>10.057810528029963</v>
      </c>
      <c r="X29" s="904">
        <f>SUM(X30,X32)</f>
        <v>4.62789561535643</v>
      </c>
      <c r="Y29" s="884">
        <f>X29-W29</f>
        <v>-5.429914912673532</v>
      </c>
      <c r="Z29" s="903">
        <f>SUM(Z30,Z32)</f>
        <v>4.62789561535643</v>
      </c>
      <c r="AA29" s="904">
        <f>SUM(AA30,AA32)</f>
        <v>0</v>
      </c>
      <c r="AB29" s="884">
        <f>AA29-Z29</f>
        <v>-4.62789561535643</v>
      </c>
      <c r="AC29" s="903">
        <f>SUM(AC30,AC32)</f>
        <v>4.62789561535643</v>
      </c>
      <c r="AD29" s="904">
        <f>SUM(AD30,AD32)</f>
        <v>4.62789561535643</v>
      </c>
      <c r="AE29" s="884">
        <f>AD29-AC29</f>
        <v>0</v>
      </c>
      <c r="AF29" s="903">
        <f>SUM(AF30,AF32)</f>
        <v>9.792167080568333</v>
      </c>
      <c r="AG29" s="904">
        <f>SUM(AG30,AG32)</f>
        <v>0</v>
      </c>
      <c r="AH29" s="884">
        <f>AG29-AF29</f>
        <v>-9.792167080568333</v>
      </c>
      <c r="AI29" s="903">
        <f>SUM(AI30,AI32)</f>
        <v>21.13035866954362</v>
      </c>
      <c r="AJ29" s="904">
        <f>SUM(AJ30,AJ32)</f>
        <v>4.62789561535643</v>
      </c>
      <c r="AK29" s="884">
        <f>AJ29-AI29</f>
        <v>-16.502463054187192</v>
      </c>
      <c r="AL29" s="903">
        <f>SUM(AL30,AL32)</f>
        <v>27.731751007613077</v>
      </c>
      <c r="AM29" s="904">
        <f>SUM(AM30,AM32)</f>
        <v>0</v>
      </c>
      <c r="AN29" s="884">
        <f>AM29-AL29</f>
        <v>-27.731751007613077</v>
      </c>
      <c r="AO29" s="903">
        <f>SUM(AO30,AO32)</f>
        <v>33.672596995481</v>
      </c>
      <c r="AP29" s="904">
        <f>SUM(AP30,AP32)</f>
        <v>0</v>
      </c>
      <c r="AQ29" s="967">
        <f>AP29-AO29</f>
        <v>-33.672596995481</v>
      </c>
      <c r="AR29" s="885">
        <f>SUMIF($H$5:$AQ$5,$AR$5,H29:AQ29)</f>
        <v>265.95794487644014</v>
      </c>
      <c r="AS29" s="969">
        <f>SUMIF($H$5:$AQ$5,$AS$5,H29:AQ29)</f>
        <v>27.76737369213858</v>
      </c>
      <c r="AT29" s="887" t="e">
        <f>#N/A</f>
        <v>#N/A</v>
      </c>
      <c r="AU29" s="888">
        <f>H29+K29+N29</f>
        <v>105.21719659650692</v>
      </c>
      <c r="AV29" s="889" t="e">
        <f>#N/A</f>
        <v>#N/A</v>
      </c>
      <c r="AW29" s="889" t="e">
        <f>#N/A</f>
        <v>#N/A</v>
      </c>
      <c r="AX29" s="888">
        <f>Q29+T29+W29</f>
        <v>59.158083296014325</v>
      </c>
      <c r="AY29" s="889" t="e">
        <f>#N/A</f>
        <v>#N/A</v>
      </c>
      <c r="AZ29" s="889" t="e">
        <f>#N/A</f>
        <v>#N/A</v>
      </c>
      <c r="BA29" s="888">
        <f>Z29+AC29+AF29</f>
        <v>19.047958311281192</v>
      </c>
      <c r="BB29" s="889" t="e">
        <f>#N/A</f>
        <v>#N/A</v>
      </c>
      <c r="BC29" s="889" t="e">
        <f>#N/A</f>
        <v>#N/A</v>
      </c>
      <c r="BD29" s="888">
        <f>AI29+AL29+AO29</f>
        <v>82.5347066726377</v>
      </c>
      <c r="BE29" s="889" t="e">
        <f>#N/A</f>
        <v>#N/A</v>
      </c>
      <c r="BF29" s="889" t="e">
        <f>#N/A</f>
        <v>#N/A</v>
      </c>
      <c r="BG29" s="890">
        <f>AU29+AX29</f>
        <v>164.37527989252123</v>
      </c>
      <c r="BH29" s="891">
        <f>BA29+BD29</f>
        <v>101.58266498391889</v>
      </c>
      <c r="BI29" s="905">
        <f>BG29+BH29</f>
        <v>265.95794487644014</v>
      </c>
      <c r="BJ29" s="893" t="s">
        <v>23</v>
      </c>
      <c r="BK29" s="853"/>
      <c r="BL29"/>
    </row>
    <row r="30" spans="1:64" ht="21" customHeight="1">
      <c r="A30" s="2101"/>
      <c r="B30" s="970"/>
      <c r="C30" s="879" t="s">
        <v>1440</v>
      </c>
      <c r="D30" s="895" t="s">
        <v>386</v>
      </c>
      <c r="E30" s="881" t="s">
        <v>242</v>
      </c>
      <c r="F30" s="881" t="s">
        <v>387</v>
      </c>
      <c r="G30" s="906" t="s">
        <v>1415</v>
      </c>
      <c r="H30" s="971">
        <f aca="true" t="shared" si="5" ref="H30:AO30">H32*0.01748/(1-0.01748)</f>
        <v>0.6559180881814111</v>
      </c>
      <c r="I30" s="971">
        <f t="shared" si="5"/>
        <v>0.0808956153564304</v>
      </c>
      <c r="J30" s="971" t="e">
        <f t="shared" si="5"/>
        <v>#N/A</v>
      </c>
      <c r="K30" s="971">
        <f t="shared" si="5"/>
        <v>0.5985243659162154</v>
      </c>
      <c r="L30" s="971">
        <f t="shared" si="5"/>
        <v>0.0808956153564304</v>
      </c>
      <c r="M30" s="971">
        <f t="shared" si="5"/>
        <v>-0.517628750559785</v>
      </c>
      <c r="N30" s="971">
        <f t="shared" si="5"/>
        <v>0.5847541424093149</v>
      </c>
      <c r="O30" s="971">
        <f t="shared" si="5"/>
        <v>0</v>
      </c>
      <c r="P30" s="971">
        <f t="shared" si="5"/>
        <v>-0.5847541424093149</v>
      </c>
      <c r="Q30" s="971">
        <f t="shared" si="5"/>
        <v>0.475446321703375</v>
      </c>
      <c r="R30" s="971">
        <f t="shared" si="5"/>
        <v>0.0808956153564304</v>
      </c>
      <c r="S30" s="971">
        <f t="shared" si="5"/>
        <v>-0.39455070634694456</v>
      </c>
      <c r="T30" s="971">
        <f t="shared" si="5"/>
        <v>0.3828264462809917</v>
      </c>
      <c r="U30" s="971">
        <f t="shared" si="5"/>
        <v>0</v>
      </c>
      <c r="V30" s="971">
        <f t="shared" si="5"/>
        <v>-0.3828264462809917</v>
      </c>
      <c r="W30" s="971">
        <f t="shared" si="5"/>
        <v>0.17581052802996375</v>
      </c>
      <c r="X30" s="972">
        <f t="shared" si="5"/>
        <v>0.0808956153564304</v>
      </c>
      <c r="Y30" s="972">
        <f t="shared" si="5"/>
        <v>-0.09491491267353337</v>
      </c>
      <c r="Z30" s="971">
        <f t="shared" si="5"/>
        <v>0.0808956153564304</v>
      </c>
      <c r="AA30" s="971">
        <f t="shared" si="5"/>
        <v>0</v>
      </c>
      <c r="AB30" s="971">
        <f t="shared" si="5"/>
        <v>-0.0808956153564304</v>
      </c>
      <c r="AC30" s="971">
        <f t="shared" si="5"/>
        <v>0.0808956153564304</v>
      </c>
      <c r="AD30" s="971">
        <f t="shared" si="5"/>
        <v>0.0808956153564304</v>
      </c>
      <c r="AE30" s="971">
        <f t="shared" si="5"/>
        <v>0</v>
      </c>
      <c r="AF30" s="971">
        <f t="shared" si="5"/>
        <v>0.17116708056833446</v>
      </c>
      <c r="AG30" s="971">
        <f t="shared" si="5"/>
        <v>0</v>
      </c>
      <c r="AH30" s="971">
        <f t="shared" si="5"/>
        <v>-0.17116708056833446</v>
      </c>
      <c r="AI30" s="971">
        <f t="shared" si="5"/>
        <v>0.3693586695436225</v>
      </c>
      <c r="AJ30" s="971">
        <f t="shared" si="5"/>
        <v>0.0808956153564304</v>
      </c>
      <c r="AK30" s="971">
        <f t="shared" si="5"/>
        <v>-0.2884630541871921</v>
      </c>
      <c r="AL30" s="971">
        <f t="shared" si="5"/>
        <v>0.4847510076130766</v>
      </c>
      <c r="AM30" s="971">
        <f t="shared" si="5"/>
        <v>0</v>
      </c>
      <c r="AN30" s="971">
        <f t="shared" si="5"/>
        <v>-0.4847510076130766</v>
      </c>
      <c r="AO30" s="971">
        <f t="shared" si="5"/>
        <v>0.588596995481008</v>
      </c>
      <c r="AP30" s="888">
        <f>AP32*0.018/(1-0.018)</f>
        <v>0</v>
      </c>
      <c r="AQ30" s="967">
        <f>AP30-AO30</f>
        <v>-0.588596995481008</v>
      </c>
      <c r="AR30" s="909">
        <f>H30+K30+N30+Q30+T30+W30+Z30+AC30+AF30+AI30+AL30+AO30</f>
        <v>4.648944876440173</v>
      </c>
      <c r="AS30" s="969">
        <f>SUMIF($H$5:$AQ$5,$AS$5,H30:AQ30)</f>
        <v>0.48537369213858245</v>
      </c>
      <c r="AT30" s="899" t="e">
        <f>#N/A</f>
        <v>#N/A</v>
      </c>
      <c r="AU30" s="888">
        <f>H30+K30+N30</f>
        <v>1.8391965965069415</v>
      </c>
      <c r="AV30" s="889" t="e">
        <f>#N/A</f>
        <v>#N/A</v>
      </c>
      <c r="AW30" s="889" t="e">
        <f>#N/A</f>
        <v>#N/A</v>
      </c>
      <c r="AX30" s="888">
        <f>Q30+T30+W30</f>
        <v>1.0340832960143305</v>
      </c>
      <c r="AY30" s="889" t="e">
        <f>#N/A</f>
        <v>#N/A</v>
      </c>
      <c r="AZ30" s="889" t="e">
        <f>#N/A</f>
        <v>#N/A</v>
      </c>
      <c r="BA30" s="888">
        <f>Z30+AC30+AF30</f>
        <v>0.33295831128119524</v>
      </c>
      <c r="BB30" s="889" t="e">
        <f>#N/A</f>
        <v>#N/A</v>
      </c>
      <c r="BC30" s="889" t="e">
        <f>#N/A</f>
        <v>#N/A</v>
      </c>
      <c r="BD30" s="888">
        <f>AI30+AL30+AO30</f>
        <v>1.4427066726377071</v>
      </c>
      <c r="BE30" s="889" t="e">
        <f>#N/A</f>
        <v>#N/A</v>
      </c>
      <c r="BF30" s="889" t="e">
        <f>#N/A</f>
        <v>#N/A</v>
      </c>
      <c r="BG30" s="900">
        <f>AU30+AX30</f>
        <v>2.873279892521272</v>
      </c>
      <c r="BH30" s="901">
        <f>BA30+BD30</f>
        <v>1.7756649839189023</v>
      </c>
      <c r="BI30" s="902">
        <f>BG30+BH30</f>
        <v>4.648944876440174</v>
      </c>
      <c r="BJ30" s="893" t="s">
        <v>1416</v>
      </c>
      <c r="BK30" s="853"/>
      <c r="BL30"/>
    </row>
    <row r="31" spans="1:64" ht="21" customHeight="1">
      <c r="A31" s="2101"/>
      <c r="B31" s="970"/>
      <c r="C31" s="879" t="s">
        <v>1440</v>
      </c>
      <c r="D31" s="895" t="s">
        <v>386</v>
      </c>
      <c r="E31" s="881" t="s">
        <v>243</v>
      </c>
      <c r="F31" s="881" t="s">
        <v>387</v>
      </c>
      <c r="G31" s="882" t="s">
        <v>1417</v>
      </c>
      <c r="H31" s="910">
        <f aca="true" t="shared" si="6" ref="H31:AR31">IF(H29&gt;0,ROUND(H30/H29,3),0%)</f>
        <v>0.017</v>
      </c>
      <c r="I31" s="910">
        <f t="shared" si="6"/>
        <v>0.017</v>
      </c>
      <c r="J31" s="910" t="e">
        <f t="shared" si="6"/>
        <v>#N/A</v>
      </c>
      <c r="K31" s="910">
        <f t="shared" si="6"/>
        <v>0.017</v>
      </c>
      <c r="L31" s="910">
        <f t="shared" si="6"/>
        <v>0.017</v>
      </c>
      <c r="M31" s="910">
        <f t="shared" si="6"/>
        <v>0</v>
      </c>
      <c r="N31" s="910">
        <f t="shared" si="6"/>
        <v>0.017</v>
      </c>
      <c r="O31" s="910">
        <f t="shared" si="6"/>
        <v>0</v>
      </c>
      <c r="P31" s="910">
        <f t="shared" si="6"/>
        <v>0</v>
      </c>
      <c r="Q31" s="910">
        <f t="shared" si="6"/>
        <v>0.017</v>
      </c>
      <c r="R31" s="910">
        <f t="shared" si="6"/>
        <v>0.017</v>
      </c>
      <c r="S31" s="910">
        <f t="shared" si="6"/>
        <v>0</v>
      </c>
      <c r="T31" s="910">
        <f t="shared" si="6"/>
        <v>0.017</v>
      </c>
      <c r="U31" s="910">
        <f t="shared" si="6"/>
        <v>0</v>
      </c>
      <c r="V31" s="910">
        <f t="shared" si="6"/>
        <v>0</v>
      </c>
      <c r="W31" s="910">
        <f t="shared" si="6"/>
        <v>0.017</v>
      </c>
      <c r="X31" s="910">
        <f t="shared" si="6"/>
        <v>0.017</v>
      </c>
      <c r="Y31" s="910">
        <f t="shared" si="6"/>
        <v>0</v>
      </c>
      <c r="Z31" s="910">
        <f t="shared" si="6"/>
        <v>0.017</v>
      </c>
      <c r="AA31" s="910">
        <f t="shared" si="6"/>
        <v>0</v>
      </c>
      <c r="AB31" s="910">
        <f t="shared" si="6"/>
        <v>0</v>
      </c>
      <c r="AC31" s="910">
        <f t="shared" si="6"/>
        <v>0.017</v>
      </c>
      <c r="AD31" s="910">
        <f t="shared" si="6"/>
        <v>0.017</v>
      </c>
      <c r="AE31" s="910">
        <f t="shared" si="6"/>
        <v>0</v>
      </c>
      <c r="AF31" s="910">
        <f t="shared" si="6"/>
        <v>0.017</v>
      </c>
      <c r="AG31" s="910">
        <f t="shared" si="6"/>
        <v>0</v>
      </c>
      <c r="AH31" s="910">
        <f t="shared" si="6"/>
        <v>0</v>
      </c>
      <c r="AI31" s="910">
        <f t="shared" si="6"/>
        <v>0.017</v>
      </c>
      <c r="AJ31" s="910">
        <f t="shared" si="6"/>
        <v>0.017</v>
      </c>
      <c r="AK31" s="910">
        <f t="shared" si="6"/>
        <v>0</v>
      </c>
      <c r="AL31" s="910">
        <f t="shared" si="6"/>
        <v>0.017</v>
      </c>
      <c r="AM31" s="910">
        <f t="shared" si="6"/>
        <v>0</v>
      </c>
      <c r="AN31" s="910">
        <f t="shared" si="6"/>
        <v>0</v>
      </c>
      <c r="AO31" s="910">
        <f t="shared" si="6"/>
        <v>0.017</v>
      </c>
      <c r="AP31" s="910">
        <f t="shared" si="6"/>
        <v>0</v>
      </c>
      <c r="AQ31" s="910">
        <f t="shared" si="6"/>
        <v>0</v>
      </c>
      <c r="AR31" s="973">
        <f t="shared" si="6"/>
        <v>0.017</v>
      </c>
      <c r="AS31" s="974" t="e">
        <f>#N/A</f>
        <v>#N/A</v>
      </c>
      <c r="AT31" s="975" t="e">
        <f>#N/A</f>
        <v>#N/A</v>
      </c>
      <c r="AU31" s="912">
        <f>IF(AU29&gt;0,ROUND(AU30/AU29,3),0%)</f>
        <v>0.017</v>
      </c>
      <c r="AV31" s="912" t="e">
        <f>IF(AV29&gt;0,ROUND(AV30/AV29,3),0%)</f>
        <v>#N/A</v>
      </c>
      <c r="AW31" s="910" t="e">
        <f>#N/A</f>
        <v>#N/A</v>
      </c>
      <c r="AX31" s="912">
        <f>IF(AX29&gt;0,ROUND(AX30/AX29,3),0%)</f>
        <v>0.017</v>
      </c>
      <c r="AY31" s="912" t="e">
        <f>IF(AY29&gt;0,ROUND(AY30/AY29,3),0%)</f>
        <v>#N/A</v>
      </c>
      <c r="AZ31" s="910" t="e">
        <f>#N/A</f>
        <v>#N/A</v>
      </c>
      <c r="BA31" s="912">
        <f>IF(BA29&gt;0,ROUND(BA30/BA29,3),0%)</f>
        <v>0.017</v>
      </c>
      <c r="BB31" s="912" t="e">
        <f>IF(BB29&gt;0,ROUND(BB30/BB29,3),0%)</f>
        <v>#N/A</v>
      </c>
      <c r="BC31" s="910" t="e">
        <f>#N/A</f>
        <v>#N/A</v>
      </c>
      <c r="BD31" s="912">
        <f>IF(BD29&gt;0,ROUND(BD30/BD29,3),0%)</f>
        <v>0.017</v>
      </c>
      <c r="BE31" s="912" t="e">
        <f>IF(BE29&gt;0,ROUND(BE30/BE29,3),0%)</f>
        <v>#N/A</v>
      </c>
      <c r="BF31" s="910" t="e">
        <f>#N/A</f>
        <v>#N/A</v>
      </c>
      <c r="BG31" s="890"/>
      <c r="BH31" s="891"/>
      <c r="BI31" s="905"/>
      <c r="BJ31" s="893"/>
      <c r="BK31" s="853"/>
      <c r="BL31"/>
    </row>
    <row r="32" spans="1:64" ht="18.75" customHeight="1">
      <c r="A32" s="2101"/>
      <c r="B32" s="970"/>
      <c r="C32" s="879" t="s">
        <v>1440</v>
      </c>
      <c r="D32" s="895" t="s">
        <v>386</v>
      </c>
      <c r="E32" s="881" t="s">
        <v>244</v>
      </c>
      <c r="F32" s="881" t="s">
        <v>387</v>
      </c>
      <c r="G32" s="882" t="s">
        <v>1418</v>
      </c>
      <c r="H32" s="904">
        <f>SUM(H34:H35)</f>
        <v>36.867999999999995</v>
      </c>
      <c r="I32" s="904">
        <f>SUM(I34:I35)</f>
        <v>4.547</v>
      </c>
      <c r="J32" s="884" t="e">
        <f>#N/A</f>
        <v>#N/A</v>
      </c>
      <c r="K32" s="904">
        <f>SUM(K34:K35)</f>
        <v>33.641999999999996</v>
      </c>
      <c r="L32" s="904">
        <f>SUM(L34:L35)</f>
        <v>4.547</v>
      </c>
      <c r="M32" s="884">
        <f>L32-K32</f>
        <v>-29.094999999999995</v>
      </c>
      <c r="N32" s="904">
        <f>SUM(N34:N35)</f>
        <v>32.868</v>
      </c>
      <c r="O32" s="904">
        <f>SUM(O34:O35)</f>
        <v>0</v>
      </c>
      <c r="P32" s="884">
        <f>O32-N32</f>
        <v>-32.868</v>
      </c>
      <c r="Q32" s="904">
        <f>SUM(Q34:Q35)</f>
        <v>26.724</v>
      </c>
      <c r="R32" s="904">
        <f>SUM(R34:R35)</f>
        <v>4.547</v>
      </c>
      <c r="S32" s="884">
        <f>R32-Q32</f>
        <v>-22.177</v>
      </c>
      <c r="T32" s="904">
        <f>SUM(T34:T35)</f>
        <v>21.518</v>
      </c>
      <c r="U32" s="904">
        <f>SUM(U34:U35)</f>
        <v>0</v>
      </c>
      <c r="V32" s="884">
        <f>U32-T32</f>
        <v>-21.518</v>
      </c>
      <c r="W32" s="904">
        <f>SUM(W34:W35)</f>
        <v>9.882</v>
      </c>
      <c r="X32" s="904">
        <f>SUM(X34:X35)</f>
        <v>4.547</v>
      </c>
      <c r="Y32" s="884">
        <f>X32-W32</f>
        <v>-5.335</v>
      </c>
      <c r="Z32" s="904">
        <f>SUM(Z34:Z35)</f>
        <v>4.547</v>
      </c>
      <c r="AA32" s="904">
        <f>SUM(AA34:AA35)</f>
        <v>0</v>
      </c>
      <c r="AB32" s="884">
        <f>AA32-Z32</f>
        <v>-4.547</v>
      </c>
      <c r="AC32" s="904">
        <f>SUM(AC34:AC35)</f>
        <v>4.547</v>
      </c>
      <c r="AD32" s="904">
        <f>SUM(AD34:AD35)</f>
        <v>4.547</v>
      </c>
      <c r="AE32" s="884">
        <f>AD32-AC32</f>
        <v>0</v>
      </c>
      <c r="AF32" s="904">
        <f>SUM(AF34:AF35)</f>
        <v>9.620999999999999</v>
      </c>
      <c r="AG32" s="904">
        <f>SUM(AG34:AG35)</f>
        <v>0</v>
      </c>
      <c r="AH32" s="884">
        <f>AG32-AF32</f>
        <v>-9.620999999999999</v>
      </c>
      <c r="AI32" s="904">
        <f>SUM(AI34:AI35)</f>
        <v>20.761</v>
      </c>
      <c r="AJ32" s="904">
        <f>SUM(AJ34:AJ35)</f>
        <v>4.547</v>
      </c>
      <c r="AK32" s="884">
        <f>AJ32-AI32</f>
        <v>-16.214</v>
      </c>
      <c r="AL32" s="904">
        <f>SUM(AL34:AL35)</f>
        <v>27.247</v>
      </c>
      <c r="AM32" s="904"/>
      <c r="AN32" s="884">
        <f>AM32-AL32</f>
        <v>-27.247</v>
      </c>
      <c r="AO32" s="904">
        <f>SUM(AO34:AO35)</f>
        <v>33.083999999999996</v>
      </c>
      <c r="AP32" s="904"/>
      <c r="AQ32" s="967">
        <f>AP32-AO32</f>
        <v>-33.083999999999996</v>
      </c>
      <c r="AR32" s="885">
        <f>SUMIF($H$5:$AQ$5,$AR$5,H32:AQ32)</f>
        <v>261.30899999999997</v>
      </c>
      <c r="AS32" s="969">
        <f>SUMIF($H$5:$AQ$5,$AS$5,H32:AQ32)</f>
        <v>27.282</v>
      </c>
      <c r="AT32" s="887" t="e">
        <f>#N/A</f>
        <v>#N/A</v>
      </c>
      <c r="AU32" s="888">
        <f>H32+K32+N32</f>
        <v>103.37799999999999</v>
      </c>
      <c r="AV32" s="889" t="e">
        <f>#N/A</f>
        <v>#N/A</v>
      </c>
      <c r="AW32" s="889" t="e">
        <f>#N/A</f>
        <v>#N/A</v>
      </c>
      <c r="AX32" s="888">
        <f>Q32+T32+W32</f>
        <v>58.124</v>
      </c>
      <c r="AY32" s="889" t="e">
        <f>#N/A</f>
        <v>#N/A</v>
      </c>
      <c r="AZ32" s="889" t="e">
        <f>#N/A</f>
        <v>#N/A</v>
      </c>
      <c r="BA32" s="888">
        <f>Z32+AC32+AF32</f>
        <v>18.714999999999996</v>
      </c>
      <c r="BB32" s="889" t="e">
        <f>#N/A</f>
        <v>#N/A</v>
      </c>
      <c r="BC32" s="889" t="e">
        <f>#N/A</f>
        <v>#N/A</v>
      </c>
      <c r="BD32" s="888">
        <f>AI32+AL32+AO32</f>
        <v>81.09199999999998</v>
      </c>
      <c r="BE32" s="889">
        <f>SUM(AJ32,AM32,AP32)</f>
        <v>4.547</v>
      </c>
      <c r="BF32" s="889" t="e">
        <f>#N/A</f>
        <v>#N/A</v>
      </c>
      <c r="BG32" s="900">
        <f>AU32+AX32</f>
        <v>161.50199999999998</v>
      </c>
      <c r="BH32" s="901">
        <f>BA32+BD32</f>
        <v>99.80699999999999</v>
      </c>
      <c r="BI32" s="902">
        <f>BG32+BH32</f>
        <v>261.30899999999997</v>
      </c>
      <c r="BJ32" s="893" t="s">
        <v>1419</v>
      </c>
      <c r="BK32" s="853"/>
      <c r="BL32"/>
    </row>
    <row r="33" spans="1:64" ht="18.75" customHeight="1">
      <c r="A33" s="2101"/>
      <c r="B33" s="970"/>
      <c r="C33" s="879" t="s">
        <v>1440</v>
      </c>
      <c r="D33" s="895" t="s">
        <v>386</v>
      </c>
      <c r="E33" s="881"/>
      <c r="F33" s="881"/>
      <c r="G33" s="916" t="s">
        <v>1686</v>
      </c>
      <c r="H33" s="917"/>
      <c r="I33" s="917"/>
      <c r="J33" s="917"/>
      <c r="K33" s="976"/>
      <c r="L33" s="917"/>
      <c r="M33" s="977"/>
      <c r="N33" s="917"/>
      <c r="O33" s="978"/>
      <c r="P33" s="917"/>
      <c r="Q33" s="917"/>
      <c r="R33" s="917"/>
      <c r="S33" s="917"/>
      <c r="T33" s="917"/>
      <c r="U33" s="917"/>
      <c r="V33" s="917"/>
      <c r="W33" s="917"/>
      <c r="X33" s="917"/>
      <c r="Y33" s="917"/>
      <c r="Z33" s="917"/>
      <c r="AA33" s="917"/>
      <c r="AB33" s="917"/>
      <c r="AC33" s="917"/>
      <c r="AD33" s="917"/>
      <c r="AE33" s="917"/>
      <c r="AF33" s="917"/>
      <c r="AG33" s="917"/>
      <c r="AH33" s="917"/>
      <c r="AI33" s="917"/>
      <c r="AJ33" s="917"/>
      <c r="AK33" s="976"/>
      <c r="AL33" s="917"/>
      <c r="AM33" s="977"/>
      <c r="AN33" s="917"/>
      <c r="AO33" s="977"/>
      <c r="AP33" s="917"/>
      <c r="AQ33" s="977"/>
      <c r="AR33" s="885"/>
      <c r="AS33" s="969"/>
      <c r="AT33" s="899"/>
      <c r="AU33" s="888"/>
      <c r="AV33" s="889"/>
      <c r="AW33" s="889"/>
      <c r="AX33" s="888"/>
      <c r="AY33" s="889"/>
      <c r="AZ33" s="889"/>
      <c r="BA33" s="888"/>
      <c r="BB33" s="889"/>
      <c r="BC33" s="889"/>
      <c r="BD33" s="888"/>
      <c r="BE33" s="889"/>
      <c r="BF33" s="889"/>
      <c r="BG33" s="890"/>
      <c r="BH33" s="891"/>
      <c r="BI33" s="905"/>
      <c r="BJ33" s="893"/>
      <c r="BK33" s="853"/>
      <c r="BL33"/>
    </row>
    <row r="34" spans="1:64" ht="15.75" customHeight="1">
      <c r="A34" s="2101"/>
      <c r="B34" s="979"/>
      <c r="C34" s="879" t="s">
        <v>1440</v>
      </c>
      <c r="D34" s="919" t="s">
        <v>386</v>
      </c>
      <c r="E34" s="920" t="s">
        <v>1171</v>
      </c>
      <c r="F34" s="920" t="s">
        <v>387</v>
      </c>
      <c r="G34" s="980" t="s">
        <v>1420</v>
      </c>
      <c r="H34" s="981">
        <v>32.321</v>
      </c>
      <c r="I34" s="982"/>
      <c r="J34" s="983">
        <f>I34-H34</f>
        <v>-32.321</v>
      </c>
      <c r="K34" s="982">
        <v>29.095</v>
      </c>
      <c r="L34" s="981"/>
      <c r="M34" s="984">
        <f>L34-K34</f>
        <v>-29.095</v>
      </c>
      <c r="N34" s="981">
        <v>28.321</v>
      </c>
      <c r="O34" s="982"/>
      <c r="P34" s="983">
        <f>O34-N34</f>
        <v>-28.321</v>
      </c>
      <c r="Q34" s="985">
        <v>22.177</v>
      </c>
      <c r="R34" s="981"/>
      <c r="S34" s="986">
        <f>R34-Q34</f>
        <v>-22.177</v>
      </c>
      <c r="T34" s="981">
        <v>16.971</v>
      </c>
      <c r="U34" s="981"/>
      <c r="V34" s="986">
        <f>U34-T34</f>
        <v>-16.971</v>
      </c>
      <c r="W34" s="981">
        <v>5.335</v>
      </c>
      <c r="X34" s="981"/>
      <c r="Y34" s="986">
        <f>X34-W34</f>
        <v>-5.335</v>
      </c>
      <c r="Z34" s="981"/>
      <c r="AA34" s="981"/>
      <c r="AB34" s="986">
        <f>AA34-Z34</f>
        <v>0</v>
      </c>
      <c r="AC34" s="981"/>
      <c r="AD34" s="981"/>
      <c r="AE34" s="986">
        <f>AD34-AC34</f>
        <v>0</v>
      </c>
      <c r="AF34" s="981">
        <v>5.074</v>
      </c>
      <c r="AG34" s="981"/>
      <c r="AH34" s="986">
        <f>AG34-AF34</f>
        <v>-5.074</v>
      </c>
      <c r="AI34" s="981">
        <v>16.214</v>
      </c>
      <c r="AJ34" s="981"/>
      <c r="AK34" s="987">
        <f>AJ34-AI34</f>
        <v>-16.214</v>
      </c>
      <c r="AL34" s="981">
        <v>22.7</v>
      </c>
      <c r="AM34" s="982"/>
      <c r="AN34" s="986">
        <f>AM34-AL34</f>
        <v>-22.7</v>
      </c>
      <c r="AO34" s="982">
        <v>28.537</v>
      </c>
      <c r="AP34" s="988"/>
      <c r="AQ34" s="989">
        <f>AP34-AO34</f>
        <v>-28.537</v>
      </c>
      <c r="AR34" s="885">
        <f>SUMIF($H$5:$AQ$5,$AR$5,H34:AQ34)</f>
        <v>206.745</v>
      </c>
      <c r="AS34" s="990">
        <f>SUMIF($H$5:$AQ$5,$AS$5,H34:AQ34)</f>
        <v>0</v>
      </c>
      <c r="AT34" s="929">
        <f>AS34-AR34</f>
        <v>-206.745</v>
      </c>
      <c r="AU34" s="888">
        <f>H34+K34+N34</f>
        <v>89.737</v>
      </c>
      <c r="AV34" s="889" t="e">
        <f>#N/A</f>
        <v>#N/A</v>
      </c>
      <c r="AW34" s="889" t="e">
        <f>#N/A</f>
        <v>#N/A</v>
      </c>
      <c r="AX34" s="888">
        <f>Q34+T34+W34</f>
        <v>44.483</v>
      </c>
      <c r="AY34" s="889" t="e">
        <f>#N/A</f>
        <v>#N/A</v>
      </c>
      <c r="AZ34" s="889" t="e">
        <f>#N/A</f>
        <v>#N/A</v>
      </c>
      <c r="BA34" s="888">
        <f>Z34+AC34+AF34</f>
        <v>5.074</v>
      </c>
      <c r="BB34" s="889" t="e">
        <f>#N/A</f>
        <v>#N/A</v>
      </c>
      <c r="BC34" s="889" t="e">
        <f>#N/A</f>
        <v>#N/A</v>
      </c>
      <c r="BD34" s="888">
        <f>AI34+AL34+AO34</f>
        <v>67.451</v>
      </c>
      <c r="BE34" s="991">
        <f>SUM(AJ34,AM34,AP34)</f>
        <v>0</v>
      </c>
      <c r="BF34" s="929">
        <f>BE34-BD34</f>
        <v>-67.451</v>
      </c>
      <c r="BG34" s="900">
        <f>AU34+AX34</f>
        <v>134.22</v>
      </c>
      <c r="BH34" s="901">
        <f>BA34+BD34</f>
        <v>72.52499999999999</v>
      </c>
      <c r="BI34" s="902">
        <f>BG34+BH34</f>
        <v>206.745</v>
      </c>
      <c r="BJ34" s="893" t="s">
        <v>1421</v>
      </c>
      <c r="BK34" s="853"/>
      <c r="BL34"/>
    </row>
    <row r="35" spans="1:64" ht="18" customHeight="1">
      <c r="A35" s="2101"/>
      <c r="B35" s="979"/>
      <c r="C35" s="879" t="s">
        <v>1440</v>
      </c>
      <c r="D35" s="919" t="s">
        <v>386</v>
      </c>
      <c r="E35" s="920" t="s">
        <v>1172</v>
      </c>
      <c r="F35" s="920" t="s">
        <v>387</v>
      </c>
      <c r="G35" s="992" t="s">
        <v>1422</v>
      </c>
      <c r="H35" s="931">
        <f>SUM(H38:H38)</f>
        <v>4.547</v>
      </c>
      <c r="I35" s="993">
        <f>SUM(I38:I38)</f>
        <v>4.547</v>
      </c>
      <c r="J35" s="932">
        <f>I35-H35</f>
        <v>0</v>
      </c>
      <c r="K35" s="993">
        <f>SUM(K38:K38)</f>
        <v>4.547</v>
      </c>
      <c r="L35" s="931">
        <f>SUM(L38:L38)</f>
        <v>4.547</v>
      </c>
      <c r="M35" s="994">
        <f>L35-K35</f>
        <v>0</v>
      </c>
      <c r="N35" s="931">
        <f>SUM(N38:N38)</f>
        <v>4.547</v>
      </c>
      <c r="O35" s="993"/>
      <c r="P35" s="932">
        <f>O35-N35</f>
        <v>-4.547</v>
      </c>
      <c r="Q35" s="995">
        <f>SUM(Q38:Q38)</f>
        <v>4.547</v>
      </c>
      <c r="R35" s="931">
        <f>SUM(R38:R38)</f>
        <v>4.547</v>
      </c>
      <c r="S35" s="932">
        <f>R35-Q35</f>
        <v>0</v>
      </c>
      <c r="T35" s="931">
        <f>SUM(T38:T38)</f>
        <v>4.547</v>
      </c>
      <c r="U35" s="931"/>
      <c r="V35" s="932">
        <f>U35-T35</f>
        <v>-4.547</v>
      </c>
      <c r="W35" s="931">
        <f>SUM(W38:W38)</f>
        <v>4.547</v>
      </c>
      <c r="X35" s="933">
        <f>SUM(X38:X38)</f>
        <v>4.547</v>
      </c>
      <c r="Y35" s="934">
        <f>X35-W35</f>
        <v>0</v>
      </c>
      <c r="Z35" s="931">
        <f>SUM(Z38:Z38)</f>
        <v>4.547</v>
      </c>
      <c r="AA35" s="931"/>
      <c r="AB35" s="932">
        <f>AA35-Z35</f>
        <v>-4.547</v>
      </c>
      <c r="AC35" s="996">
        <f>SUM(AC38:AC38)</f>
        <v>4.547</v>
      </c>
      <c r="AD35" s="931">
        <f>SUM(AD38:AD38)</f>
        <v>4.547</v>
      </c>
      <c r="AE35" s="994">
        <f>AD35-AC35</f>
        <v>0</v>
      </c>
      <c r="AF35" s="931">
        <f>SUM(AF38:AF38)</f>
        <v>4.547</v>
      </c>
      <c r="AG35" s="995"/>
      <c r="AH35" s="932">
        <f>AG35-AF35</f>
        <v>-4.547</v>
      </c>
      <c r="AI35" s="931">
        <f>SUM(AI38:AI38)</f>
        <v>4.547</v>
      </c>
      <c r="AJ35" s="931">
        <f>SUM(AJ38:AJ38)</f>
        <v>4.547</v>
      </c>
      <c r="AK35" s="997">
        <f>AJ35-AI35</f>
        <v>0</v>
      </c>
      <c r="AL35" s="931">
        <f>SUM(AL38:AL38)</f>
        <v>4.547</v>
      </c>
      <c r="AM35" s="993"/>
      <c r="AN35" s="932">
        <f>AM35-AL35</f>
        <v>-4.547</v>
      </c>
      <c r="AO35" s="993">
        <f>SUM(AO38:AO38)</f>
        <v>4.547</v>
      </c>
      <c r="AP35" s="935"/>
      <c r="AQ35" s="998">
        <f>AP35-AO35</f>
        <v>-4.547</v>
      </c>
      <c r="AR35" s="885">
        <f>SUMIF($H$5:$AQ$5,$AR$5,H35:AQ35)</f>
        <v>54.563999999999986</v>
      </c>
      <c r="AS35" s="999">
        <f>SUMIF($H$5:$AQ$5,$AS$5,H35:AQ35)</f>
        <v>27.282</v>
      </c>
      <c r="AT35" s="899">
        <f>AS35-AR35</f>
        <v>-27.281999999999986</v>
      </c>
      <c r="AU35" s="1000">
        <f>SUM(AU37:AU38)</f>
        <v>13.640999999999998</v>
      </c>
      <c r="AV35" s="899" t="e">
        <f>SUM(AV38:AV38)</f>
        <v>#N/A</v>
      </c>
      <c r="AW35" s="1001" t="e">
        <f>AV35-AU35</f>
        <v>#N/A</v>
      </c>
      <c r="AX35" s="1000">
        <f>SUM(AX37:AX38)</f>
        <v>13.640999999999998</v>
      </c>
      <c r="AY35" s="1000" t="e">
        <f>SUM(AY38:AY38)</f>
        <v>#N/A</v>
      </c>
      <c r="AZ35" s="887" t="e">
        <f>AY35-AX35</f>
        <v>#N/A</v>
      </c>
      <c r="BA35" s="1000">
        <f>SUM(BA37:BA38)</f>
        <v>13.640999999999998</v>
      </c>
      <c r="BB35" s="899" t="e">
        <f>SUM(BB38:BB38)</f>
        <v>#N/A</v>
      </c>
      <c r="BC35" s="1001" t="e">
        <f>BB35-BA35</f>
        <v>#N/A</v>
      </c>
      <c r="BD35" s="1000">
        <f>SUM(BD37:BD38)</f>
        <v>13.640999999999998</v>
      </c>
      <c r="BE35" s="1000">
        <f>SUM(BE38:BE38)</f>
        <v>9.094</v>
      </c>
      <c r="BF35" s="899">
        <f>BE35-BD35</f>
        <v>-4.546999999999999</v>
      </c>
      <c r="BG35" s="890"/>
      <c r="BH35" s="891"/>
      <c r="BI35" s="905"/>
      <c r="BJ35" s="893"/>
      <c r="BK35" s="853"/>
      <c r="BL35"/>
    </row>
    <row r="36" spans="1:64" ht="18" customHeight="1">
      <c r="A36" s="2101"/>
      <c r="B36" s="979"/>
      <c r="C36" s="879" t="s">
        <v>1440</v>
      </c>
      <c r="D36" s="919" t="s">
        <v>386</v>
      </c>
      <c r="E36" s="920"/>
      <c r="F36" s="920"/>
      <c r="G36" s="1002" t="s">
        <v>1686</v>
      </c>
      <c r="H36" s="938"/>
      <c r="I36" s="1003"/>
      <c r="J36" s="938"/>
      <c r="K36" s="1003"/>
      <c r="L36" s="938"/>
      <c r="M36" s="1003"/>
      <c r="N36" s="938"/>
      <c r="O36" s="1003"/>
      <c r="P36" s="938"/>
      <c r="Q36" s="1003"/>
      <c r="R36" s="938"/>
      <c r="S36" s="1003"/>
      <c r="T36" s="938"/>
      <c r="U36" s="1003"/>
      <c r="V36" s="938"/>
      <c r="W36" s="1003"/>
      <c r="X36" s="939"/>
      <c r="Y36" s="1004"/>
      <c r="Z36" s="938"/>
      <c r="AA36" s="1003"/>
      <c r="AB36" s="938"/>
      <c r="AC36" s="1003"/>
      <c r="AD36" s="938"/>
      <c r="AE36" s="1003"/>
      <c r="AF36" s="938"/>
      <c r="AG36" s="1003"/>
      <c r="AH36" s="938"/>
      <c r="AI36" s="1003"/>
      <c r="AJ36" s="938"/>
      <c r="AK36" s="1003"/>
      <c r="AL36" s="938"/>
      <c r="AM36" s="1003"/>
      <c r="AN36" s="938"/>
      <c r="AO36" s="1003"/>
      <c r="AP36" s="940"/>
      <c r="AQ36" s="1005"/>
      <c r="AR36" s="885"/>
      <c r="AS36" s="999"/>
      <c r="AT36" s="899"/>
      <c r="AU36" s="1000"/>
      <c r="AV36" s="899"/>
      <c r="AW36" s="1000"/>
      <c r="AX36" s="899"/>
      <c r="AY36" s="1000"/>
      <c r="AZ36" s="899"/>
      <c r="BA36" s="1000"/>
      <c r="BB36" s="899"/>
      <c r="BC36" s="1000"/>
      <c r="BD36" s="899"/>
      <c r="BE36" s="1000"/>
      <c r="BF36" s="899"/>
      <c r="BG36" s="890"/>
      <c r="BH36" s="891"/>
      <c r="BI36" s="905"/>
      <c r="BJ36" s="893"/>
      <c r="BK36" s="853"/>
      <c r="BL36"/>
    </row>
    <row r="37" spans="1:64" ht="21" customHeight="1">
      <c r="A37" s="2101"/>
      <c r="B37" s="979"/>
      <c r="C37" s="879" t="s">
        <v>1440</v>
      </c>
      <c r="D37" s="919" t="s">
        <v>386</v>
      </c>
      <c r="E37" s="920" t="s">
        <v>1423</v>
      </c>
      <c r="F37" s="920" t="s">
        <v>387</v>
      </c>
      <c r="G37" s="1006" t="s">
        <v>1424</v>
      </c>
      <c r="H37" s="1007"/>
      <c r="I37" s="1008"/>
      <c r="J37" s="1007"/>
      <c r="K37" s="1008"/>
      <c r="L37" s="1007"/>
      <c r="M37" s="1008"/>
      <c r="N37" s="1007"/>
      <c r="O37" s="1008"/>
      <c r="P37" s="1007"/>
      <c r="Q37" s="1008"/>
      <c r="R37" s="1007"/>
      <c r="S37" s="1008"/>
      <c r="T37" s="1007"/>
      <c r="U37" s="1008"/>
      <c r="V37" s="1007"/>
      <c r="W37" s="1008"/>
      <c r="X37" s="1009"/>
      <c r="Y37" s="1010"/>
      <c r="Z37" s="1007"/>
      <c r="AA37" s="1008"/>
      <c r="AB37" s="1007"/>
      <c r="AC37" s="1008"/>
      <c r="AD37" s="1007"/>
      <c r="AE37" s="1008"/>
      <c r="AF37" s="1007"/>
      <c r="AG37" s="1008"/>
      <c r="AH37" s="1007"/>
      <c r="AI37" s="1008"/>
      <c r="AJ37" s="1007"/>
      <c r="AK37" s="1008"/>
      <c r="AL37" s="1007"/>
      <c r="AM37" s="1008"/>
      <c r="AN37" s="1007"/>
      <c r="AO37" s="1008"/>
      <c r="AP37" s="1011"/>
      <c r="AQ37" s="1012"/>
      <c r="AR37" s="885">
        <f>SUMIF($H$5:$AQ$5,$AR$5,H37:AQ37)</f>
        <v>0</v>
      </c>
      <c r="AS37" s="990">
        <f>SUMIF($H$5:$AQ$5,$AS$5,H37:AQ37)</f>
        <v>0</v>
      </c>
      <c r="AT37" s="929">
        <f>AS37-AR37</f>
        <v>0</v>
      </c>
      <c r="AU37" s="888">
        <f aca="true" t="shared" si="7" ref="AU37:AU45">H37+K37+N37</f>
        <v>0</v>
      </c>
      <c r="AV37" s="889" t="e">
        <f>#N/A</f>
        <v>#N/A</v>
      </c>
      <c r="AW37" s="889" t="e">
        <f>#N/A</f>
        <v>#N/A</v>
      </c>
      <c r="AX37" s="888">
        <f aca="true" t="shared" si="8" ref="AX37:AX45">Q37+T37+W37</f>
        <v>0</v>
      </c>
      <c r="AY37" s="889" t="e">
        <f>#N/A</f>
        <v>#N/A</v>
      </c>
      <c r="AZ37" s="889" t="e">
        <f>#N/A</f>
        <v>#N/A</v>
      </c>
      <c r="BA37" s="888">
        <f aca="true" t="shared" si="9" ref="BA37:BA45">Z37+AC37+AF37</f>
        <v>0</v>
      </c>
      <c r="BB37" s="889" t="e">
        <f>#N/A</f>
        <v>#N/A</v>
      </c>
      <c r="BC37" s="889" t="e">
        <f>#N/A</f>
        <v>#N/A</v>
      </c>
      <c r="BD37" s="888">
        <f aca="true" t="shared" si="10" ref="BD37:BD45">AI37+AL37+AO37</f>
        <v>0</v>
      </c>
      <c r="BE37" s="991">
        <f aca="true" t="shared" si="11" ref="BE37:BE45">SUM(AJ37,AM37,AP37)</f>
        <v>0</v>
      </c>
      <c r="BF37" s="929">
        <f aca="true" t="shared" si="12" ref="BF37:BF45">BE37-BD37</f>
        <v>0</v>
      </c>
      <c r="BG37" s="900">
        <f aca="true" t="shared" si="13" ref="BG37:BG45">AU37+AX37</f>
        <v>0</v>
      </c>
      <c r="BH37" s="901">
        <f aca="true" t="shared" si="14" ref="BH37:BH45">BA37+BD37</f>
        <v>0</v>
      </c>
      <c r="BI37" s="902">
        <f aca="true" t="shared" si="15" ref="BI37:BI45">BG37+BH37</f>
        <v>0</v>
      </c>
      <c r="BJ37" s="893" t="s">
        <v>1425</v>
      </c>
      <c r="BK37" s="853"/>
      <c r="BL37"/>
    </row>
    <row r="38" spans="1:64" ht="20.25" customHeight="1">
      <c r="A38" s="2101"/>
      <c r="B38" s="979"/>
      <c r="C38" s="879" t="s">
        <v>1440</v>
      </c>
      <c r="D38" s="919" t="s">
        <v>386</v>
      </c>
      <c r="E38" s="920" t="s">
        <v>1426</v>
      </c>
      <c r="F38" s="920" t="s">
        <v>387</v>
      </c>
      <c r="G38" s="1013" t="s">
        <v>1427</v>
      </c>
      <c r="H38" s="981">
        <v>4.547</v>
      </c>
      <c r="I38" s="981">
        <v>4.547</v>
      </c>
      <c r="J38" s="981">
        <v>4.547</v>
      </c>
      <c r="K38" s="981">
        <v>4.547</v>
      </c>
      <c r="L38" s="981">
        <v>4.547</v>
      </c>
      <c r="M38" s="981">
        <v>4.547</v>
      </c>
      <c r="N38" s="981">
        <v>4.547</v>
      </c>
      <c r="O38" s="981">
        <v>4.547</v>
      </c>
      <c r="P38" s="981">
        <v>4.547</v>
      </c>
      <c r="Q38" s="981">
        <v>4.547</v>
      </c>
      <c r="R38" s="981">
        <v>4.547</v>
      </c>
      <c r="S38" s="981">
        <v>4.547</v>
      </c>
      <c r="T38" s="981">
        <v>4.547</v>
      </c>
      <c r="U38" s="981">
        <v>4.547</v>
      </c>
      <c r="V38" s="981">
        <v>4.547</v>
      </c>
      <c r="W38" s="981">
        <v>4.547</v>
      </c>
      <c r="X38" s="981">
        <v>4.547</v>
      </c>
      <c r="Y38" s="981">
        <v>4.547</v>
      </c>
      <c r="Z38" s="981">
        <v>4.547</v>
      </c>
      <c r="AA38" s="981">
        <v>4.547</v>
      </c>
      <c r="AB38" s="981">
        <v>4.547</v>
      </c>
      <c r="AC38" s="981">
        <v>4.547</v>
      </c>
      <c r="AD38" s="981">
        <v>4.547</v>
      </c>
      <c r="AE38" s="981">
        <v>4.547</v>
      </c>
      <c r="AF38" s="981">
        <v>4.547</v>
      </c>
      <c r="AG38" s="981">
        <v>4.547</v>
      </c>
      <c r="AH38" s="981">
        <v>4.547</v>
      </c>
      <c r="AI38" s="981">
        <v>4.547</v>
      </c>
      <c r="AJ38" s="981">
        <v>4.547</v>
      </c>
      <c r="AK38" s="981">
        <v>4.547</v>
      </c>
      <c r="AL38" s="981">
        <v>4.547</v>
      </c>
      <c r="AM38" s="981">
        <v>4.547</v>
      </c>
      <c r="AN38" s="981">
        <v>4.547</v>
      </c>
      <c r="AO38" s="981">
        <v>4.547</v>
      </c>
      <c r="AP38" s="1014"/>
      <c r="AQ38" s="1015">
        <f>AP38-AO38</f>
        <v>-4.547</v>
      </c>
      <c r="AR38" s="968">
        <f>SUMIF($H$5:$AQ$5,$AR$5,H38:AQ38)</f>
        <v>54.563999999999986</v>
      </c>
      <c r="AS38" s="1016">
        <f>SUMIF($H$5:$AQ$5,$AS$5,H38:AQ38)</f>
        <v>50.01699999999999</v>
      </c>
      <c r="AT38" s="929">
        <f>AS38-AR38</f>
        <v>-4.546999999999997</v>
      </c>
      <c r="AU38" s="888">
        <f t="shared" si="7"/>
        <v>13.640999999999998</v>
      </c>
      <c r="AV38" s="889" t="e">
        <f>#N/A</f>
        <v>#N/A</v>
      </c>
      <c r="AW38" s="889" t="e">
        <f>#N/A</f>
        <v>#N/A</v>
      </c>
      <c r="AX38" s="888">
        <f t="shared" si="8"/>
        <v>13.640999999999998</v>
      </c>
      <c r="AY38" s="889" t="e">
        <f>#N/A</f>
        <v>#N/A</v>
      </c>
      <c r="AZ38" s="889" t="e">
        <f>#N/A</f>
        <v>#N/A</v>
      </c>
      <c r="BA38" s="888">
        <f t="shared" si="9"/>
        <v>13.640999999999998</v>
      </c>
      <c r="BB38" s="889" t="e">
        <f>#N/A</f>
        <v>#N/A</v>
      </c>
      <c r="BC38" s="889" t="e">
        <f>#N/A</f>
        <v>#N/A</v>
      </c>
      <c r="BD38" s="888">
        <f t="shared" si="10"/>
        <v>13.640999999999998</v>
      </c>
      <c r="BE38" s="991">
        <f t="shared" si="11"/>
        <v>9.094</v>
      </c>
      <c r="BF38" s="929">
        <f t="shared" si="12"/>
        <v>-4.546999999999999</v>
      </c>
      <c r="BG38" s="900">
        <f t="shared" si="13"/>
        <v>27.281999999999996</v>
      </c>
      <c r="BH38" s="901">
        <f t="shared" si="14"/>
        <v>27.281999999999996</v>
      </c>
      <c r="BI38" s="902">
        <f t="shared" si="15"/>
        <v>54.56399999999999</v>
      </c>
      <c r="BJ38" s="893"/>
      <c r="BK38" s="853"/>
      <c r="BL38"/>
    </row>
    <row r="39" spans="1:64" ht="21" customHeight="1">
      <c r="A39" s="2101"/>
      <c r="B39" s="970"/>
      <c r="C39" s="879" t="s">
        <v>1440</v>
      </c>
      <c r="D39" s="895" t="s">
        <v>386</v>
      </c>
      <c r="E39" s="881" t="s">
        <v>1173</v>
      </c>
      <c r="F39" s="881" t="s">
        <v>1428</v>
      </c>
      <c r="G39" s="1017" t="s">
        <v>1429</v>
      </c>
      <c r="H39" s="904">
        <f>SUM(H42:H42)</f>
        <v>63.68347338935573</v>
      </c>
      <c r="I39" s="1018">
        <f>SUM(I42:I42)</f>
        <v>0</v>
      </c>
      <c r="J39" s="884">
        <f>I39-H39</f>
        <v>-63.68347338935573</v>
      </c>
      <c r="K39" s="1018">
        <f>SUM(K42:K42)</f>
        <v>63.68347338935573</v>
      </c>
      <c r="L39" s="904">
        <f>SUM(L42:L42)</f>
        <v>0</v>
      </c>
      <c r="M39" s="1019">
        <f>L39-K39</f>
        <v>-63.68347338935573</v>
      </c>
      <c r="N39" s="904">
        <f>SUM(N42:N42)</f>
        <v>63.68347338935573</v>
      </c>
      <c r="O39" s="1018"/>
      <c r="P39" s="884">
        <f>O39-N39</f>
        <v>-63.68347338935573</v>
      </c>
      <c r="Q39" s="1018">
        <f>SUM(Q42:Q42)</f>
        <v>63.68347338935573</v>
      </c>
      <c r="R39" s="904"/>
      <c r="S39" s="1019">
        <f>R39-Q39</f>
        <v>-63.68347338935573</v>
      </c>
      <c r="T39" s="904">
        <f>SUM(T42:T42)</f>
        <v>63.68347338935573</v>
      </c>
      <c r="U39" s="1018"/>
      <c r="V39" s="884">
        <f>U39-T39</f>
        <v>-63.68347338935573</v>
      </c>
      <c r="W39" s="1018">
        <f>SUM(W42:W42)</f>
        <v>63.68347338935573</v>
      </c>
      <c r="X39" s="904"/>
      <c r="Y39" s="1019">
        <f>X39-W39</f>
        <v>-63.68347338935573</v>
      </c>
      <c r="Z39" s="904">
        <f>SUM(Z42:Z42)</f>
        <v>63.68347338935573</v>
      </c>
      <c r="AA39" s="1018">
        <f>SUM(AA42:AA42)</f>
        <v>0</v>
      </c>
      <c r="AB39" s="884">
        <f>AA39-Z39</f>
        <v>-63.68347338935573</v>
      </c>
      <c r="AC39" s="1018">
        <f>SUM(AC42:AC42)</f>
        <v>63.68347338935573</v>
      </c>
      <c r="AD39" s="904"/>
      <c r="AE39" s="1019">
        <f>AD39-AC39</f>
        <v>-63.68347338935573</v>
      </c>
      <c r="AF39" s="904">
        <f>SUM(AF42:AF42)</f>
        <v>63.68347338935573</v>
      </c>
      <c r="AG39" s="1018"/>
      <c r="AH39" s="884">
        <f>AG39-AF39</f>
        <v>-63.68347338935573</v>
      </c>
      <c r="AI39" s="1018">
        <f>SUM(AI42:AI42)</f>
        <v>63.68347338935573</v>
      </c>
      <c r="AJ39" s="904">
        <f>SUM(AJ42:AJ42)</f>
        <v>0</v>
      </c>
      <c r="AK39" s="1019">
        <f>AJ39-AI39</f>
        <v>-63.68347338935573</v>
      </c>
      <c r="AL39" s="904">
        <f>SUM(AL42:AL42)</f>
        <v>63.68347338935573</v>
      </c>
      <c r="AM39" s="1018"/>
      <c r="AN39" s="884">
        <f>AM39-AL39</f>
        <v>-63.68347338935573</v>
      </c>
      <c r="AO39" s="1018">
        <f>SUM(AO42:AO42)</f>
        <v>63.68347338935573</v>
      </c>
      <c r="AP39" s="904">
        <f>SUM(AP42:AP42)</f>
        <v>0</v>
      </c>
      <c r="AQ39" s="1019">
        <f>AP39-AO39</f>
        <v>-63.68347338935573</v>
      </c>
      <c r="AR39" s="885">
        <f>SUMIF($H$5:$AQ$5,$AR$5,H39:AQ39)</f>
        <v>764.2016806722689</v>
      </c>
      <c r="AS39" s="999">
        <f>SUMIF($H$5:$AQ$5,$AS$5,H39:AQ39)</f>
        <v>0</v>
      </c>
      <c r="AT39" s="887">
        <f>AS39-AR39</f>
        <v>-764.2016806722689</v>
      </c>
      <c r="AU39" s="888">
        <f t="shared" si="7"/>
        <v>191.0504201680672</v>
      </c>
      <c r="AV39" s="889" t="e">
        <f>#N/A</f>
        <v>#N/A</v>
      </c>
      <c r="AW39" s="889" t="e">
        <f>#N/A</f>
        <v>#N/A</v>
      </c>
      <c r="AX39" s="888">
        <f t="shared" si="8"/>
        <v>191.0504201680672</v>
      </c>
      <c r="AY39" s="889" t="e">
        <f>#N/A</f>
        <v>#N/A</v>
      </c>
      <c r="AZ39" s="889" t="e">
        <f>#N/A</f>
        <v>#N/A</v>
      </c>
      <c r="BA39" s="888">
        <f t="shared" si="9"/>
        <v>191.0504201680672</v>
      </c>
      <c r="BB39" s="889" t="e">
        <f>#N/A</f>
        <v>#N/A</v>
      </c>
      <c r="BC39" s="889" t="e">
        <f>#N/A</f>
        <v>#N/A</v>
      </c>
      <c r="BD39" s="888">
        <f t="shared" si="10"/>
        <v>191.0504201680672</v>
      </c>
      <c r="BE39" s="991">
        <f t="shared" si="11"/>
        <v>0</v>
      </c>
      <c r="BF39" s="929">
        <f t="shared" si="12"/>
        <v>-191.0504201680672</v>
      </c>
      <c r="BG39" s="900">
        <f t="shared" si="13"/>
        <v>382.1008403361344</v>
      </c>
      <c r="BH39" s="901">
        <f t="shared" si="14"/>
        <v>382.1008403361344</v>
      </c>
      <c r="BI39" s="902">
        <f t="shared" si="15"/>
        <v>764.2016806722688</v>
      </c>
      <c r="BJ39" s="893"/>
      <c r="BK39" s="853"/>
      <c r="BL39"/>
    </row>
    <row r="40" spans="1:64" ht="19.5" customHeight="1">
      <c r="A40" s="2101"/>
      <c r="B40" s="970"/>
      <c r="C40" s="879" t="s">
        <v>1440</v>
      </c>
      <c r="D40" s="895" t="s">
        <v>386</v>
      </c>
      <c r="E40" s="881"/>
      <c r="F40" s="881"/>
      <c r="G40" s="1020" t="s">
        <v>1686</v>
      </c>
      <c r="H40" s="889"/>
      <c r="I40" s="1021"/>
      <c r="J40" s="917"/>
      <c r="K40" s="1021"/>
      <c r="L40" s="889"/>
      <c r="M40" s="977"/>
      <c r="N40" s="889"/>
      <c r="O40" s="1021"/>
      <c r="P40" s="917"/>
      <c r="Q40" s="1021"/>
      <c r="R40" s="889"/>
      <c r="S40" s="977"/>
      <c r="T40" s="889"/>
      <c r="U40" s="1021"/>
      <c r="V40" s="917"/>
      <c r="W40" s="1021"/>
      <c r="X40" s="889"/>
      <c r="Y40" s="977"/>
      <c r="Z40" s="889"/>
      <c r="AA40" s="1021"/>
      <c r="AB40" s="917"/>
      <c r="AC40" s="1021"/>
      <c r="AD40" s="889"/>
      <c r="AE40" s="977"/>
      <c r="AF40" s="889"/>
      <c r="AG40" s="1021"/>
      <c r="AH40" s="917"/>
      <c r="AI40" s="1021"/>
      <c r="AJ40" s="889"/>
      <c r="AK40" s="977"/>
      <c r="AL40" s="889"/>
      <c r="AM40" s="1021"/>
      <c r="AN40" s="917"/>
      <c r="AO40" s="1021"/>
      <c r="AP40" s="889"/>
      <c r="AQ40" s="977"/>
      <c r="AR40" s="885"/>
      <c r="AS40" s="999"/>
      <c r="AT40" s="899"/>
      <c r="AU40" s="888">
        <f t="shared" si="7"/>
        <v>0</v>
      </c>
      <c r="AV40" s="889" t="e">
        <f>#N/A</f>
        <v>#N/A</v>
      </c>
      <c r="AW40" s="889" t="e">
        <f>#N/A</f>
        <v>#N/A</v>
      </c>
      <c r="AX40" s="888">
        <f t="shared" si="8"/>
        <v>0</v>
      </c>
      <c r="AY40" s="889" t="e">
        <f>#N/A</f>
        <v>#N/A</v>
      </c>
      <c r="AZ40" s="889" t="e">
        <f>#N/A</f>
        <v>#N/A</v>
      </c>
      <c r="BA40" s="888">
        <f t="shared" si="9"/>
        <v>0</v>
      </c>
      <c r="BB40" s="889" t="e">
        <f>#N/A</f>
        <v>#N/A</v>
      </c>
      <c r="BC40" s="889" t="e">
        <f>#N/A</f>
        <v>#N/A</v>
      </c>
      <c r="BD40" s="888">
        <f t="shared" si="10"/>
        <v>0</v>
      </c>
      <c r="BE40" s="991">
        <f t="shared" si="11"/>
        <v>0</v>
      </c>
      <c r="BF40" s="929">
        <f t="shared" si="12"/>
        <v>0</v>
      </c>
      <c r="BG40" s="900">
        <f t="shared" si="13"/>
        <v>0</v>
      </c>
      <c r="BH40" s="901">
        <f t="shared" si="14"/>
        <v>0</v>
      </c>
      <c r="BI40" s="902">
        <f t="shared" si="15"/>
        <v>0</v>
      </c>
      <c r="BJ40" s="893"/>
      <c r="BK40" s="853"/>
      <c r="BL40"/>
    </row>
    <row r="41" spans="1:64" ht="21" customHeight="1">
      <c r="A41" s="2101"/>
      <c r="B41" s="979"/>
      <c r="C41" s="879" t="s">
        <v>1440</v>
      </c>
      <c r="D41" s="919" t="s">
        <v>386</v>
      </c>
      <c r="E41" s="920" t="s">
        <v>1430</v>
      </c>
      <c r="F41" s="920" t="s">
        <v>1428</v>
      </c>
      <c r="G41" s="1022" t="s">
        <v>1424</v>
      </c>
      <c r="H41" s="945">
        <f>H37/0.0512</f>
        <v>0</v>
      </c>
      <c r="I41" s="1023"/>
      <c r="J41" s="1024"/>
      <c r="K41" s="945">
        <f>K37/0.0512</f>
        <v>0</v>
      </c>
      <c r="L41" s="1024"/>
      <c r="M41" s="1023"/>
      <c r="N41" s="945">
        <f>N37/0.0512</f>
        <v>0</v>
      </c>
      <c r="O41" s="1023"/>
      <c r="P41" s="1024"/>
      <c r="Q41" s="945">
        <f>Q37/0.0512</f>
        <v>0</v>
      </c>
      <c r="R41" s="1024"/>
      <c r="S41" s="1023"/>
      <c r="T41" s="945">
        <f>T37/0.0512</f>
        <v>0</v>
      </c>
      <c r="U41" s="1023"/>
      <c r="V41" s="1024"/>
      <c r="W41" s="945">
        <f>W37/0.0512</f>
        <v>0</v>
      </c>
      <c r="X41" s="1024"/>
      <c r="Y41" s="1023"/>
      <c r="Z41" s="945">
        <f>Z37/0.0512</f>
        <v>0</v>
      </c>
      <c r="AA41" s="1023"/>
      <c r="AB41" s="1024"/>
      <c r="AC41" s="945">
        <f>AC37/0.0512</f>
        <v>0</v>
      </c>
      <c r="AD41" s="1024"/>
      <c r="AE41" s="1023"/>
      <c r="AF41" s="945">
        <f>AF37/0.0512</f>
        <v>0</v>
      </c>
      <c r="AG41" s="1023"/>
      <c r="AH41" s="1024"/>
      <c r="AI41" s="945">
        <f>AI37/0.0512</f>
        <v>0</v>
      </c>
      <c r="AJ41" s="1024"/>
      <c r="AK41" s="1023"/>
      <c r="AL41" s="945">
        <f>AL37/0.0512</f>
        <v>0</v>
      </c>
      <c r="AM41" s="1023"/>
      <c r="AN41" s="1024"/>
      <c r="AO41" s="945">
        <f>AO37/0.0512</f>
        <v>0</v>
      </c>
      <c r="AP41" s="1024"/>
      <c r="AQ41" s="1023"/>
      <c r="AR41" s="885">
        <f>SUMIF($H$5:$AQ$5,$AR$5,H41:AQ41)</f>
        <v>0</v>
      </c>
      <c r="AS41" s="990">
        <f>SUMIF($H$5:$AQ$5,$AS$5,H41:AQ41)</f>
        <v>0</v>
      </c>
      <c r="AT41" s="929">
        <f>AS41-AR41</f>
        <v>0</v>
      </c>
      <c r="AU41" s="888">
        <f t="shared" si="7"/>
        <v>0</v>
      </c>
      <c r="AV41" s="889" t="e">
        <f>#N/A</f>
        <v>#N/A</v>
      </c>
      <c r="AW41" s="889" t="e">
        <f>#N/A</f>
        <v>#N/A</v>
      </c>
      <c r="AX41" s="888">
        <f t="shared" si="8"/>
        <v>0</v>
      </c>
      <c r="AY41" s="889" t="e">
        <f>#N/A</f>
        <v>#N/A</v>
      </c>
      <c r="AZ41" s="889" t="e">
        <f>#N/A</f>
        <v>#N/A</v>
      </c>
      <c r="BA41" s="888">
        <f t="shared" si="9"/>
        <v>0</v>
      </c>
      <c r="BB41" s="889" t="e">
        <f>#N/A</f>
        <v>#N/A</v>
      </c>
      <c r="BC41" s="889" t="e">
        <f>#N/A</f>
        <v>#N/A</v>
      </c>
      <c r="BD41" s="888">
        <f t="shared" si="10"/>
        <v>0</v>
      </c>
      <c r="BE41" s="991">
        <f t="shared" si="11"/>
        <v>0</v>
      </c>
      <c r="BF41" s="929">
        <f t="shared" si="12"/>
        <v>0</v>
      </c>
      <c r="BG41" s="900">
        <f t="shared" si="13"/>
        <v>0</v>
      </c>
      <c r="BH41" s="901">
        <f t="shared" si="14"/>
        <v>0</v>
      </c>
      <c r="BI41" s="902">
        <f t="shared" si="15"/>
        <v>0</v>
      </c>
      <c r="BJ41" s="893" t="s">
        <v>1450</v>
      </c>
      <c r="BK41" s="853"/>
      <c r="BL41"/>
    </row>
    <row r="42" spans="1:64" ht="21" customHeight="1">
      <c r="A42" s="2101"/>
      <c r="B42" s="970"/>
      <c r="C42" s="879" t="s">
        <v>1440</v>
      </c>
      <c r="D42" s="895" t="s">
        <v>386</v>
      </c>
      <c r="E42" s="881" t="s">
        <v>1431</v>
      </c>
      <c r="F42" s="881" t="s">
        <v>1428</v>
      </c>
      <c r="G42" s="1025" t="s">
        <v>1427</v>
      </c>
      <c r="H42" s="1026">
        <f>H38/0.0714</f>
        <v>63.68347338935573</v>
      </c>
      <c r="I42" s="1026"/>
      <c r="J42" s="884">
        <f>I42-H42</f>
        <v>-63.68347338935573</v>
      </c>
      <c r="K42" s="1027">
        <f>K38/0.0714</f>
        <v>63.68347338935573</v>
      </c>
      <c r="L42" s="1028"/>
      <c r="M42" s="1019">
        <f>L42-K42</f>
        <v>-63.68347338935573</v>
      </c>
      <c r="N42" s="1026">
        <f>N38/0.0714</f>
        <v>63.68347338935573</v>
      </c>
      <c r="O42" s="1026"/>
      <c r="P42" s="884">
        <f>O42-N42</f>
        <v>-63.68347338935573</v>
      </c>
      <c r="Q42" s="1027">
        <f>Q38/0.0714</f>
        <v>63.68347338935573</v>
      </c>
      <c r="R42" s="1027"/>
      <c r="S42" s="1019">
        <f>R42-Q42</f>
        <v>-63.68347338935573</v>
      </c>
      <c r="T42" s="1026">
        <f>T38/0.0714</f>
        <v>63.68347338935573</v>
      </c>
      <c r="U42" s="1029"/>
      <c r="V42" s="884">
        <f>U42-T42</f>
        <v>-63.68347338935573</v>
      </c>
      <c r="W42" s="1027">
        <f>W38/0.0714</f>
        <v>63.68347338935573</v>
      </c>
      <c r="X42" s="1027"/>
      <c r="Y42" s="1019">
        <f>X42-W42</f>
        <v>-63.68347338935573</v>
      </c>
      <c r="Z42" s="1026">
        <f>Z38/0.0714</f>
        <v>63.68347338935573</v>
      </c>
      <c r="AA42" s="1029"/>
      <c r="AB42" s="884">
        <f>AA42-Z42</f>
        <v>-63.68347338935573</v>
      </c>
      <c r="AC42" s="1027">
        <f>AC38/0.0714</f>
        <v>63.68347338935573</v>
      </c>
      <c r="AD42" s="1028"/>
      <c r="AE42" s="1019">
        <f>AD42-AC42</f>
        <v>-63.68347338935573</v>
      </c>
      <c r="AF42" s="1026">
        <f>AF38/0.0714</f>
        <v>63.68347338935573</v>
      </c>
      <c r="AG42" s="1029"/>
      <c r="AH42" s="884">
        <f>AG42-AF42</f>
        <v>-63.68347338935573</v>
      </c>
      <c r="AI42" s="1027">
        <f>AI38/0.0714</f>
        <v>63.68347338935573</v>
      </c>
      <c r="AJ42" s="1028"/>
      <c r="AK42" s="1019">
        <f>AJ42-AI42</f>
        <v>-63.68347338935573</v>
      </c>
      <c r="AL42" s="1026">
        <f>AL38/0.0714</f>
        <v>63.68347338935573</v>
      </c>
      <c r="AM42" s="1026"/>
      <c r="AN42" s="884">
        <f>AM42-AL42</f>
        <v>-63.68347338935573</v>
      </c>
      <c r="AO42" s="1027">
        <f>AO38/0.0714</f>
        <v>63.68347338935573</v>
      </c>
      <c r="AP42" s="1027"/>
      <c r="AQ42" s="1019">
        <f>AP42-AO42</f>
        <v>-63.68347338935573</v>
      </c>
      <c r="AR42" s="885">
        <f>SUMIF($H$5:$AQ$5,$AR$5,H42:AQ42)</f>
        <v>764.2016806722689</v>
      </c>
      <c r="AS42" s="999">
        <f>SUMIF($H$5:$AQ$5,$AS$5,H42:AQ42)</f>
        <v>0</v>
      </c>
      <c r="AT42" s="899">
        <f>AS42-AR42</f>
        <v>-764.2016806722689</v>
      </c>
      <c r="AU42" s="888">
        <f t="shared" si="7"/>
        <v>191.0504201680672</v>
      </c>
      <c r="AV42" s="889" t="e">
        <f>#N/A</f>
        <v>#N/A</v>
      </c>
      <c r="AW42" s="889" t="e">
        <f>#N/A</f>
        <v>#N/A</v>
      </c>
      <c r="AX42" s="888">
        <f t="shared" si="8"/>
        <v>191.0504201680672</v>
      </c>
      <c r="AY42" s="889" t="e">
        <f>#N/A</f>
        <v>#N/A</v>
      </c>
      <c r="AZ42" s="889" t="e">
        <f>#N/A</f>
        <v>#N/A</v>
      </c>
      <c r="BA42" s="888">
        <f t="shared" si="9"/>
        <v>191.0504201680672</v>
      </c>
      <c r="BB42" s="889" t="e">
        <f>#N/A</f>
        <v>#N/A</v>
      </c>
      <c r="BC42" s="889" t="e">
        <f>#N/A</f>
        <v>#N/A</v>
      </c>
      <c r="BD42" s="888">
        <f t="shared" si="10"/>
        <v>191.0504201680672</v>
      </c>
      <c r="BE42" s="991">
        <f t="shared" si="11"/>
        <v>0</v>
      </c>
      <c r="BF42" s="929">
        <f t="shared" si="12"/>
        <v>-191.0504201680672</v>
      </c>
      <c r="BG42" s="900">
        <f t="shared" si="13"/>
        <v>382.1008403361344</v>
      </c>
      <c r="BH42" s="901">
        <f t="shared" si="14"/>
        <v>382.1008403361344</v>
      </c>
      <c r="BI42" s="902">
        <f t="shared" si="15"/>
        <v>764.2016806722688</v>
      </c>
      <c r="BJ42" s="893"/>
      <c r="BK42" s="853"/>
      <c r="BL42"/>
    </row>
    <row r="43" spans="1:64" ht="21" customHeight="1">
      <c r="A43" s="2101"/>
      <c r="B43" s="970"/>
      <c r="C43" s="879" t="s">
        <v>1440</v>
      </c>
      <c r="D43" s="895" t="s">
        <v>386</v>
      </c>
      <c r="E43" s="881" t="s">
        <v>1174</v>
      </c>
      <c r="F43" s="881" t="s">
        <v>1432</v>
      </c>
      <c r="G43" s="947" t="s">
        <v>1433</v>
      </c>
      <c r="H43" s="948">
        <v>2069</v>
      </c>
      <c r="I43" s="1030"/>
      <c r="J43" s="949">
        <f>I43-H43</f>
        <v>-2069</v>
      </c>
      <c r="K43" s="1031">
        <v>1879</v>
      </c>
      <c r="L43" s="948"/>
      <c r="M43" s="949">
        <f>L43-K43</f>
        <v>-1879</v>
      </c>
      <c r="N43" s="948">
        <v>1540</v>
      </c>
      <c r="O43" s="948"/>
      <c r="P43" s="949">
        <f>O43-N43</f>
        <v>-1540</v>
      </c>
      <c r="Q43" s="948">
        <v>1358</v>
      </c>
      <c r="R43" s="948"/>
      <c r="S43" s="949">
        <f>R43-Q43</f>
        <v>-1358</v>
      </c>
      <c r="T43" s="948">
        <v>1034</v>
      </c>
      <c r="U43" s="948"/>
      <c r="V43" s="949">
        <f>U43-T43</f>
        <v>-1034</v>
      </c>
      <c r="W43" s="950">
        <v>750</v>
      </c>
      <c r="X43" s="951"/>
      <c r="Y43" s="934">
        <f>X43-W43</f>
        <v>-750</v>
      </c>
      <c r="Z43" s="948">
        <v>730</v>
      </c>
      <c r="AA43" s="948"/>
      <c r="AB43" s="949">
        <f>AA43-Z43</f>
        <v>-730</v>
      </c>
      <c r="AC43" s="948">
        <v>450</v>
      </c>
      <c r="AD43" s="948"/>
      <c r="AE43" s="949">
        <f>AD43-AC43</f>
        <v>-450</v>
      </c>
      <c r="AF43" s="948">
        <v>1564</v>
      </c>
      <c r="AG43" s="948"/>
      <c r="AH43" s="949">
        <f>AG43-AF43</f>
        <v>-1564</v>
      </c>
      <c r="AI43" s="948">
        <v>1332</v>
      </c>
      <c r="AJ43" s="948"/>
      <c r="AK43" s="949">
        <f>AJ43-AI43</f>
        <v>-1332</v>
      </c>
      <c r="AL43" s="948">
        <v>1475</v>
      </c>
      <c r="AM43" s="948"/>
      <c r="AN43" s="949">
        <f>AM43-AL43</f>
        <v>-1475</v>
      </c>
      <c r="AO43" s="948">
        <v>1478</v>
      </c>
      <c r="AP43" s="952"/>
      <c r="AQ43" s="953">
        <f>AP43-AO43</f>
        <v>-1478</v>
      </c>
      <c r="AR43" s="885">
        <f>SUMIF($H$5:$AQ$5,$AR$5,H43:AQ43)</f>
        <v>15659</v>
      </c>
      <c r="AS43" s="887">
        <f>SUMIF($H$5:$AQ$5,$AS$5,H43:AQ43)</f>
        <v>0</v>
      </c>
      <c r="AT43" s="899">
        <f>AS43-AR43</f>
        <v>-15659</v>
      </c>
      <c r="AU43" s="888">
        <f t="shared" si="7"/>
        <v>5488</v>
      </c>
      <c r="AV43" s="889" t="e">
        <f>#N/A</f>
        <v>#N/A</v>
      </c>
      <c r="AW43" s="889" t="e">
        <f>#N/A</f>
        <v>#N/A</v>
      </c>
      <c r="AX43" s="888">
        <f t="shared" si="8"/>
        <v>3142</v>
      </c>
      <c r="AY43" s="889" t="e">
        <f>#N/A</f>
        <v>#N/A</v>
      </c>
      <c r="AZ43" s="889" t="e">
        <f>#N/A</f>
        <v>#N/A</v>
      </c>
      <c r="BA43" s="888">
        <f t="shared" si="9"/>
        <v>2744</v>
      </c>
      <c r="BB43" s="889" t="e">
        <f>#N/A</f>
        <v>#N/A</v>
      </c>
      <c r="BC43" s="889" t="e">
        <f>#N/A</f>
        <v>#N/A</v>
      </c>
      <c r="BD43" s="888">
        <f t="shared" si="10"/>
        <v>4285</v>
      </c>
      <c r="BE43" s="991">
        <f t="shared" si="11"/>
        <v>0</v>
      </c>
      <c r="BF43" s="929">
        <f t="shared" si="12"/>
        <v>-4285</v>
      </c>
      <c r="BG43" s="900">
        <f t="shared" si="13"/>
        <v>8630</v>
      </c>
      <c r="BH43" s="901">
        <f t="shared" si="14"/>
        <v>7029</v>
      </c>
      <c r="BI43" s="902">
        <f t="shared" si="15"/>
        <v>15659</v>
      </c>
      <c r="BJ43" s="893"/>
      <c r="BK43" s="853"/>
      <c r="BL43"/>
    </row>
    <row r="44" spans="1:64" ht="21.75" customHeight="1">
      <c r="A44" s="2101"/>
      <c r="B44" s="970"/>
      <c r="C44" s="879" t="s">
        <v>1440</v>
      </c>
      <c r="D44" s="895" t="s">
        <v>386</v>
      </c>
      <c r="E44" s="881" t="s">
        <v>1434</v>
      </c>
      <c r="F44" s="881" t="s">
        <v>1428</v>
      </c>
      <c r="G44" s="956" t="s">
        <v>1435</v>
      </c>
      <c r="H44" s="948">
        <f aca="true" t="shared" si="16" ref="H44:AO44">841.93/840.86*H42</f>
        <v>63.76451103715276</v>
      </c>
      <c r="I44" s="948">
        <f t="shared" si="16"/>
        <v>0</v>
      </c>
      <c r="J44" s="948">
        <f t="shared" si="16"/>
        <v>-63.76451103715276</v>
      </c>
      <c r="K44" s="948">
        <f t="shared" si="16"/>
        <v>63.76451103715276</v>
      </c>
      <c r="L44" s="948">
        <f t="shared" si="16"/>
        <v>0</v>
      </c>
      <c r="M44" s="948">
        <f t="shared" si="16"/>
        <v>-63.76451103715276</v>
      </c>
      <c r="N44" s="948">
        <f t="shared" si="16"/>
        <v>63.76451103715276</v>
      </c>
      <c r="O44" s="948">
        <f t="shared" si="16"/>
        <v>0</v>
      </c>
      <c r="P44" s="948">
        <f t="shared" si="16"/>
        <v>-63.76451103715276</v>
      </c>
      <c r="Q44" s="948">
        <f t="shared" si="16"/>
        <v>63.76451103715276</v>
      </c>
      <c r="R44" s="948">
        <f t="shared" si="16"/>
        <v>0</v>
      </c>
      <c r="S44" s="948">
        <f t="shared" si="16"/>
        <v>-63.76451103715276</v>
      </c>
      <c r="T44" s="948">
        <f t="shared" si="16"/>
        <v>63.76451103715276</v>
      </c>
      <c r="U44" s="948">
        <f t="shared" si="16"/>
        <v>0</v>
      </c>
      <c r="V44" s="948">
        <f t="shared" si="16"/>
        <v>-63.76451103715276</v>
      </c>
      <c r="W44" s="948">
        <f t="shared" si="16"/>
        <v>63.76451103715276</v>
      </c>
      <c r="X44" s="951">
        <f t="shared" si="16"/>
        <v>0</v>
      </c>
      <c r="Y44" s="951">
        <f t="shared" si="16"/>
        <v>-63.76451103715276</v>
      </c>
      <c r="Z44" s="948">
        <f t="shared" si="16"/>
        <v>63.76451103715276</v>
      </c>
      <c r="AA44" s="948">
        <f t="shared" si="16"/>
        <v>0</v>
      </c>
      <c r="AB44" s="948">
        <f t="shared" si="16"/>
        <v>-63.76451103715276</v>
      </c>
      <c r="AC44" s="948">
        <f t="shared" si="16"/>
        <v>63.76451103715276</v>
      </c>
      <c r="AD44" s="948">
        <f t="shared" si="16"/>
        <v>0</v>
      </c>
      <c r="AE44" s="948">
        <f t="shared" si="16"/>
        <v>-63.76451103715276</v>
      </c>
      <c r="AF44" s="948">
        <f t="shared" si="16"/>
        <v>63.76451103715276</v>
      </c>
      <c r="AG44" s="948">
        <f t="shared" si="16"/>
        <v>0</v>
      </c>
      <c r="AH44" s="948">
        <f t="shared" si="16"/>
        <v>-63.76451103715276</v>
      </c>
      <c r="AI44" s="948">
        <f t="shared" si="16"/>
        <v>63.76451103715276</v>
      </c>
      <c r="AJ44" s="948">
        <f t="shared" si="16"/>
        <v>0</v>
      </c>
      <c r="AK44" s="948">
        <f t="shared" si="16"/>
        <v>-63.76451103715276</v>
      </c>
      <c r="AL44" s="948">
        <f t="shared" si="16"/>
        <v>63.76451103715276</v>
      </c>
      <c r="AM44" s="948">
        <f t="shared" si="16"/>
        <v>0</v>
      </c>
      <c r="AN44" s="948">
        <f t="shared" si="16"/>
        <v>-63.76451103715276</v>
      </c>
      <c r="AO44" s="948">
        <f t="shared" si="16"/>
        <v>63.76451103715276</v>
      </c>
      <c r="AP44" s="1032"/>
      <c r="AQ44" s="1033"/>
      <c r="AR44" s="1034">
        <f>SUMIF($H$5:$AQ$5,$AR$5,H44:AQ44)</f>
        <v>765.174132445833</v>
      </c>
      <c r="AS44" s="887">
        <f>SUMIF($H$5:$AQ$5,$AS$5,H44:AQ44)</f>
        <v>0</v>
      </c>
      <c r="AT44" s="899">
        <f>AS44-AR44</f>
        <v>-765.174132445833</v>
      </c>
      <c r="AU44" s="888">
        <f t="shared" si="7"/>
        <v>191.29353311145826</v>
      </c>
      <c r="AV44" s="889" t="e">
        <f>#N/A</f>
        <v>#N/A</v>
      </c>
      <c r="AW44" s="889" t="e">
        <f>#N/A</f>
        <v>#N/A</v>
      </c>
      <c r="AX44" s="888">
        <f t="shared" si="8"/>
        <v>191.29353311145826</v>
      </c>
      <c r="AY44" s="889" t="e">
        <f>#N/A</f>
        <v>#N/A</v>
      </c>
      <c r="AZ44" s="889" t="e">
        <f>#N/A</f>
        <v>#N/A</v>
      </c>
      <c r="BA44" s="888">
        <f t="shared" si="9"/>
        <v>191.29353311145826</v>
      </c>
      <c r="BB44" s="889" t="e">
        <f>#N/A</f>
        <v>#N/A</v>
      </c>
      <c r="BC44" s="889" t="e">
        <f>#N/A</f>
        <v>#N/A</v>
      </c>
      <c r="BD44" s="888">
        <f t="shared" si="10"/>
        <v>191.29353311145826</v>
      </c>
      <c r="BE44" s="991">
        <f t="shared" si="11"/>
        <v>0</v>
      </c>
      <c r="BF44" s="929">
        <f t="shared" si="12"/>
        <v>-191.29353311145826</v>
      </c>
      <c r="BG44" s="900">
        <f t="shared" si="13"/>
        <v>382.5870662229165</v>
      </c>
      <c r="BH44" s="901">
        <f t="shared" si="14"/>
        <v>382.5870662229165</v>
      </c>
      <c r="BI44" s="902">
        <f t="shared" si="15"/>
        <v>765.174132445833</v>
      </c>
      <c r="BJ44" s="893" t="s">
        <v>1436</v>
      </c>
      <c r="BK44" s="853"/>
      <c r="BL44"/>
    </row>
    <row r="45" spans="1:64" ht="36" customHeight="1">
      <c r="A45" s="2102"/>
      <c r="B45" s="970"/>
      <c r="C45" s="879" t="s">
        <v>1440</v>
      </c>
      <c r="D45" s="895" t="s">
        <v>386</v>
      </c>
      <c r="E45" s="881" t="s">
        <v>1437</v>
      </c>
      <c r="F45" s="881" t="s">
        <v>1428</v>
      </c>
      <c r="G45" s="960" t="s">
        <v>1438</v>
      </c>
      <c r="H45" s="943"/>
      <c r="I45" s="943"/>
      <c r="J45" s="884">
        <f>I45-H45</f>
        <v>0</v>
      </c>
      <c r="K45" s="943"/>
      <c r="L45" s="943"/>
      <c r="M45" s="884">
        <f>L45-K45</f>
        <v>0</v>
      </c>
      <c r="N45" s="943"/>
      <c r="O45" s="943"/>
      <c r="P45" s="884">
        <f>O45-N45</f>
        <v>0</v>
      </c>
      <c r="Q45" s="943"/>
      <c r="R45" s="943"/>
      <c r="S45" s="884">
        <f>R45-Q45</f>
        <v>0</v>
      </c>
      <c r="T45" s="943"/>
      <c r="U45" s="943"/>
      <c r="V45" s="884">
        <f>U45-T45</f>
        <v>0</v>
      </c>
      <c r="W45" s="943"/>
      <c r="X45" s="943"/>
      <c r="Y45" s="884">
        <f>X45-W45</f>
        <v>0</v>
      </c>
      <c r="Z45" s="943"/>
      <c r="AA45" s="943"/>
      <c r="AB45" s="884">
        <f>AA45-Z45</f>
        <v>0</v>
      </c>
      <c r="AC45" s="943"/>
      <c r="AD45" s="943"/>
      <c r="AE45" s="884">
        <f>AD45-AC45</f>
        <v>0</v>
      </c>
      <c r="AF45" s="943"/>
      <c r="AG45" s="943"/>
      <c r="AH45" s="884">
        <f>AG45-AF45</f>
        <v>0</v>
      </c>
      <c r="AI45" s="943"/>
      <c r="AJ45" s="943"/>
      <c r="AK45" s="884">
        <f>AJ45-AI45</f>
        <v>0</v>
      </c>
      <c r="AL45" s="943"/>
      <c r="AM45" s="943"/>
      <c r="AN45" s="884">
        <f>AM45-AL45</f>
        <v>0</v>
      </c>
      <c r="AO45" s="943"/>
      <c r="AP45" s="943"/>
      <c r="AQ45" s="967">
        <f>AP45-AO45</f>
        <v>0</v>
      </c>
      <c r="AR45" s="885">
        <f>SUMIF($H$5:$AQ$5,$AR$5,H45:AQ45)</f>
        <v>0</v>
      </c>
      <c r="AS45" s="969">
        <f>SUMIF($H$5:$AQ$5,$AS$5,H45:AQ45)</f>
        <v>0</v>
      </c>
      <c r="AT45" s="899">
        <f>AS45-AR45</f>
        <v>0</v>
      </c>
      <c r="AU45" s="888">
        <f t="shared" si="7"/>
        <v>0</v>
      </c>
      <c r="AV45" s="889" t="e">
        <f>#N/A</f>
        <v>#N/A</v>
      </c>
      <c r="AW45" s="889" t="e">
        <f>#N/A</f>
        <v>#N/A</v>
      </c>
      <c r="AX45" s="888">
        <f t="shared" si="8"/>
        <v>0</v>
      </c>
      <c r="AY45" s="889" t="e">
        <f>#N/A</f>
        <v>#N/A</v>
      </c>
      <c r="AZ45" s="889" t="e">
        <f>#N/A</f>
        <v>#N/A</v>
      </c>
      <c r="BA45" s="888">
        <f t="shared" si="9"/>
        <v>0</v>
      </c>
      <c r="BB45" s="889" t="e">
        <f>#N/A</f>
        <v>#N/A</v>
      </c>
      <c r="BC45" s="889" t="e">
        <f>#N/A</f>
        <v>#N/A</v>
      </c>
      <c r="BD45" s="888">
        <f t="shared" si="10"/>
        <v>0</v>
      </c>
      <c r="BE45" s="991">
        <f t="shared" si="11"/>
        <v>0</v>
      </c>
      <c r="BF45" s="929">
        <f t="shared" si="12"/>
        <v>0</v>
      </c>
      <c r="BG45" s="900">
        <f t="shared" si="13"/>
        <v>0</v>
      </c>
      <c r="BH45" s="901">
        <f t="shared" si="14"/>
        <v>0</v>
      </c>
      <c r="BI45" s="902">
        <f t="shared" si="15"/>
        <v>0</v>
      </c>
      <c r="BJ45" s="893"/>
      <c r="BK45" s="853"/>
      <c r="BL45"/>
    </row>
    <row r="46" spans="1:64" ht="24" customHeight="1">
      <c r="A46" s="961" t="s">
        <v>1278</v>
      </c>
      <c r="B46" s="961" t="s">
        <v>1278</v>
      </c>
      <c r="C46" s="962" t="s">
        <v>1278</v>
      </c>
      <c r="D46" s="961" t="s">
        <v>1278</v>
      </c>
      <c r="E46" s="961" t="s">
        <v>1278</v>
      </c>
      <c r="F46" s="961" t="s">
        <v>1278</v>
      </c>
      <c r="G46" s="961" t="s">
        <v>1278</v>
      </c>
      <c r="H46" s="961" t="s">
        <v>1278</v>
      </c>
      <c r="I46" s="961" t="s">
        <v>1278</v>
      </c>
      <c r="J46" s="961" t="s">
        <v>1278</v>
      </c>
      <c r="K46" s="961" t="s">
        <v>1278</v>
      </c>
      <c r="L46" s="961" t="s">
        <v>1278</v>
      </c>
      <c r="M46" s="961" t="s">
        <v>1278</v>
      </c>
      <c r="N46" s="961" t="s">
        <v>1278</v>
      </c>
      <c r="O46" s="961" t="s">
        <v>1278</v>
      </c>
      <c r="P46" s="961" t="s">
        <v>1278</v>
      </c>
      <c r="Q46" s="961" t="s">
        <v>1278</v>
      </c>
      <c r="R46" s="961" t="s">
        <v>1278</v>
      </c>
      <c r="S46" s="961" t="s">
        <v>1278</v>
      </c>
      <c r="T46" s="961" t="s">
        <v>1278</v>
      </c>
      <c r="U46" s="961" t="s">
        <v>1278</v>
      </c>
      <c r="V46" s="961" t="s">
        <v>1278</v>
      </c>
      <c r="W46" s="961" t="s">
        <v>1278</v>
      </c>
      <c r="X46" s="961" t="s">
        <v>1278</v>
      </c>
      <c r="Y46" s="961" t="s">
        <v>1278</v>
      </c>
      <c r="Z46" s="961" t="s">
        <v>1278</v>
      </c>
      <c r="AA46" s="961" t="s">
        <v>1278</v>
      </c>
      <c r="AB46" s="961" t="s">
        <v>1278</v>
      </c>
      <c r="AC46" s="961" t="s">
        <v>1278</v>
      </c>
      <c r="AD46" s="961" t="s">
        <v>1278</v>
      </c>
      <c r="AE46" s="961" t="s">
        <v>1278</v>
      </c>
      <c r="AF46" s="961" t="s">
        <v>1278</v>
      </c>
      <c r="AG46" s="961" t="s">
        <v>1278</v>
      </c>
      <c r="AH46" s="961" t="s">
        <v>1278</v>
      </c>
      <c r="AI46" s="961" t="s">
        <v>1278</v>
      </c>
      <c r="AJ46" s="961" t="s">
        <v>1278</v>
      </c>
      <c r="AK46" s="961" t="s">
        <v>1278</v>
      </c>
      <c r="AL46" s="961" t="s">
        <v>1278</v>
      </c>
      <c r="AM46" s="961" t="s">
        <v>1278</v>
      </c>
      <c r="AN46" s="961" t="s">
        <v>1278</v>
      </c>
      <c r="AO46" s="961" t="s">
        <v>1278</v>
      </c>
      <c r="AP46" s="961" t="s">
        <v>1278</v>
      </c>
      <c r="AQ46" s="961" t="s">
        <v>1278</v>
      </c>
      <c r="AR46" s="961" t="s">
        <v>1278</v>
      </c>
      <c r="AS46" s="963" t="s">
        <v>1278</v>
      </c>
      <c r="AT46" s="961" t="s">
        <v>1278</v>
      </c>
      <c r="AU46" s="961" t="s">
        <v>1278</v>
      </c>
      <c r="AV46" s="961" t="s">
        <v>1278</v>
      </c>
      <c r="AW46" s="961" t="s">
        <v>1278</v>
      </c>
      <c r="AX46" s="961" t="s">
        <v>1278</v>
      </c>
      <c r="AY46" s="961" t="s">
        <v>1278</v>
      </c>
      <c r="AZ46" s="961" t="s">
        <v>1278</v>
      </c>
      <c r="BA46" s="961" t="s">
        <v>1278</v>
      </c>
      <c r="BB46" s="961" t="s">
        <v>1278</v>
      </c>
      <c r="BC46" s="961" t="s">
        <v>1278</v>
      </c>
      <c r="BD46" s="961" t="s">
        <v>1278</v>
      </c>
      <c r="BE46" s="961" t="s">
        <v>1278</v>
      </c>
      <c r="BF46" s="961" t="s">
        <v>1278</v>
      </c>
      <c r="BG46" s="964" t="s">
        <v>1278</v>
      </c>
      <c r="BH46" s="964" t="s">
        <v>1278</v>
      </c>
      <c r="BI46" s="965" t="s">
        <v>1278</v>
      </c>
      <c r="BJ46" s="878"/>
      <c r="BK46" s="961" t="s">
        <v>1278</v>
      </c>
      <c r="BL46"/>
    </row>
    <row r="47" spans="1:64" ht="23.25" customHeight="1">
      <c r="A47" s="2100" t="s">
        <v>1441</v>
      </c>
      <c r="B47" s="966" t="s">
        <v>384</v>
      </c>
      <c r="C47" s="879" t="s">
        <v>1442</v>
      </c>
      <c r="D47" s="880" t="s">
        <v>386</v>
      </c>
      <c r="E47" s="881" t="s">
        <v>238</v>
      </c>
      <c r="F47" s="881" t="s">
        <v>387</v>
      </c>
      <c r="G47" s="882" t="s">
        <v>388</v>
      </c>
      <c r="H47" s="883">
        <f>SUM(H48:H49)</f>
        <v>55.0133083602979</v>
      </c>
      <c r="I47" s="883">
        <f>SUM(I48:I49)</f>
        <v>6.040569359027184</v>
      </c>
      <c r="J47" s="884" t="e">
        <f>#N/A</f>
        <v>#N/A</v>
      </c>
      <c r="K47" s="883">
        <f>SUM(K48:K49)</f>
        <v>50.12447985598911</v>
      </c>
      <c r="L47" s="883">
        <f>SUM(L48:L49)</f>
        <v>6.040569359027184</v>
      </c>
      <c r="M47" s="884">
        <f>L47-K47</f>
        <v>-44.08391049696193</v>
      </c>
      <c r="N47" s="883">
        <f>SUM(N48:N49)</f>
        <v>48.90200881129259</v>
      </c>
      <c r="O47" s="883">
        <f>SUM(O48:O49)</f>
        <v>6.040569359027184</v>
      </c>
      <c r="P47" s="884">
        <f>O47-N47</f>
        <v>-42.86143945226541</v>
      </c>
      <c r="Q47" s="883">
        <f>SUM(Q48:Q49)</f>
        <v>39.52867512747534</v>
      </c>
      <c r="R47" s="883">
        <f>SUM(R48:R49)</f>
        <v>6.040569359027184</v>
      </c>
      <c r="S47" s="884">
        <f>R47-Q47</f>
        <v>-33.48810576844816</v>
      </c>
      <c r="T47" s="883">
        <f>SUM(T48:T49)</f>
        <v>31.561499847402256</v>
      </c>
      <c r="U47" s="883">
        <f>SUM(U48:U49)</f>
        <v>0</v>
      </c>
      <c r="V47" s="884">
        <f>U47-T47</f>
        <v>-31.561499847402256</v>
      </c>
      <c r="W47" s="883">
        <f>SUM(W48:W49)</f>
        <v>10.973736191381958</v>
      </c>
      <c r="X47" s="883">
        <f>SUM(X48:X49)</f>
        <v>0</v>
      </c>
      <c r="Y47" s="884">
        <f>X47-W47</f>
        <v>-10.973736191381958</v>
      </c>
      <c r="Z47" s="883">
        <f>SUM(Z48:Z49)</f>
        <v>0</v>
      </c>
      <c r="AA47" s="883">
        <f>SUM(AA48:AA49)</f>
        <v>0</v>
      </c>
      <c r="AB47" s="884">
        <f>AA47-Z47</f>
        <v>0</v>
      </c>
      <c r="AC47" s="883">
        <f>SUM(AC48:AC49)</f>
        <v>0</v>
      </c>
      <c r="AD47" s="883">
        <f>SUM(AD48:AD49)</f>
        <v>0</v>
      </c>
      <c r="AE47" s="884">
        <f>AD47-AC47</f>
        <v>0</v>
      </c>
      <c r="AF47" s="883">
        <f>SUM(AF48:AF49)</f>
        <v>10.574691238968068</v>
      </c>
      <c r="AG47" s="883">
        <f>SUM(AG48:AG49)</f>
        <v>0</v>
      </c>
      <c r="AH47" s="884">
        <f>AG47-AF47</f>
        <v>-10.574691238968068</v>
      </c>
      <c r="AI47" s="883">
        <f>SUM(AI48:AI49)</f>
        <v>30.405536294774716</v>
      </c>
      <c r="AJ47" s="883">
        <f>SUM(AJ48:AJ49)</f>
        <v>6.040569359027184</v>
      </c>
      <c r="AK47" s="884">
        <f>AJ47-AI47</f>
        <v>-24.364966935747532</v>
      </c>
      <c r="AL47" s="883">
        <f>SUM(AL48:AL49)</f>
        <v>40.3278207067804</v>
      </c>
      <c r="AM47" s="883">
        <f>SUM(AM48:AM49)</f>
        <v>0</v>
      </c>
      <c r="AN47" s="884">
        <f>AM47-AL47</f>
        <v>-40.3278207067804</v>
      </c>
      <c r="AO47" s="883">
        <f>SUM(AO48:AO49)</f>
        <v>49.23243492268293</v>
      </c>
      <c r="AP47" s="883">
        <f>SUM(AP48:AP49)</f>
        <v>0</v>
      </c>
      <c r="AQ47" s="967">
        <f>AP47-AO47</f>
        <v>-49.23243492268293</v>
      </c>
      <c r="AR47" s="968">
        <f>SUMIF($H$5:$AQ$5,$AR$5,H47:AQ47)</f>
        <v>366.6441913570452</v>
      </c>
      <c r="AS47" s="969">
        <f>SUMIF($H$5:$AQ$5,$AS$5,H47:AQ47)</f>
        <v>30.20284679513592</v>
      </c>
      <c r="AT47" s="887" t="e">
        <f>#N/A</f>
        <v>#N/A</v>
      </c>
      <c r="AU47" s="888">
        <f>H47+K47+N47</f>
        <v>154.0397970275796</v>
      </c>
      <c r="AV47" s="889" t="e">
        <f>#N/A</f>
        <v>#N/A</v>
      </c>
      <c r="AW47" s="889" t="e">
        <f>#N/A</f>
        <v>#N/A</v>
      </c>
      <c r="AX47" s="888">
        <f>Q47+T47+W47</f>
        <v>82.06391116625956</v>
      </c>
      <c r="AY47" s="889" t="e">
        <f>#N/A</f>
        <v>#N/A</v>
      </c>
      <c r="AZ47" s="889" t="e">
        <f>#N/A</f>
        <v>#N/A</v>
      </c>
      <c r="BA47" s="888">
        <f>Z47+AC47+AF47</f>
        <v>10.574691238968068</v>
      </c>
      <c r="BB47" s="889" t="e">
        <f>#N/A</f>
        <v>#N/A</v>
      </c>
      <c r="BC47" s="889" t="e">
        <f>#N/A</f>
        <v>#N/A</v>
      </c>
      <c r="BD47" s="888">
        <f>AI47+AL47+AO47</f>
        <v>119.96579192423805</v>
      </c>
      <c r="BE47" s="889" t="e">
        <f>#N/A</f>
        <v>#N/A</v>
      </c>
      <c r="BF47" s="889" t="e">
        <f>#N/A</f>
        <v>#N/A</v>
      </c>
      <c r="BG47" s="890">
        <f>AU47+AX47</f>
        <v>236.10370819383917</v>
      </c>
      <c r="BH47" s="891">
        <f>BA47+BD47</f>
        <v>130.54048316320612</v>
      </c>
      <c r="BI47" s="905">
        <f>BG47+BH47</f>
        <v>366.6441913570453</v>
      </c>
      <c r="BJ47" s="893" t="s">
        <v>389</v>
      </c>
      <c r="BK47" s="853"/>
      <c r="BL47"/>
    </row>
    <row r="48" spans="1:64" ht="17.25" customHeight="1">
      <c r="A48" s="2101"/>
      <c r="B48" s="970" t="s">
        <v>390</v>
      </c>
      <c r="C48" s="879" t="s">
        <v>1442</v>
      </c>
      <c r="D48" s="895" t="s">
        <v>386</v>
      </c>
      <c r="E48" s="881" t="s">
        <v>240</v>
      </c>
      <c r="F48" s="881" t="s">
        <v>387</v>
      </c>
      <c r="G48" s="882" t="s">
        <v>20</v>
      </c>
      <c r="H48" s="888">
        <f>H49*0.01/0.99</f>
        <v>0.550133083602979</v>
      </c>
      <c r="I48" s="888">
        <f>I49*0.01/0.99</f>
        <v>0.06040569359027184</v>
      </c>
      <c r="J48" s="884" t="e">
        <f>#N/A</f>
        <v>#N/A</v>
      </c>
      <c r="K48" s="888">
        <f>K49*0.01/0.99</f>
        <v>0.5012447985598911</v>
      </c>
      <c r="L48" s="888">
        <f>L49*0.01/0.99</f>
        <v>0.06040569359027184</v>
      </c>
      <c r="M48" s="884">
        <f>L48-K48</f>
        <v>-0.4408391049696193</v>
      </c>
      <c r="N48" s="888">
        <f>N49*0.01/0.99</f>
        <v>0.4890200881129259</v>
      </c>
      <c r="O48" s="888">
        <f>O49*0.01/0.99</f>
        <v>0.06040569359027184</v>
      </c>
      <c r="P48" s="884">
        <f>O48-N48</f>
        <v>-0.42861439452265404</v>
      </c>
      <c r="Q48" s="888">
        <f>Q49*0.01/0.99</f>
        <v>0.3952867512747534</v>
      </c>
      <c r="R48" s="888">
        <f>R49*0.01/0.99</f>
        <v>0.06040569359027184</v>
      </c>
      <c r="S48" s="884">
        <f>R48-Q48</f>
        <v>-0.3348810576844815</v>
      </c>
      <c r="T48" s="888">
        <f>T49*0.01/0.99</f>
        <v>0.3156149984740226</v>
      </c>
      <c r="U48" s="888">
        <f>U49*0.01/0.99</f>
        <v>0</v>
      </c>
      <c r="V48" s="884">
        <f>U48-T48</f>
        <v>-0.3156149984740226</v>
      </c>
      <c r="W48" s="888">
        <f>W49*0.01/0.99</f>
        <v>0.1097373619138196</v>
      </c>
      <c r="X48" s="888">
        <f>X49*0.01/0.99</f>
        <v>0</v>
      </c>
      <c r="Y48" s="884">
        <f>X48-W48</f>
        <v>-0.1097373619138196</v>
      </c>
      <c r="Z48" s="888">
        <f>Z49*0.01/0.99</f>
        <v>0</v>
      </c>
      <c r="AA48" s="888">
        <f>AA49*0.01/0.99</f>
        <v>0</v>
      </c>
      <c r="AB48" s="884">
        <f>AA48-Z48</f>
        <v>0</v>
      </c>
      <c r="AC48" s="888">
        <f>AC49*0.01/0.99</f>
        <v>0</v>
      </c>
      <c r="AD48" s="888">
        <f>AD49*0.01/0.99</f>
        <v>0</v>
      </c>
      <c r="AE48" s="884">
        <f>AD48-AC48</f>
        <v>0</v>
      </c>
      <c r="AF48" s="888">
        <f>AF49*0.01/0.99</f>
        <v>0.1057469123896807</v>
      </c>
      <c r="AG48" s="888">
        <f>AG49*0.01/0.99</f>
        <v>0</v>
      </c>
      <c r="AH48" s="884">
        <f>AG48-AF48</f>
        <v>-0.1057469123896807</v>
      </c>
      <c r="AI48" s="888">
        <f>AI49*0.01/0.99</f>
        <v>0.30405536294774715</v>
      </c>
      <c r="AJ48" s="888">
        <f>AJ49*0.01/0.99</f>
        <v>0.06040569359027184</v>
      </c>
      <c r="AK48" s="884">
        <f>AJ48-AI48</f>
        <v>-0.2436496693574753</v>
      </c>
      <c r="AL48" s="888">
        <f>AL49*0.01/0.99</f>
        <v>0.403278207067804</v>
      </c>
      <c r="AM48" s="888">
        <f>AM49*0.01/0.99</f>
        <v>0</v>
      </c>
      <c r="AN48" s="884">
        <f>AM48-AL48</f>
        <v>-0.403278207067804</v>
      </c>
      <c r="AO48" s="888">
        <f>AO49*0.01/0.99</f>
        <v>0.4923243492268293</v>
      </c>
      <c r="AP48" s="888">
        <f>AP49*0.01/0.99</f>
        <v>0</v>
      </c>
      <c r="AQ48" s="967">
        <f>AP48-AO48</f>
        <v>-0.4923243492268293</v>
      </c>
      <c r="AR48" s="885">
        <f>SUMIF($H$5:$AQ$5,$AR$5,H48:AQ48)</f>
        <v>3.6664419135704525</v>
      </c>
      <c r="AS48" s="969">
        <f>SUMIF($H$5:$AQ$5,$AS$5,H48:AQ48)</f>
        <v>0.3020284679513592</v>
      </c>
      <c r="AT48" s="899" t="e">
        <f>#N/A</f>
        <v>#N/A</v>
      </c>
      <c r="AU48" s="888">
        <f>H48+K48+N48</f>
        <v>1.540397970275796</v>
      </c>
      <c r="AV48" s="889" t="e">
        <f>#N/A</f>
        <v>#N/A</v>
      </c>
      <c r="AW48" s="889" t="e">
        <f>#N/A</f>
        <v>#N/A</v>
      </c>
      <c r="AX48" s="888">
        <f>Q48+T48+W48</f>
        <v>0.8206391116625955</v>
      </c>
      <c r="AY48" s="889" t="e">
        <f>#N/A</f>
        <v>#N/A</v>
      </c>
      <c r="AZ48" s="889" t="e">
        <f>#N/A</f>
        <v>#N/A</v>
      </c>
      <c r="BA48" s="888">
        <f>Z48+AC48+AF48</f>
        <v>0.1057469123896807</v>
      </c>
      <c r="BB48" s="889" t="e">
        <f>#N/A</f>
        <v>#N/A</v>
      </c>
      <c r="BC48" s="889" t="e">
        <f>#N/A</f>
        <v>#N/A</v>
      </c>
      <c r="BD48" s="888">
        <f>AI48+AL48+AO48</f>
        <v>1.1996579192423806</v>
      </c>
      <c r="BE48" s="889" t="e">
        <f>#N/A</f>
        <v>#N/A</v>
      </c>
      <c r="BF48" s="889" t="e">
        <f>#N/A</f>
        <v>#N/A</v>
      </c>
      <c r="BG48" s="890">
        <f>AU48+AX48</f>
        <v>2.3610370819383917</v>
      </c>
      <c r="BH48" s="891">
        <f>BA48+BD48</f>
        <v>1.3054048316320612</v>
      </c>
      <c r="BI48" s="905">
        <f>BG48+BH48</f>
        <v>3.666441913570453</v>
      </c>
      <c r="BJ48" s="893" t="s">
        <v>21</v>
      </c>
      <c r="BK48" s="853"/>
      <c r="BL48"/>
    </row>
    <row r="49" spans="1:64" ht="15" customHeight="1">
      <c r="A49" s="2101"/>
      <c r="B49" s="970"/>
      <c r="C49" s="879" t="s">
        <v>1442</v>
      </c>
      <c r="D49" s="895" t="s">
        <v>386</v>
      </c>
      <c r="E49" s="881" t="s">
        <v>241</v>
      </c>
      <c r="F49" s="881" t="s">
        <v>387</v>
      </c>
      <c r="G49" s="882" t="s">
        <v>22</v>
      </c>
      <c r="H49" s="903">
        <f>SUM(H50,H52)</f>
        <v>54.46317527669492</v>
      </c>
      <c r="I49" s="904">
        <f>SUM(I50,I52)</f>
        <v>5.980163665436912</v>
      </c>
      <c r="J49" s="884" t="e">
        <f>#N/A</f>
        <v>#N/A</v>
      </c>
      <c r="K49" s="903">
        <f>SUM(K50,K52)</f>
        <v>49.62323505742922</v>
      </c>
      <c r="L49" s="904">
        <f>SUM(L50,L52)</f>
        <v>5.980163665436912</v>
      </c>
      <c r="M49" s="884">
        <f>L49-K49</f>
        <v>-43.64307139199231</v>
      </c>
      <c r="N49" s="903">
        <f>SUM(N50,N52)</f>
        <v>48.412988723179666</v>
      </c>
      <c r="O49" s="904">
        <f>SUM(O50,O52)</f>
        <v>5.980163665436912</v>
      </c>
      <c r="P49" s="884">
        <f>O49-N49</f>
        <v>-42.432825057742754</v>
      </c>
      <c r="Q49" s="903">
        <f>SUM(Q50,Q52)</f>
        <v>39.133388376200585</v>
      </c>
      <c r="R49" s="904">
        <f>SUM(R50,R52)</f>
        <v>5.980163665436912</v>
      </c>
      <c r="S49" s="884">
        <f>R49-Q49</f>
        <v>-33.15322471076367</v>
      </c>
      <c r="T49" s="903">
        <f>SUM(T50,T52)</f>
        <v>31.245884848928235</v>
      </c>
      <c r="U49" s="904">
        <f>SUM(U50,U52)</f>
        <v>0</v>
      </c>
      <c r="V49" s="884">
        <f>U49-T49</f>
        <v>-31.245884848928235</v>
      </c>
      <c r="W49" s="903">
        <f>SUM(W50,W52)</f>
        <v>10.863998829468139</v>
      </c>
      <c r="X49" s="904">
        <f>SUM(X50,X52)</f>
        <v>0</v>
      </c>
      <c r="Y49" s="884">
        <f>X49-W49</f>
        <v>-10.863998829468139</v>
      </c>
      <c r="Z49" s="903">
        <f>SUM(Z50,Z52)</f>
        <v>0</v>
      </c>
      <c r="AA49" s="904">
        <f>SUM(AA50,AA52)</f>
        <v>0</v>
      </c>
      <c r="AB49" s="884">
        <f>AA49-Z49</f>
        <v>0</v>
      </c>
      <c r="AC49" s="903">
        <f>SUM(AC50,AC52)</f>
        <v>0</v>
      </c>
      <c r="AD49" s="904">
        <f>SUM(AD50,AD52)</f>
        <v>0</v>
      </c>
      <c r="AE49" s="884">
        <f>AD49-AC49</f>
        <v>0</v>
      </c>
      <c r="AF49" s="903">
        <f>SUM(AF50,AF52)</f>
        <v>10.468944326578388</v>
      </c>
      <c r="AG49" s="904">
        <f>SUM(AG50,AG52)</f>
        <v>0</v>
      </c>
      <c r="AH49" s="884">
        <f>AG49-AF49</f>
        <v>-10.468944326578388</v>
      </c>
      <c r="AI49" s="903">
        <f>SUM(AI50,AI52)</f>
        <v>30.10148093182697</v>
      </c>
      <c r="AJ49" s="904">
        <f>SUM(AJ50,AJ52)</f>
        <v>5.980163665436912</v>
      </c>
      <c r="AK49" s="884">
        <f>AJ49-AI49</f>
        <v>-24.121317266390058</v>
      </c>
      <c r="AL49" s="903">
        <f>SUM(AL50,AL52)</f>
        <v>39.924542499712594</v>
      </c>
      <c r="AM49" s="904">
        <f>SUM(AM50,AM52)</f>
        <v>0</v>
      </c>
      <c r="AN49" s="884">
        <f>AM49-AL49</f>
        <v>-39.924542499712594</v>
      </c>
      <c r="AO49" s="903">
        <f>SUM(AO50,AO52)</f>
        <v>48.7401105734561</v>
      </c>
      <c r="AP49" s="904">
        <f>SUM(AP50,AP52)</f>
        <v>0</v>
      </c>
      <c r="AQ49" s="967">
        <f>AP49-AO49</f>
        <v>-48.7401105734561</v>
      </c>
      <c r="AR49" s="885">
        <f>SUMIF($H$5:$AQ$5,$AR$5,H49:AQ49)</f>
        <v>362.9777494434748</v>
      </c>
      <c r="AS49" s="969">
        <f>SUMIF($H$5:$AQ$5,$AS$5,H49:AQ49)</f>
        <v>29.90081832718456</v>
      </c>
      <c r="AT49" s="887" t="e">
        <f>#N/A</f>
        <v>#N/A</v>
      </c>
      <c r="AU49" s="888">
        <f>H49+K49+N49</f>
        <v>152.4993990573038</v>
      </c>
      <c r="AV49" s="889" t="e">
        <f>#N/A</f>
        <v>#N/A</v>
      </c>
      <c r="AW49" s="889" t="e">
        <f>#N/A</f>
        <v>#N/A</v>
      </c>
      <c r="AX49" s="888">
        <f>Q49+T49+W49</f>
        <v>81.24327205459697</v>
      </c>
      <c r="AY49" s="889" t="e">
        <f>#N/A</f>
        <v>#N/A</v>
      </c>
      <c r="AZ49" s="889" t="e">
        <f>#N/A</f>
        <v>#N/A</v>
      </c>
      <c r="BA49" s="888">
        <f>Z49+AC49+AF49</f>
        <v>10.468944326578388</v>
      </c>
      <c r="BB49" s="889" t="e">
        <f>#N/A</f>
        <v>#N/A</v>
      </c>
      <c r="BC49" s="889" t="e">
        <f>#N/A</f>
        <v>#N/A</v>
      </c>
      <c r="BD49" s="888">
        <f>AI49+AL49+AO49</f>
        <v>118.76613400499565</v>
      </c>
      <c r="BE49" s="889" t="e">
        <f>#N/A</f>
        <v>#N/A</v>
      </c>
      <c r="BF49" s="889" t="e">
        <f>#N/A</f>
        <v>#N/A</v>
      </c>
      <c r="BG49" s="890">
        <f>AU49+AX49</f>
        <v>233.7426711119008</v>
      </c>
      <c r="BH49" s="891">
        <f>BA49+BD49</f>
        <v>129.23507833157404</v>
      </c>
      <c r="BI49" s="905">
        <f>BG49+BH49</f>
        <v>362.97774944347486</v>
      </c>
      <c r="BJ49" s="893" t="s">
        <v>23</v>
      </c>
      <c r="BK49" s="853"/>
      <c r="BL49"/>
    </row>
    <row r="50" spans="1:64" ht="20.25" customHeight="1">
      <c r="A50" s="2101"/>
      <c r="B50" s="970"/>
      <c r="C50" s="879" t="s">
        <v>1442</v>
      </c>
      <c r="D50" s="895" t="s">
        <v>386</v>
      </c>
      <c r="E50" s="881" t="s">
        <v>242</v>
      </c>
      <c r="F50" s="881" t="s">
        <v>387</v>
      </c>
      <c r="G50" s="906" t="s">
        <v>1415</v>
      </c>
      <c r="H50" s="971">
        <f aca="true" t="shared" si="17" ref="H50:AO50">H52*0.04317/(1-0.04317)</f>
        <v>2.35117527669492</v>
      </c>
      <c r="I50" s="971">
        <f t="shared" si="17"/>
        <v>0.2581636654369115</v>
      </c>
      <c r="J50" s="971" t="e">
        <f t="shared" si="17"/>
        <v>#N/A</v>
      </c>
      <c r="K50" s="971">
        <f t="shared" si="17"/>
        <v>2.14223505742922</v>
      </c>
      <c r="L50" s="971">
        <f t="shared" si="17"/>
        <v>0.2581636654369115</v>
      </c>
      <c r="M50" s="971">
        <f t="shared" si="17"/>
        <v>-1.884071391992308</v>
      </c>
      <c r="N50" s="971">
        <f t="shared" si="17"/>
        <v>2.0899887231796663</v>
      </c>
      <c r="O50" s="971">
        <f t="shared" si="17"/>
        <v>0.2581636654369115</v>
      </c>
      <c r="P50" s="971">
        <f t="shared" si="17"/>
        <v>-1.8318250577427546</v>
      </c>
      <c r="Q50" s="971">
        <f t="shared" si="17"/>
        <v>1.6893883762005792</v>
      </c>
      <c r="R50" s="971">
        <f t="shared" si="17"/>
        <v>0.2581636654369115</v>
      </c>
      <c r="S50" s="971">
        <f t="shared" si="17"/>
        <v>-1.4312247107636678</v>
      </c>
      <c r="T50" s="971">
        <f t="shared" si="17"/>
        <v>1.348884848928232</v>
      </c>
      <c r="U50" s="971">
        <f t="shared" si="17"/>
        <v>0</v>
      </c>
      <c r="V50" s="971">
        <f t="shared" si="17"/>
        <v>-1.348884848928232</v>
      </c>
      <c r="W50" s="971">
        <f t="shared" si="17"/>
        <v>0.4689988294681396</v>
      </c>
      <c r="X50" s="972">
        <f t="shared" si="17"/>
        <v>0</v>
      </c>
      <c r="Y50" s="972">
        <f t="shared" si="17"/>
        <v>-0.4689988294681396</v>
      </c>
      <c r="Z50" s="971">
        <f t="shared" si="17"/>
        <v>0</v>
      </c>
      <c r="AA50" s="971">
        <f t="shared" si="17"/>
        <v>0</v>
      </c>
      <c r="AB50" s="971">
        <f t="shared" si="17"/>
        <v>0</v>
      </c>
      <c r="AC50" s="971">
        <f t="shared" si="17"/>
        <v>0</v>
      </c>
      <c r="AD50" s="971">
        <f t="shared" si="17"/>
        <v>0</v>
      </c>
      <c r="AE50" s="971">
        <f t="shared" si="17"/>
        <v>0</v>
      </c>
      <c r="AF50" s="971">
        <f t="shared" si="17"/>
        <v>0.45194432657838907</v>
      </c>
      <c r="AG50" s="971">
        <f t="shared" si="17"/>
        <v>0</v>
      </c>
      <c r="AH50" s="971">
        <f t="shared" si="17"/>
        <v>-0.45194432657838907</v>
      </c>
      <c r="AI50" s="971">
        <f t="shared" si="17"/>
        <v>1.2994809318269702</v>
      </c>
      <c r="AJ50" s="971">
        <f t="shared" si="17"/>
        <v>0.2581636654369115</v>
      </c>
      <c r="AK50" s="971">
        <f t="shared" si="17"/>
        <v>-1.0413172663900587</v>
      </c>
      <c r="AL50" s="971">
        <f t="shared" si="17"/>
        <v>1.7235424997125925</v>
      </c>
      <c r="AM50" s="971">
        <f t="shared" si="17"/>
        <v>0</v>
      </c>
      <c r="AN50" s="971">
        <f t="shared" si="17"/>
        <v>-1.7235424997125925</v>
      </c>
      <c r="AO50" s="971">
        <f t="shared" si="17"/>
        <v>2.1041105734561</v>
      </c>
      <c r="AP50" s="888">
        <f>AP52*0.018/(1-0.018)</f>
        <v>0</v>
      </c>
      <c r="AQ50" s="967">
        <f>AP50-AO50</f>
        <v>-2.1041105734561</v>
      </c>
      <c r="AR50" s="909">
        <f>H50+K50+N50+Q50+T50+W50+Z50+AC50+AF50+AI50+AL50+AO50</f>
        <v>15.66974944347481</v>
      </c>
      <c r="AS50" s="969">
        <f>SUMIF($H$5:$AQ$5,$AS$5,H50:AQ50)</f>
        <v>1.2908183271845575</v>
      </c>
      <c r="AT50" s="899" t="e">
        <f>#N/A</f>
        <v>#N/A</v>
      </c>
      <c r="AU50" s="888">
        <f>H50+K50+N50</f>
        <v>6.583399057303806</v>
      </c>
      <c r="AV50" s="889" t="e">
        <f>#N/A</f>
        <v>#N/A</v>
      </c>
      <c r="AW50" s="889" t="e">
        <f>#N/A</f>
        <v>#N/A</v>
      </c>
      <c r="AX50" s="888">
        <f>Q50+T50+W50</f>
        <v>3.5072720545969505</v>
      </c>
      <c r="AY50" s="889" t="e">
        <f>#N/A</f>
        <v>#N/A</v>
      </c>
      <c r="AZ50" s="889" t="e">
        <f>#N/A</f>
        <v>#N/A</v>
      </c>
      <c r="BA50" s="888">
        <f>Z50+AC50+AF50</f>
        <v>0.45194432657838907</v>
      </c>
      <c r="BB50" s="889" t="e">
        <f>#N/A</f>
        <v>#N/A</v>
      </c>
      <c r="BC50" s="889" t="e">
        <f>#N/A</f>
        <v>#N/A</v>
      </c>
      <c r="BD50" s="888">
        <f>AI50+AL50+AO50</f>
        <v>5.127134004995662</v>
      </c>
      <c r="BE50" s="889" t="e">
        <f>#N/A</f>
        <v>#N/A</v>
      </c>
      <c r="BF50" s="889" t="e">
        <f>#N/A</f>
        <v>#N/A</v>
      </c>
      <c r="BG50" s="890">
        <f>AU50+AX50</f>
        <v>10.090671111900757</v>
      </c>
      <c r="BH50" s="891">
        <f>BA50+BD50</f>
        <v>5.579078331574052</v>
      </c>
      <c r="BI50" s="905">
        <f>BG50+BH50</f>
        <v>15.66974944347481</v>
      </c>
      <c r="BJ50" s="893" t="s">
        <v>1416</v>
      </c>
      <c r="BK50" s="853"/>
      <c r="BL50"/>
    </row>
    <row r="51" spans="1:64" ht="18.75" customHeight="1">
      <c r="A51" s="2101"/>
      <c r="B51" s="970"/>
      <c r="C51" s="879" t="s">
        <v>1442</v>
      </c>
      <c r="D51" s="895" t="s">
        <v>386</v>
      </c>
      <c r="E51" s="881" t="s">
        <v>243</v>
      </c>
      <c r="F51" s="881" t="s">
        <v>387</v>
      </c>
      <c r="G51" s="882" t="s">
        <v>1417</v>
      </c>
      <c r="H51" s="910">
        <f>IF(H49&gt;0,ROUND(H50/H49,3),0%)</f>
        <v>0.043</v>
      </c>
      <c r="I51" s="910">
        <f>IF(I49&gt;0,ROUND(I50/I49,3),0%)</f>
        <v>0.043</v>
      </c>
      <c r="J51" s="910" t="e">
        <f>#N/A</f>
        <v>#N/A</v>
      </c>
      <c r="K51" s="910">
        <f>IF(K49&gt;0,ROUND(K50/K49,3),0%)</f>
        <v>0.043</v>
      </c>
      <c r="L51" s="910" t="e">
        <f>#N/A</f>
        <v>#N/A</v>
      </c>
      <c r="M51" s="910" t="e">
        <f>#N/A</f>
        <v>#N/A</v>
      </c>
      <c r="N51" s="910">
        <f>IF(N49&gt;0,ROUND(N50/N49,3),0%)</f>
        <v>0.043</v>
      </c>
      <c r="O51" s="910" t="e">
        <f>#N/A</f>
        <v>#N/A</v>
      </c>
      <c r="P51" s="910" t="e">
        <f>#N/A</f>
        <v>#N/A</v>
      </c>
      <c r="Q51" s="910">
        <f>IF(Q49&gt;0,ROUND(Q50/Q49,3),0%)</f>
        <v>0.043</v>
      </c>
      <c r="R51" s="910" t="e">
        <f>#N/A</f>
        <v>#N/A</v>
      </c>
      <c r="S51" s="910" t="e">
        <f>#N/A</f>
        <v>#N/A</v>
      </c>
      <c r="T51" s="910">
        <f>IF(T49&gt;0,ROUND(T50/T49,3),0%)</f>
        <v>0.043</v>
      </c>
      <c r="U51" s="910" t="e">
        <f>#N/A</f>
        <v>#N/A</v>
      </c>
      <c r="V51" s="910" t="e">
        <f>#N/A</f>
        <v>#N/A</v>
      </c>
      <c r="W51" s="910">
        <f>IF(W49&gt;0,ROUND(W50/W49,3),0%)</f>
        <v>0.043</v>
      </c>
      <c r="X51" s="910" t="e">
        <f>#N/A</f>
        <v>#N/A</v>
      </c>
      <c r="Y51" s="910" t="e">
        <f>#N/A</f>
        <v>#N/A</v>
      </c>
      <c r="Z51" s="910">
        <f>IF(Z49&gt;0,ROUND(Z50/Z49,3),0%)</f>
        <v>0</v>
      </c>
      <c r="AA51" s="910" t="e">
        <f>#N/A</f>
        <v>#N/A</v>
      </c>
      <c r="AB51" s="910" t="e">
        <f>#N/A</f>
        <v>#N/A</v>
      </c>
      <c r="AC51" s="910">
        <f>IF(AC49&gt;0,ROUND(AC50/AC49,3),0%)</f>
        <v>0</v>
      </c>
      <c r="AD51" s="910" t="e">
        <f>#N/A</f>
        <v>#N/A</v>
      </c>
      <c r="AE51" s="910" t="e">
        <f>#N/A</f>
        <v>#N/A</v>
      </c>
      <c r="AF51" s="910">
        <f>IF(AF49&gt;0,ROUND(AF50/AF49,3),0%)</f>
        <v>0.043</v>
      </c>
      <c r="AG51" s="910" t="e">
        <f>#N/A</f>
        <v>#N/A</v>
      </c>
      <c r="AH51" s="910" t="e">
        <f>#N/A</f>
        <v>#N/A</v>
      </c>
      <c r="AI51" s="910">
        <f>IF(AI49&gt;0,ROUND(AI50/AI49,3),0%)</f>
        <v>0.043</v>
      </c>
      <c r="AJ51" s="910" t="e">
        <f>#N/A</f>
        <v>#N/A</v>
      </c>
      <c r="AK51" s="910" t="e">
        <f>#N/A</f>
        <v>#N/A</v>
      </c>
      <c r="AL51" s="910">
        <f>IF(AL49&gt;0,ROUND(AL50/AL49,3),0%)</f>
        <v>0.043</v>
      </c>
      <c r="AM51" s="910" t="e">
        <f>#N/A</f>
        <v>#N/A</v>
      </c>
      <c r="AN51" s="910" t="e">
        <f>#N/A</f>
        <v>#N/A</v>
      </c>
      <c r="AO51" s="910">
        <f>IF(AO49&gt;0,ROUND(AO50/AO49,3),0%)</f>
        <v>0.043</v>
      </c>
      <c r="AP51" s="910" t="e">
        <f>#N/A</f>
        <v>#N/A</v>
      </c>
      <c r="AQ51" s="1035" t="e">
        <f>#N/A</f>
        <v>#N/A</v>
      </c>
      <c r="AR51" s="911">
        <f aca="true" t="shared" si="18" ref="AR51:BI51">IF(AR49&gt;0,ROUND(AR50/AR49,3),0%)</f>
        <v>0.043</v>
      </c>
      <c r="AS51" s="911">
        <f t="shared" si="18"/>
        <v>0.043</v>
      </c>
      <c r="AT51" s="911" t="e">
        <f t="shared" si="18"/>
        <v>#N/A</v>
      </c>
      <c r="AU51" s="1036">
        <f t="shared" si="18"/>
        <v>0.043</v>
      </c>
      <c r="AV51" s="1036" t="e">
        <f t="shared" si="18"/>
        <v>#N/A</v>
      </c>
      <c r="AW51" s="1036" t="e">
        <f t="shared" si="18"/>
        <v>#N/A</v>
      </c>
      <c r="AX51" s="1036">
        <f t="shared" si="18"/>
        <v>0.043</v>
      </c>
      <c r="AY51" s="1036" t="e">
        <f t="shared" si="18"/>
        <v>#N/A</v>
      </c>
      <c r="AZ51" s="1036" t="e">
        <f t="shared" si="18"/>
        <v>#N/A</v>
      </c>
      <c r="BA51" s="1036">
        <f t="shared" si="18"/>
        <v>0.043</v>
      </c>
      <c r="BB51" s="1036" t="e">
        <f t="shared" si="18"/>
        <v>#N/A</v>
      </c>
      <c r="BC51" s="1036" t="e">
        <f t="shared" si="18"/>
        <v>#N/A</v>
      </c>
      <c r="BD51" s="1036">
        <f t="shared" si="18"/>
        <v>0.043</v>
      </c>
      <c r="BE51" s="1036" t="e">
        <f t="shared" si="18"/>
        <v>#N/A</v>
      </c>
      <c r="BF51" s="1036" t="e">
        <f t="shared" si="18"/>
        <v>#N/A</v>
      </c>
      <c r="BG51" s="1036">
        <f t="shared" si="18"/>
        <v>0.043</v>
      </c>
      <c r="BH51" s="1036">
        <f t="shared" si="18"/>
        <v>0.043</v>
      </c>
      <c r="BI51" s="1036">
        <f t="shared" si="18"/>
        <v>0.043</v>
      </c>
      <c r="BJ51" s="893"/>
      <c r="BK51" s="853"/>
      <c r="BL51"/>
    </row>
    <row r="52" spans="1:64" ht="18" customHeight="1">
      <c r="A52" s="2101"/>
      <c r="B52" s="970"/>
      <c r="C52" s="879" t="s">
        <v>1442</v>
      </c>
      <c r="D52" s="895" t="s">
        <v>386</v>
      </c>
      <c r="E52" s="881" t="s">
        <v>244</v>
      </c>
      <c r="F52" s="881" t="s">
        <v>387</v>
      </c>
      <c r="G52" s="882" t="s">
        <v>1418</v>
      </c>
      <c r="H52" s="904">
        <f>SUM(H54:H55)</f>
        <v>52.112</v>
      </c>
      <c r="I52" s="904">
        <f>SUM(I54:I55)</f>
        <v>5.722</v>
      </c>
      <c r="J52" s="884" t="e">
        <f>#N/A</f>
        <v>#N/A</v>
      </c>
      <c r="K52" s="904">
        <f>SUM(K54:K55)</f>
        <v>47.481</v>
      </c>
      <c r="L52" s="904">
        <f>SUM(L54:L55)</f>
        <v>5.722</v>
      </c>
      <c r="M52" s="884">
        <f>L52-K52</f>
        <v>-41.759</v>
      </c>
      <c r="N52" s="904">
        <f>SUM(N54:N55)</f>
        <v>46.323</v>
      </c>
      <c r="O52" s="904">
        <f>SUM(O54:O55)</f>
        <v>5.722</v>
      </c>
      <c r="P52" s="884">
        <f>O52-N52</f>
        <v>-40.601</v>
      </c>
      <c r="Q52" s="904">
        <f>SUM(Q54:Q55)</f>
        <v>37.444</v>
      </c>
      <c r="R52" s="904">
        <f>SUM(R54:R55)</f>
        <v>5.722</v>
      </c>
      <c r="S52" s="884">
        <f>R52-Q52</f>
        <v>-31.722</v>
      </c>
      <c r="T52" s="904">
        <f>SUM(T54:T55)</f>
        <v>29.897000000000002</v>
      </c>
      <c r="U52" s="904">
        <f>SUM(U54:U55)</f>
        <v>0</v>
      </c>
      <c r="V52" s="884">
        <f>U52-T52</f>
        <v>-29.897000000000002</v>
      </c>
      <c r="W52" s="904">
        <f>SUM(W54:W55)</f>
        <v>10.395</v>
      </c>
      <c r="X52" s="904">
        <f>SUM(X54:X55)</f>
        <v>0</v>
      </c>
      <c r="Y52" s="884">
        <f>X52-W52</f>
        <v>-10.395</v>
      </c>
      <c r="Z52" s="904">
        <f>SUM(Z54:Z55)</f>
        <v>0</v>
      </c>
      <c r="AA52" s="904">
        <f>SUM(AA54:AA55)</f>
        <v>0</v>
      </c>
      <c r="AB52" s="884">
        <f>AA52-Z52</f>
        <v>0</v>
      </c>
      <c r="AC52" s="904">
        <f>SUM(AC54:AC55)</f>
        <v>0</v>
      </c>
      <c r="AD52" s="904">
        <f>SUM(AD54:AD55)</f>
        <v>0</v>
      </c>
      <c r="AE52" s="884">
        <f>AD52-AC52</f>
        <v>0</v>
      </c>
      <c r="AF52" s="904">
        <f>SUM(AF54:AF55)</f>
        <v>10.017</v>
      </c>
      <c r="AG52" s="904">
        <f>SUM(AG54:AG55)</f>
        <v>0</v>
      </c>
      <c r="AH52" s="884">
        <f>AG52-AF52</f>
        <v>-10.017</v>
      </c>
      <c r="AI52" s="904">
        <f>SUM(AI54:AI55)</f>
        <v>28.802</v>
      </c>
      <c r="AJ52" s="904">
        <f>SUM(AJ54:AJ55)</f>
        <v>5.722</v>
      </c>
      <c r="AK52" s="884">
        <f>AJ52-AI52</f>
        <v>-23.08</v>
      </c>
      <c r="AL52" s="904">
        <f>SUM(AL54:AL55)</f>
        <v>38.201</v>
      </c>
      <c r="AM52" s="904"/>
      <c r="AN52" s="884">
        <f>AM52-AL52</f>
        <v>-38.201</v>
      </c>
      <c r="AO52" s="904">
        <f>SUM(AO54:AO55)</f>
        <v>46.636</v>
      </c>
      <c r="AP52" s="904"/>
      <c r="AQ52" s="967">
        <f>AP52-AO52</f>
        <v>-46.636</v>
      </c>
      <c r="AR52" s="885">
        <f>SUMIF($H$5:$AQ$5,$AR$5,H52:AQ52)</f>
        <v>347.30800000000005</v>
      </c>
      <c r="AS52" s="969">
        <f>SUMIF($H$5:$AQ$5,$AS$5,H52:AQ52)</f>
        <v>28.610000000000003</v>
      </c>
      <c r="AT52" s="887" t="e">
        <f>#N/A</f>
        <v>#N/A</v>
      </c>
      <c r="AU52" s="888">
        <f aca="true" t="shared" si="19" ref="AU52:AU65">H52+K52+N52</f>
        <v>145.916</v>
      </c>
      <c r="AV52" s="889" t="e">
        <f>#N/A</f>
        <v>#N/A</v>
      </c>
      <c r="AW52" s="889" t="e">
        <f>#N/A</f>
        <v>#N/A</v>
      </c>
      <c r="AX52" s="888">
        <f aca="true" t="shared" si="20" ref="AX52:AX65">Q52+T52+W52</f>
        <v>77.736</v>
      </c>
      <c r="AY52" s="889" t="e">
        <f>#N/A</f>
        <v>#N/A</v>
      </c>
      <c r="AZ52" s="889" t="e">
        <f>#N/A</f>
        <v>#N/A</v>
      </c>
      <c r="BA52" s="888">
        <f aca="true" t="shared" si="21" ref="BA52:BA65">Z52+AC52+AF52</f>
        <v>10.017</v>
      </c>
      <c r="BB52" s="889" t="e">
        <f>#N/A</f>
        <v>#N/A</v>
      </c>
      <c r="BC52" s="889" t="e">
        <f>#N/A</f>
        <v>#N/A</v>
      </c>
      <c r="BD52" s="888">
        <f aca="true" t="shared" si="22" ref="BD52:BD65">AI52+AL52+AO52</f>
        <v>113.63900000000001</v>
      </c>
      <c r="BE52" s="889" t="e">
        <f>#N/A</f>
        <v>#N/A</v>
      </c>
      <c r="BF52" s="889" t="e">
        <f>#N/A</f>
        <v>#N/A</v>
      </c>
      <c r="BG52" s="890">
        <f aca="true" t="shared" si="23" ref="BG52:BG65">AU52+AX52</f>
        <v>223.652</v>
      </c>
      <c r="BH52" s="891">
        <f aca="true" t="shared" si="24" ref="BH52:BH65">BA52+BD52</f>
        <v>123.656</v>
      </c>
      <c r="BI52" s="905">
        <f aca="true" t="shared" si="25" ref="BI52:BI65">BG52+BH52</f>
        <v>347.308</v>
      </c>
      <c r="BJ52" s="893" t="s">
        <v>1419</v>
      </c>
      <c r="BK52" s="853"/>
      <c r="BL52"/>
    </row>
    <row r="53" spans="1:64" ht="12" customHeight="1">
      <c r="A53" s="2101"/>
      <c r="B53" s="970"/>
      <c r="C53" s="879" t="s">
        <v>1442</v>
      </c>
      <c r="D53" s="895" t="s">
        <v>386</v>
      </c>
      <c r="E53" s="881"/>
      <c r="F53" s="881"/>
      <c r="G53" s="916" t="s">
        <v>1686</v>
      </c>
      <c r="H53" s="917"/>
      <c r="I53" s="917"/>
      <c r="J53" s="917"/>
      <c r="K53" s="976"/>
      <c r="L53" s="917"/>
      <c r="M53" s="977"/>
      <c r="N53" s="917"/>
      <c r="O53" s="978"/>
      <c r="P53" s="917"/>
      <c r="Q53" s="917"/>
      <c r="R53" s="917"/>
      <c r="S53" s="917"/>
      <c r="T53" s="917"/>
      <c r="U53" s="917"/>
      <c r="V53" s="917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7"/>
      <c r="AH53" s="917"/>
      <c r="AI53" s="917"/>
      <c r="AJ53" s="917"/>
      <c r="AK53" s="976"/>
      <c r="AL53" s="917"/>
      <c r="AM53" s="977"/>
      <c r="AN53" s="917"/>
      <c r="AO53" s="977"/>
      <c r="AP53" s="917"/>
      <c r="AQ53" s="977"/>
      <c r="AR53" s="885"/>
      <c r="AS53" s="969"/>
      <c r="AT53" s="899"/>
      <c r="AU53" s="888">
        <f t="shared" si="19"/>
        <v>0</v>
      </c>
      <c r="AV53" s="889" t="e">
        <f>#N/A</f>
        <v>#N/A</v>
      </c>
      <c r="AW53" s="889" t="e">
        <f>#N/A</f>
        <v>#N/A</v>
      </c>
      <c r="AX53" s="888">
        <f t="shared" si="20"/>
        <v>0</v>
      </c>
      <c r="AY53" s="889" t="e">
        <f>#N/A</f>
        <v>#N/A</v>
      </c>
      <c r="AZ53" s="889" t="e">
        <f>#N/A</f>
        <v>#N/A</v>
      </c>
      <c r="BA53" s="888">
        <f t="shared" si="21"/>
        <v>0</v>
      </c>
      <c r="BB53" s="889" t="e">
        <f>#N/A</f>
        <v>#N/A</v>
      </c>
      <c r="BC53" s="889" t="e">
        <f>#N/A</f>
        <v>#N/A</v>
      </c>
      <c r="BD53" s="888">
        <f t="shared" si="22"/>
        <v>0</v>
      </c>
      <c r="BE53" s="889" t="e">
        <f>#N/A</f>
        <v>#N/A</v>
      </c>
      <c r="BF53" s="889" t="e">
        <f>#N/A</f>
        <v>#N/A</v>
      </c>
      <c r="BG53" s="890">
        <f t="shared" si="23"/>
        <v>0</v>
      </c>
      <c r="BH53" s="891">
        <f t="shared" si="24"/>
        <v>0</v>
      </c>
      <c r="BI53" s="905">
        <f t="shared" si="25"/>
        <v>0</v>
      </c>
      <c r="BJ53" s="893"/>
      <c r="BK53" s="853"/>
      <c r="BL53"/>
    </row>
    <row r="54" spans="1:64" ht="17.25" customHeight="1">
      <c r="A54" s="2101"/>
      <c r="B54" s="979"/>
      <c r="C54" s="879" t="s">
        <v>1442</v>
      </c>
      <c r="D54" s="919" t="s">
        <v>386</v>
      </c>
      <c r="E54" s="920" t="s">
        <v>1171</v>
      </c>
      <c r="F54" s="920" t="s">
        <v>387</v>
      </c>
      <c r="G54" s="980" t="s">
        <v>1420</v>
      </c>
      <c r="H54" s="922">
        <v>46.39</v>
      </c>
      <c r="I54" s="922"/>
      <c r="J54" s="923">
        <f>I54-H54</f>
        <v>-46.39</v>
      </c>
      <c r="K54" s="922">
        <v>41.759</v>
      </c>
      <c r="L54" s="922"/>
      <c r="M54" s="923">
        <f>L54-K54</f>
        <v>-41.759</v>
      </c>
      <c r="N54" s="922">
        <v>40.601</v>
      </c>
      <c r="O54" s="922"/>
      <c r="P54" s="923">
        <f>O54-N54</f>
        <v>-40.601</v>
      </c>
      <c r="Q54" s="922">
        <v>31.722</v>
      </c>
      <c r="R54" s="922"/>
      <c r="S54" s="923">
        <f>R54-Q54</f>
        <v>-31.722</v>
      </c>
      <c r="T54" s="922">
        <v>24.175</v>
      </c>
      <c r="U54" s="922"/>
      <c r="V54" s="923">
        <f>U54-T54</f>
        <v>-24.175</v>
      </c>
      <c r="W54" s="922">
        <v>7.534</v>
      </c>
      <c r="X54" s="924"/>
      <c r="Y54" s="925">
        <f>X54-W54</f>
        <v>-7.534</v>
      </c>
      <c r="Z54" s="922"/>
      <c r="AA54" s="922"/>
      <c r="AB54" s="923">
        <f>AA54-Z54</f>
        <v>0</v>
      </c>
      <c r="AC54" s="922"/>
      <c r="AD54" s="922"/>
      <c r="AE54" s="923">
        <f>AD54-AC54</f>
        <v>0</v>
      </c>
      <c r="AF54" s="922">
        <v>7.156</v>
      </c>
      <c r="AG54" s="922"/>
      <c r="AH54" s="923">
        <f>AG54-AF54</f>
        <v>-7.156</v>
      </c>
      <c r="AI54" s="922">
        <v>23.08</v>
      </c>
      <c r="AJ54" s="922"/>
      <c r="AK54" s="923">
        <f>AJ54-AI54</f>
        <v>-23.08</v>
      </c>
      <c r="AL54" s="922">
        <v>32.479</v>
      </c>
      <c r="AM54" s="922"/>
      <c r="AN54" s="923">
        <f>AM54-AL54</f>
        <v>-32.479</v>
      </c>
      <c r="AO54" s="922">
        <v>40.914</v>
      </c>
      <c r="AP54" s="988"/>
      <c r="AQ54" s="989">
        <f>AP54-AO54</f>
        <v>-40.914</v>
      </c>
      <c r="AR54" s="885">
        <f>SUMIF($H$5:$AQ$5,$AR$5,H54:AQ54)</f>
        <v>295.81</v>
      </c>
      <c r="AS54" s="990">
        <f>SUMIF($H$5:$AQ$5,$AS$5,H54:AQ54)</f>
        <v>0</v>
      </c>
      <c r="AT54" s="929">
        <f>AS54-AR54</f>
        <v>-295.81</v>
      </c>
      <c r="AU54" s="888">
        <f t="shared" si="19"/>
        <v>128.75</v>
      </c>
      <c r="AV54" s="889" t="e">
        <f>#N/A</f>
        <v>#N/A</v>
      </c>
      <c r="AW54" s="889" t="e">
        <f>#N/A</f>
        <v>#N/A</v>
      </c>
      <c r="AX54" s="888">
        <f t="shared" si="20"/>
        <v>63.431000000000004</v>
      </c>
      <c r="AY54" s="889" t="e">
        <f>#N/A</f>
        <v>#N/A</v>
      </c>
      <c r="AZ54" s="889" t="e">
        <f>#N/A</f>
        <v>#N/A</v>
      </c>
      <c r="BA54" s="888">
        <f t="shared" si="21"/>
        <v>7.156</v>
      </c>
      <c r="BB54" s="889" t="e">
        <f>#N/A</f>
        <v>#N/A</v>
      </c>
      <c r="BC54" s="889" t="e">
        <f>#N/A</f>
        <v>#N/A</v>
      </c>
      <c r="BD54" s="888">
        <f t="shared" si="22"/>
        <v>96.473</v>
      </c>
      <c r="BE54" s="889" t="e">
        <f>#N/A</f>
        <v>#N/A</v>
      </c>
      <c r="BF54" s="889" t="e">
        <f>#N/A</f>
        <v>#N/A</v>
      </c>
      <c r="BG54" s="890">
        <f t="shared" si="23"/>
        <v>192.181</v>
      </c>
      <c r="BH54" s="891">
        <f t="shared" si="24"/>
        <v>103.629</v>
      </c>
      <c r="BI54" s="905">
        <f t="shared" si="25"/>
        <v>295.81</v>
      </c>
      <c r="BJ54" s="893" t="s">
        <v>1421</v>
      </c>
      <c r="BK54" s="853"/>
      <c r="BL54"/>
    </row>
    <row r="55" spans="1:64" ht="21" customHeight="1">
      <c r="A55" s="2101"/>
      <c r="B55" s="979"/>
      <c r="C55" s="879" t="s">
        <v>1442</v>
      </c>
      <c r="D55" s="919" t="s">
        <v>386</v>
      </c>
      <c r="E55" s="920" t="s">
        <v>1172</v>
      </c>
      <c r="F55" s="920" t="s">
        <v>387</v>
      </c>
      <c r="G55" s="992" t="s">
        <v>1422</v>
      </c>
      <c r="H55" s="931">
        <f>SUM(H57:H58)</f>
        <v>5.722</v>
      </c>
      <c r="I55" s="931">
        <f>SUM(I57:I58)</f>
        <v>5.722</v>
      </c>
      <c r="J55" s="932">
        <f>I55-H55</f>
        <v>0</v>
      </c>
      <c r="K55" s="931">
        <f>SUM(K57:K58)</f>
        <v>5.722</v>
      </c>
      <c r="L55" s="931">
        <f>SUM(L57:L58)</f>
        <v>5.722</v>
      </c>
      <c r="M55" s="932">
        <f>L55-K55</f>
        <v>0</v>
      </c>
      <c r="N55" s="931">
        <f>SUM(N57:N58)</f>
        <v>5.722</v>
      </c>
      <c r="O55" s="931">
        <f>SUM(O57:O58)</f>
        <v>5.722</v>
      </c>
      <c r="P55" s="932">
        <f>O55-N55</f>
        <v>0</v>
      </c>
      <c r="Q55" s="931">
        <f>SUM(Q57:Q58)</f>
        <v>5.722</v>
      </c>
      <c r="R55" s="931">
        <f>SUM(R57:R58)</f>
        <v>5.722</v>
      </c>
      <c r="S55" s="932">
        <f>R55-Q55</f>
        <v>0</v>
      </c>
      <c r="T55" s="931">
        <f>SUM(T57:T58)</f>
        <v>5.722</v>
      </c>
      <c r="U55" s="931">
        <f>SUM(U57:U58)</f>
        <v>0</v>
      </c>
      <c r="V55" s="932">
        <f>U55-T55</f>
        <v>-5.722</v>
      </c>
      <c r="W55" s="931">
        <f>SUM(W57:W58)</f>
        <v>2.861</v>
      </c>
      <c r="X55" s="933">
        <f>SUM(X57:X58)</f>
        <v>0</v>
      </c>
      <c r="Y55" s="934">
        <f>X55-W55</f>
        <v>-2.861</v>
      </c>
      <c r="Z55" s="931">
        <f>SUM(Z57:Z58)</f>
        <v>0</v>
      </c>
      <c r="AA55" s="931">
        <f>SUM(AA57:AA58)</f>
        <v>0</v>
      </c>
      <c r="AB55" s="932">
        <f>AA55-Z55</f>
        <v>0</v>
      </c>
      <c r="AC55" s="931">
        <f>SUM(AC57:AC58)</f>
        <v>0</v>
      </c>
      <c r="AD55" s="931">
        <f>SUM(AD57:AD58)</f>
        <v>0</v>
      </c>
      <c r="AE55" s="932">
        <f>AD55-AC55</f>
        <v>0</v>
      </c>
      <c r="AF55" s="931">
        <f>SUM(AF57:AF58)</f>
        <v>2.861</v>
      </c>
      <c r="AG55" s="931">
        <f>SUM(AG57:AG58)</f>
        <v>0</v>
      </c>
      <c r="AH55" s="932">
        <f>AG55-AF55</f>
        <v>-2.861</v>
      </c>
      <c r="AI55" s="931">
        <f>SUM(AI57:AI58)</f>
        <v>5.722</v>
      </c>
      <c r="AJ55" s="931">
        <f>SUM(AJ57:AJ58)</f>
        <v>5.722</v>
      </c>
      <c r="AK55" s="932">
        <f>AJ55-AI55</f>
        <v>0</v>
      </c>
      <c r="AL55" s="931">
        <f>SUM(AL57:AL58)</f>
        <v>5.722</v>
      </c>
      <c r="AM55" s="931">
        <f>SUM(AM57:AM58)</f>
        <v>5.722</v>
      </c>
      <c r="AN55" s="932">
        <f>AM55-AL55</f>
        <v>0</v>
      </c>
      <c r="AO55" s="931">
        <f>SUM(AO57:AO58)</f>
        <v>5.722</v>
      </c>
      <c r="AP55" s="935"/>
      <c r="AQ55" s="998">
        <f>AP55-AO55</f>
        <v>-5.722</v>
      </c>
      <c r="AR55" s="885">
        <f>SUMIF($H$5:$AQ$5,$AR$5,H55:AQ55)</f>
        <v>51.498000000000005</v>
      </c>
      <c r="AS55" s="999">
        <f>SUMIF($H$5:$AQ$5,$AS$5,H55:AQ55)</f>
        <v>34.332</v>
      </c>
      <c r="AT55" s="899">
        <f>AS55-AR55</f>
        <v>-17.166000000000004</v>
      </c>
      <c r="AU55" s="888">
        <f t="shared" si="19"/>
        <v>17.166</v>
      </c>
      <c r="AV55" s="889" t="e">
        <f>#N/A</f>
        <v>#N/A</v>
      </c>
      <c r="AW55" s="889" t="e">
        <f>#N/A</f>
        <v>#N/A</v>
      </c>
      <c r="AX55" s="888">
        <f t="shared" si="20"/>
        <v>14.305000000000001</v>
      </c>
      <c r="AY55" s="889" t="e">
        <f>#N/A</f>
        <v>#N/A</v>
      </c>
      <c r="AZ55" s="889" t="e">
        <f>#N/A</f>
        <v>#N/A</v>
      </c>
      <c r="BA55" s="888">
        <f t="shared" si="21"/>
        <v>2.861</v>
      </c>
      <c r="BB55" s="889" t="e">
        <f>#N/A</f>
        <v>#N/A</v>
      </c>
      <c r="BC55" s="889" t="e">
        <f>#N/A</f>
        <v>#N/A</v>
      </c>
      <c r="BD55" s="888">
        <f t="shared" si="22"/>
        <v>17.166</v>
      </c>
      <c r="BE55" s="889" t="e">
        <f>#N/A</f>
        <v>#N/A</v>
      </c>
      <c r="BF55" s="889" t="e">
        <f>#N/A</f>
        <v>#N/A</v>
      </c>
      <c r="BG55" s="890">
        <f t="shared" si="23"/>
        <v>31.471000000000004</v>
      </c>
      <c r="BH55" s="891">
        <f t="shared" si="24"/>
        <v>20.027</v>
      </c>
      <c r="BI55" s="905">
        <f t="shared" si="25"/>
        <v>51.498000000000005</v>
      </c>
      <c r="BJ55" s="893"/>
      <c r="BK55" s="853"/>
      <c r="BL55"/>
    </row>
    <row r="56" spans="1:64" ht="21" customHeight="1">
      <c r="A56" s="2101"/>
      <c r="B56" s="979"/>
      <c r="C56" s="879" t="s">
        <v>1442</v>
      </c>
      <c r="D56" s="919" t="s">
        <v>386</v>
      </c>
      <c r="E56" s="920"/>
      <c r="F56" s="920"/>
      <c r="G56" s="1002" t="s">
        <v>1686</v>
      </c>
      <c r="H56" s="938"/>
      <c r="I56" s="938"/>
      <c r="J56" s="938"/>
      <c r="K56" s="938"/>
      <c r="L56" s="938"/>
      <c r="M56" s="938"/>
      <c r="N56" s="938"/>
      <c r="O56" s="938"/>
      <c r="P56" s="938"/>
      <c r="Q56" s="938"/>
      <c r="R56" s="938"/>
      <c r="S56" s="938"/>
      <c r="T56" s="938"/>
      <c r="U56" s="938"/>
      <c r="V56" s="938"/>
      <c r="W56" s="938"/>
      <c r="X56" s="939"/>
      <c r="Y56" s="939"/>
      <c r="Z56" s="938"/>
      <c r="AA56" s="938"/>
      <c r="AB56" s="938"/>
      <c r="AC56" s="938"/>
      <c r="AD56" s="938"/>
      <c r="AE56" s="938"/>
      <c r="AF56" s="938"/>
      <c r="AG56" s="938"/>
      <c r="AH56" s="938"/>
      <c r="AI56" s="938"/>
      <c r="AJ56" s="938"/>
      <c r="AK56" s="938"/>
      <c r="AL56" s="938"/>
      <c r="AM56" s="938"/>
      <c r="AN56" s="938"/>
      <c r="AO56" s="938"/>
      <c r="AP56" s="940"/>
      <c r="AQ56" s="1005"/>
      <c r="AR56" s="885"/>
      <c r="AS56" s="999"/>
      <c r="AT56" s="899"/>
      <c r="AU56" s="888">
        <f t="shared" si="19"/>
        <v>0</v>
      </c>
      <c r="AV56" s="889" t="e">
        <f>#N/A</f>
        <v>#N/A</v>
      </c>
      <c r="AW56" s="889" t="e">
        <f>#N/A</f>
        <v>#N/A</v>
      </c>
      <c r="AX56" s="888">
        <f t="shared" si="20"/>
        <v>0</v>
      </c>
      <c r="AY56" s="889" t="e">
        <f>#N/A</f>
        <v>#N/A</v>
      </c>
      <c r="AZ56" s="889" t="e">
        <f>#N/A</f>
        <v>#N/A</v>
      </c>
      <c r="BA56" s="888">
        <f t="shared" si="21"/>
        <v>0</v>
      </c>
      <c r="BB56" s="889" t="e">
        <f>#N/A</f>
        <v>#N/A</v>
      </c>
      <c r="BC56" s="889" t="e">
        <f>#N/A</f>
        <v>#N/A</v>
      </c>
      <c r="BD56" s="888">
        <f t="shared" si="22"/>
        <v>0</v>
      </c>
      <c r="BE56" s="889" t="e">
        <f>#N/A</f>
        <v>#N/A</v>
      </c>
      <c r="BF56" s="889" t="e">
        <f>#N/A</f>
        <v>#N/A</v>
      </c>
      <c r="BG56" s="890">
        <f t="shared" si="23"/>
        <v>0</v>
      </c>
      <c r="BH56" s="891">
        <f t="shared" si="24"/>
        <v>0</v>
      </c>
      <c r="BI56" s="905">
        <f t="shared" si="25"/>
        <v>0</v>
      </c>
      <c r="BJ56" s="893"/>
      <c r="BK56" s="853"/>
      <c r="BL56"/>
    </row>
    <row r="57" spans="1:64" ht="21" customHeight="1">
      <c r="A57" s="2101"/>
      <c r="B57" s="979"/>
      <c r="C57" s="879" t="s">
        <v>1442</v>
      </c>
      <c r="D57" s="919" t="s">
        <v>386</v>
      </c>
      <c r="E57" s="920" t="s">
        <v>1423</v>
      </c>
      <c r="F57" s="920" t="s">
        <v>387</v>
      </c>
      <c r="G57" s="1037" t="s">
        <v>1424</v>
      </c>
      <c r="H57" s="922">
        <v>5.722</v>
      </c>
      <c r="I57" s="922">
        <v>5.722</v>
      </c>
      <c r="J57" s="922">
        <v>5.722</v>
      </c>
      <c r="K57" s="922">
        <v>5.722</v>
      </c>
      <c r="L57" s="922">
        <v>5.722</v>
      </c>
      <c r="M57" s="922">
        <v>5.722</v>
      </c>
      <c r="N57" s="922">
        <v>5.722</v>
      </c>
      <c r="O57" s="922">
        <v>5.722</v>
      </c>
      <c r="P57" s="922">
        <v>5.722</v>
      </c>
      <c r="Q57" s="922">
        <v>5.722</v>
      </c>
      <c r="R57" s="922">
        <v>5.722</v>
      </c>
      <c r="S57" s="922">
        <v>5.722</v>
      </c>
      <c r="T57" s="922">
        <v>5.722</v>
      </c>
      <c r="U57" s="922"/>
      <c r="V57" s="923">
        <f>U57-T57</f>
        <v>-5.722</v>
      </c>
      <c r="W57" s="922">
        <v>2.861</v>
      </c>
      <c r="X57" s="924"/>
      <c r="Y57" s="925">
        <f>X57-W57</f>
        <v>-2.861</v>
      </c>
      <c r="Z57" s="922"/>
      <c r="AA57" s="922"/>
      <c r="AB57" s="923">
        <f>AA57-Z57</f>
        <v>0</v>
      </c>
      <c r="AC57" s="922"/>
      <c r="AD57" s="922"/>
      <c r="AE57" s="923">
        <f>AD57-AC57</f>
        <v>0</v>
      </c>
      <c r="AF57" s="922">
        <v>2.861</v>
      </c>
      <c r="AG57" s="922"/>
      <c r="AH57" s="923">
        <f>AG57-AF57</f>
        <v>-2.861</v>
      </c>
      <c r="AI57" s="922">
        <v>5.722</v>
      </c>
      <c r="AJ57" s="922">
        <v>5.722</v>
      </c>
      <c r="AK57" s="922">
        <v>5.722</v>
      </c>
      <c r="AL57" s="922">
        <v>5.722</v>
      </c>
      <c r="AM57" s="922">
        <v>5.722</v>
      </c>
      <c r="AN57" s="922">
        <v>5.722</v>
      </c>
      <c r="AO57" s="922">
        <v>5.722</v>
      </c>
      <c r="AP57" s="1011"/>
      <c r="AQ57" s="1012"/>
      <c r="AR57" s="885">
        <f>SUMIF($H$5:$AQ$5,$AR$5,H57:AQ57)</f>
        <v>51.498000000000005</v>
      </c>
      <c r="AS57" s="990">
        <f>SUMIF($H$5:$AQ$5,$AS$5,H57:AQ57)</f>
        <v>34.332</v>
      </c>
      <c r="AT57" s="929">
        <f>AS57-AR57</f>
        <v>-17.166000000000004</v>
      </c>
      <c r="AU57" s="888">
        <f t="shared" si="19"/>
        <v>17.166</v>
      </c>
      <c r="AV57" s="889" t="e">
        <f>#N/A</f>
        <v>#N/A</v>
      </c>
      <c r="AW57" s="889" t="e">
        <f>#N/A</f>
        <v>#N/A</v>
      </c>
      <c r="AX57" s="888">
        <f t="shared" si="20"/>
        <v>14.305000000000001</v>
      </c>
      <c r="AY57" s="889" t="e">
        <f>#N/A</f>
        <v>#N/A</v>
      </c>
      <c r="AZ57" s="889" t="e">
        <f>#N/A</f>
        <v>#N/A</v>
      </c>
      <c r="BA57" s="888">
        <f t="shared" si="21"/>
        <v>2.861</v>
      </c>
      <c r="BB57" s="889" t="e">
        <f>#N/A</f>
        <v>#N/A</v>
      </c>
      <c r="BC57" s="889" t="e">
        <f>#N/A</f>
        <v>#N/A</v>
      </c>
      <c r="BD57" s="888">
        <f t="shared" si="22"/>
        <v>17.166</v>
      </c>
      <c r="BE57" s="889" t="e">
        <f>#N/A</f>
        <v>#N/A</v>
      </c>
      <c r="BF57" s="889" t="e">
        <f>#N/A</f>
        <v>#N/A</v>
      </c>
      <c r="BG57" s="890">
        <f t="shared" si="23"/>
        <v>31.471000000000004</v>
      </c>
      <c r="BH57" s="891">
        <f t="shared" si="24"/>
        <v>20.027</v>
      </c>
      <c r="BI57" s="905">
        <f t="shared" si="25"/>
        <v>51.498000000000005</v>
      </c>
      <c r="BJ57" s="893" t="s">
        <v>1425</v>
      </c>
      <c r="BK57" s="853"/>
      <c r="BL57"/>
    </row>
    <row r="58" spans="1:64" ht="18" customHeight="1">
      <c r="A58" s="2101"/>
      <c r="B58" s="979"/>
      <c r="C58" s="879" t="s">
        <v>1442</v>
      </c>
      <c r="D58" s="919" t="s">
        <v>386</v>
      </c>
      <c r="E58" s="920" t="s">
        <v>1426</v>
      </c>
      <c r="F58" s="920" t="s">
        <v>387</v>
      </c>
      <c r="G58" s="1022" t="s">
        <v>1427</v>
      </c>
      <c r="H58" s="1014">
        <v>0</v>
      </c>
      <c r="I58" s="1038"/>
      <c r="J58" s="1039">
        <f>I58-H58</f>
        <v>0</v>
      </c>
      <c r="K58" s="1038">
        <v>0</v>
      </c>
      <c r="L58" s="1014"/>
      <c r="M58" s="1015">
        <f>L58-K58</f>
        <v>0</v>
      </c>
      <c r="N58" s="1014">
        <v>0</v>
      </c>
      <c r="O58" s="1038"/>
      <c r="P58" s="1039">
        <f>O58-N58</f>
        <v>0</v>
      </c>
      <c r="Q58" s="1038">
        <v>0</v>
      </c>
      <c r="R58" s="1014"/>
      <c r="S58" s="1015">
        <f>R58-Q58</f>
        <v>0</v>
      </c>
      <c r="T58" s="1014">
        <v>0</v>
      </c>
      <c r="U58" s="1038"/>
      <c r="V58" s="1039">
        <f>U58-T58</f>
        <v>0</v>
      </c>
      <c r="W58" s="1038">
        <v>0</v>
      </c>
      <c r="X58" s="1014"/>
      <c r="Y58" s="1015">
        <f>X58-W58</f>
        <v>0</v>
      </c>
      <c r="Z58" s="1014">
        <v>0</v>
      </c>
      <c r="AA58" s="1038"/>
      <c r="AB58" s="1039">
        <f>AA58-Z58</f>
        <v>0</v>
      </c>
      <c r="AC58" s="1038">
        <v>0</v>
      </c>
      <c r="AD58" s="1014"/>
      <c r="AE58" s="1015">
        <f>AD58-AC58</f>
        <v>0</v>
      </c>
      <c r="AF58" s="1014">
        <v>0</v>
      </c>
      <c r="AG58" s="1038"/>
      <c r="AH58" s="1039">
        <f>AG58-AF58</f>
        <v>0</v>
      </c>
      <c r="AI58" s="1038">
        <v>0</v>
      </c>
      <c r="AJ58" s="1014"/>
      <c r="AK58" s="1015">
        <f>AJ58-AI58</f>
        <v>0</v>
      </c>
      <c r="AL58" s="1014">
        <v>0</v>
      </c>
      <c r="AM58" s="1038"/>
      <c r="AN58" s="1039">
        <f>AM58-AL58</f>
        <v>0</v>
      </c>
      <c r="AO58" s="1038">
        <v>0</v>
      </c>
      <c r="AP58" s="1014"/>
      <c r="AQ58" s="1015">
        <f>AP58-AO58</f>
        <v>0</v>
      </c>
      <c r="AR58" s="968">
        <f>SUMIF($H$5:$AQ$5,$AR$5,H58:AQ58)</f>
        <v>0</v>
      </c>
      <c r="AS58" s="1016">
        <f>SUMIF($H$5:$AQ$5,$AS$5,H58:AQ58)</f>
        <v>0</v>
      </c>
      <c r="AT58" s="929">
        <f>AS58-AR58</f>
        <v>0</v>
      </c>
      <c r="AU58" s="888">
        <f t="shared" si="19"/>
        <v>0</v>
      </c>
      <c r="AV58" s="889" t="e">
        <f>#N/A</f>
        <v>#N/A</v>
      </c>
      <c r="AW58" s="889" t="e">
        <f>#N/A</f>
        <v>#N/A</v>
      </c>
      <c r="AX58" s="888">
        <f t="shared" si="20"/>
        <v>0</v>
      </c>
      <c r="AY58" s="889" t="e">
        <f>#N/A</f>
        <v>#N/A</v>
      </c>
      <c r="AZ58" s="889" t="e">
        <f>#N/A</f>
        <v>#N/A</v>
      </c>
      <c r="BA58" s="888">
        <f t="shared" si="21"/>
        <v>0</v>
      </c>
      <c r="BB58" s="889" t="e">
        <f>#N/A</f>
        <v>#N/A</v>
      </c>
      <c r="BC58" s="889" t="e">
        <f>#N/A</f>
        <v>#N/A</v>
      </c>
      <c r="BD58" s="888">
        <f t="shared" si="22"/>
        <v>0</v>
      </c>
      <c r="BE58" s="889" t="e">
        <f>#N/A</f>
        <v>#N/A</v>
      </c>
      <c r="BF58" s="889" t="e">
        <f>#N/A</f>
        <v>#N/A</v>
      </c>
      <c r="BG58" s="890">
        <f t="shared" si="23"/>
        <v>0</v>
      </c>
      <c r="BH58" s="891">
        <f t="shared" si="24"/>
        <v>0</v>
      </c>
      <c r="BI58" s="905">
        <f t="shared" si="25"/>
        <v>0</v>
      </c>
      <c r="BJ58" s="893"/>
      <c r="BK58" s="853"/>
      <c r="BL58"/>
    </row>
    <row r="59" spans="1:64" ht="17.25" customHeight="1">
      <c r="A59" s="2101"/>
      <c r="B59" s="970"/>
      <c r="C59" s="879" t="s">
        <v>1442</v>
      </c>
      <c r="D59" s="895" t="s">
        <v>386</v>
      </c>
      <c r="E59" s="881" t="s">
        <v>1173</v>
      </c>
      <c r="F59" s="881" t="s">
        <v>1428</v>
      </c>
      <c r="G59" s="1017" t="s">
        <v>1429</v>
      </c>
      <c r="H59" s="904">
        <f>SUM(H62:H62)</f>
        <v>0</v>
      </c>
      <c r="I59" s="1018">
        <f>SUM(I62:I62)</f>
        <v>0</v>
      </c>
      <c r="J59" s="884">
        <f>I59-H59</f>
        <v>0</v>
      </c>
      <c r="K59" s="1018">
        <f>SUM(K62:K62)</f>
        <v>0</v>
      </c>
      <c r="L59" s="904">
        <f>SUM(L62:L62)</f>
        <v>0</v>
      </c>
      <c r="M59" s="1019">
        <f>L59-K59</f>
        <v>0</v>
      </c>
      <c r="N59" s="904">
        <f>SUM(N62:N62)</f>
        <v>0</v>
      </c>
      <c r="O59" s="1018"/>
      <c r="P59" s="884">
        <f>O59-N59</f>
        <v>0</v>
      </c>
      <c r="Q59" s="1018">
        <f>SUM(Q62:Q62)</f>
        <v>0</v>
      </c>
      <c r="R59" s="904"/>
      <c r="S59" s="1019">
        <f>R59-Q59</f>
        <v>0</v>
      </c>
      <c r="T59" s="904">
        <f>SUM(T62:T62)</f>
        <v>0</v>
      </c>
      <c r="U59" s="1018"/>
      <c r="V59" s="884">
        <f>U59-T59</f>
        <v>0</v>
      </c>
      <c r="W59" s="1018">
        <f>SUM(W62:W62)</f>
        <v>0</v>
      </c>
      <c r="X59" s="904"/>
      <c r="Y59" s="1019">
        <f>X59-W59</f>
        <v>0</v>
      </c>
      <c r="Z59" s="904">
        <f>SUM(Z62:Z62)</f>
        <v>0</v>
      </c>
      <c r="AA59" s="1018">
        <f>SUM(AA62:AA62)</f>
        <v>0</v>
      </c>
      <c r="AB59" s="884">
        <f>AA59-Z59</f>
        <v>0</v>
      </c>
      <c r="AC59" s="1018">
        <f>SUM(AC62:AC62)</f>
        <v>0</v>
      </c>
      <c r="AD59" s="904"/>
      <c r="AE59" s="1019">
        <f>AD59-AC59</f>
        <v>0</v>
      </c>
      <c r="AF59" s="904">
        <f>SUM(AF62:AF62)</f>
        <v>0</v>
      </c>
      <c r="AG59" s="1018"/>
      <c r="AH59" s="884">
        <f>AG59-AF59</f>
        <v>0</v>
      </c>
      <c r="AI59" s="1018">
        <f>SUM(AI62:AI62)</f>
        <v>0</v>
      </c>
      <c r="AJ59" s="904">
        <f>SUM(AJ62:AJ62)</f>
        <v>0</v>
      </c>
      <c r="AK59" s="1019">
        <f>AJ59-AI59</f>
        <v>0</v>
      </c>
      <c r="AL59" s="904">
        <f>SUM(AL62:AL62)</f>
        <v>0</v>
      </c>
      <c r="AM59" s="1018"/>
      <c r="AN59" s="884">
        <f>AM59-AL59</f>
        <v>0</v>
      </c>
      <c r="AO59" s="1018">
        <f>SUM(AO62:AO62)</f>
        <v>0</v>
      </c>
      <c r="AP59" s="904">
        <f>SUM(AP62:AP62)</f>
        <v>0</v>
      </c>
      <c r="AQ59" s="1019">
        <f>AP59-AO59</f>
        <v>0</v>
      </c>
      <c r="AR59" s="885">
        <f>SUMIF($H$5:$AQ$5,$AR$5,H59:AQ59)</f>
        <v>0</v>
      </c>
      <c r="AS59" s="999">
        <f>SUMIF($H$5:$AQ$5,$AS$5,H59:AQ59)</f>
        <v>0</v>
      </c>
      <c r="AT59" s="887">
        <f>AS59-AR59</f>
        <v>0</v>
      </c>
      <c r="AU59" s="888">
        <f t="shared" si="19"/>
        <v>0</v>
      </c>
      <c r="AV59" s="889" t="e">
        <f>#N/A</f>
        <v>#N/A</v>
      </c>
      <c r="AW59" s="889" t="e">
        <f>#N/A</f>
        <v>#N/A</v>
      </c>
      <c r="AX59" s="888">
        <f t="shared" si="20"/>
        <v>0</v>
      </c>
      <c r="AY59" s="889" t="e">
        <f>#N/A</f>
        <v>#N/A</v>
      </c>
      <c r="AZ59" s="889" t="e">
        <f>#N/A</f>
        <v>#N/A</v>
      </c>
      <c r="BA59" s="888">
        <f t="shared" si="21"/>
        <v>0</v>
      </c>
      <c r="BB59" s="889" t="e">
        <f>#N/A</f>
        <v>#N/A</v>
      </c>
      <c r="BC59" s="889" t="e">
        <f>#N/A</f>
        <v>#N/A</v>
      </c>
      <c r="BD59" s="888">
        <f t="shared" si="22"/>
        <v>0</v>
      </c>
      <c r="BE59" s="889" t="e">
        <f>#N/A</f>
        <v>#N/A</v>
      </c>
      <c r="BF59" s="889" t="e">
        <f>#N/A</f>
        <v>#N/A</v>
      </c>
      <c r="BG59" s="890">
        <f t="shared" si="23"/>
        <v>0</v>
      </c>
      <c r="BH59" s="891">
        <f t="shared" si="24"/>
        <v>0</v>
      </c>
      <c r="BI59" s="905">
        <f t="shared" si="25"/>
        <v>0</v>
      </c>
      <c r="BJ59" s="893"/>
      <c r="BK59" s="853"/>
      <c r="BL59"/>
    </row>
    <row r="60" spans="1:64" ht="18" customHeight="1">
      <c r="A60" s="2101"/>
      <c r="B60" s="970"/>
      <c r="C60" s="879" t="s">
        <v>1442</v>
      </c>
      <c r="D60" s="895" t="s">
        <v>386</v>
      </c>
      <c r="E60" s="881"/>
      <c r="F60" s="881"/>
      <c r="G60" s="1020" t="s">
        <v>1686</v>
      </c>
      <c r="H60" s="889"/>
      <c r="I60" s="1021"/>
      <c r="J60" s="917"/>
      <c r="K60" s="1021"/>
      <c r="L60" s="889"/>
      <c r="M60" s="977"/>
      <c r="N60" s="889"/>
      <c r="O60" s="1021"/>
      <c r="P60" s="917"/>
      <c r="Q60" s="1021"/>
      <c r="R60" s="889"/>
      <c r="S60" s="977"/>
      <c r="T60" s="889"/>
      <c r="U60" s="1021"/>
      <c r="V60" s="917"/>
      <c r="W60" s="1021"/>
      <c r="X60" s="889"/>
      <c r="Y60" s="977"/>
      <c r="Z60" s="889"/>
      <c r="AA60" s="1021"/>
      <c r="AB60" s="917"/>
      <c r="AC60" s="1021"/>
      <c r="AD60" s="889"/>
      <c r="AE60" s="977"/>
      <c r="AF60" s="889"/>
      <c r="AG60" s="1021"/>
      <c r="AH60" s="917"/>
      <c r="AI60" s="1021"/>
      <c r="AJ60" s="889"/>
      <c r="AK60" s="977"/>
      <c r="AL60" s="889"/>
      <c r="AM60" s="1021"/>
      <c r="AN60" s="917"/>
      <c r="AO60" s="1021"/>
      <c r="AP60" s="889"/>
      <c r="AQ60" s="977"/>
      <c r="AR60" s="885"/>
      <c r="AS60" s="999"/>
      <c r="AT60" s="899"/>
      <c r="AU60" s="888">
        <f t="shared" si="19"/>
        <v>0</v>
      </c>
      <c r="AV60" s="889" t="e">
        <f>#N/A</f>
        <v>#N/A</v>
      </c>
      <c r="AW60" s="889" t="e">
        <f>#N/A</f>
        <v>#N/A</v>
      </c>
      <c r="AX60" s="888">
        <f t="shared" si="20"/>
        <v>0</v>
      </c>
      <c r="AY60" s="889" t="e">
        <f>#N/A</f>
        <v>#N/A</v>
      </c>
      <c r="AZ60" s="889" t="e">
        <f>#N/A</f>
        <v>#N/A</v>
      </c>
      <c r="BA60" s="888">
        <f t="shared" si="21"/>
        <v>0</v>
      </c>
      <c r="BB60" s="889" t="e">
        <f>#N/A</f>
        <v>#N/A</v>
      </c>
      <c r="BC60" s="889" t="e">
        <f>#N/A</f>
        <v>#N/A</v>
      </c>
      <c r="BD60" s="888">
        <f t="shared" si="22"/>
        <v>0</v>
      </c>
      <c r="BE60" s="889" t="e">
        <f>#N/A</f>
        <v>#N/A</v>
      </c>
      <c r="BF60" s="889" t="e">
        <f>#N/A</f>
        <v>#N/A</v>
      </c>
      <c r="BG60" s="890">
        <f t="shared" si="23"/>
        <v>0</v>
      </c>
      <c r="BH60" s="891">
        <f t="shared" si="24"/>
        <v>0</v>
      </c>
      <c r="BI60" s="905">
        <f t="shared" si="25"/>
        <v>0</v>
      </c>
      <c r="BJ60" s="893"/>
      <c r="BK60" s="853"/>
      <c r="BL60"/>
    </row>
    <row r="61" spans="1:64" ht="17.25" customHeight="1">
      <c r="A61" s="2101"/>
      <c r="B61" s="979"/>
      <c r="C61" s="879" t="s">
        <v>1442</v>
      </c>
      <c r="D61" s="919" t="s">
        <v>386</v>
      </c>
      <c r="E61" s="920" t="s">
        <v>1430</v>
      </c>
      <c r="F61" s="920" t="s">
        <v>1428</v>
      </c>
      <c r="G61" s="1022" t="s">
        <v>1424</v>
      </c>
      <c r="H61" s="945">
        <f aca="true" t="shared" si="26" ref="H61:AO61">H57/0.050209</f>
        <v>113.96363201816409</v>
      </c>
      <c r="I61" s="945">
        <f t="shared" si="26"/>
        <v>113.96363201816409</v>
      </c>
      <c r="J61" s="945">
        <f t="shared" si="26"/>
        <v>113.96363201816409</v>
      </c>
      <c r="K61" s="945">
        <f t="shared" si="26"/>
        <v>113.96363201816409</v>
      </c>
      <c r="L61" s="945">
        <f t="shared" si="26"/>
        <v>113.96363201816409</v>
      </c>
      <c r="M61" s="945">
        <f t="shared" si="26"/>
        <v>113.96363201816409</v>
      </c>
      <c r="N61" s="945">
        <f t="shared" si="26"/>
        <v>113.96363201816409</v>
      </c>
      <c r="O61" s="945">
        <f t="shared" si="26"/>
        <v>113.96363201816409</v>
      </c>
      <c r="P61" s="945">
        <f t="shared" si="26"/>
        <v>113.96363201816409</v>
      </c>
      <c r="Q61" s="945">
        <f t="shared" si="26"/>
        <v>113.96363201816409</v>
      </c>
      <c r="R61" s="945">
        <f t="shared" si="26"/>
        <v>113.96363201816409</v>
      </c>
      <c r="S61" s="945">
        <f t="shared" si="26"/>
        <v>113.96363201816409</v>
      </c>
      <c r="T61" s="945">
        <f t="shared" si="26"/>
        <v>113.96363201816409</v>
      </c>
      <c r="U61" s="945">
        <f t="shared" si="26"/>
        <v>0</v>
      </c>
      <c r="V61" s="945">
        <f t="shared" si="26"/>
        <v>-113.96363201816409</v>
      </c>
      <c r="W61" s="945">
        <f t="shared" si="26"/>
        <v>56.981816009082046</v>
      </c>
      <c r="X61" s="945">
        <f t="shared" si="26"/>
        <v>0</v>
      </c>
      <c r="Y61" s="945">
        <f t="shared" si="26"/>
        <v>-56.981816009082046</v>
      </c>
      <c r="Z61" s="945">
        <f t="shared" si="26"/>
        <v>0</v>
      </c>
      <c r="AA61" s="945">
        <f t="shared" si="26"/>
        <v>0</v>
      </c>
      <c r="AB61" s="945">
        <f t="shared" si="26"/>
        <v>0</v>
      </c>
      <c r="AC61" s="945">
        <f t="shared" si="26"/>
        <v>0</v>
      </c>
      <c r="AD61" s="945">
        <f t="shared" si="26"/>
        <v>0</v>
      </c>
      <c r="AE61" s="945">
        <f t="shared" si="26"/>
        <v>0</v>
      </c>
      <c r="AF61" s="945">
        <f t="shared" si="26"/>
        <v>56.981816009082046</v>
      </c>
      <c r="AG61" s="945">
        <f t="shared" si="26"/>
        <v>0</v>
      </c>
      <c r="AH61" s="945">
        <f t="shared" si="26"/>
        <v>-56.981816009082046</v>
      </c>
      <c r="AI61" s="945">
        <f t="shared" si="26"/>
        <v>113.96363201816409</v>
      </c>
      <c r="AJ61" s="945">
        <f t="shared" si="26"/>
        <v>113.96363201816409</v>
      </c>
      <c r="AK61" s="945">
        <f t="shared" si="26"/>
        <v>113.96363201816409</v>
      </c>
      <c r="AL61" s="945">
        <f t="shared" si="26"/>
        <v>113.96363201816409</v>
      </c>
      <c r="AM61" s="945">
        <f t="shared" si="26"/>
        <v>113.96363201816409</v>
      </c>
      <c r="AN61" s="945">
        <f t="shared" si="26"/>
        <v>113.96363201816409</v>
      </c>
      <c r="AO61" s="945">
        <f t="shared" si="26"/>
        <v>113.96363201816409</v>
      </c>
      <c r="AP61" s="1024"/>
      <c r="AQ61" s="1023"/>
      <c r="AR61" s="885">
        <f>SUMIF($H$5:$AQ$5,$AR$5,H61:AQ61)</f>
        <v>1025.6726881634768</v>
      </c>
      <c r="AS61" s="990">
        <f>SUMIF($H$5:$AQ$5,$AS$5,H61:AQ61)</f>
        <v>683.7817921089845</v>
      </c>
      <c r="AT61" s="929">
        <f>AS61-AR61</f>
        <v>-341.89089605449226</v>
      </c>
      <c r="AU61" s="888">
        <f t="shared" si="19"/>
        <v>341.89089605449226</v>
      </c>
      <c r="AV61" s="889" t="e">
        <f>#N/A</f>
        <v>#N/A</v>
      </c>
      <c r="AW61" s="889" t="e">
        <f>#N/A</f>
        <v>#N/A</v>
      </c>
      <c r="AX61" s="888">
        <f t="shared" si="20"/>
        <v>284.90908004541024</v>
      </c>
      <c r="AY61" s="889" t="e">
        <f>#N/A</f>
        <v>#N/A</v>
      </c>
      <c r="AZ61" s="889" t="e">
        <f>#N/A</f>
        <v>#N/A</v>
      </c>
      <c r="BA61" s="888">
        <f t="shared" si="21"/>
        <v>56.981816009082046</v>
      </c>
      <c r="BB61" s="889" t="e">
        <f>#N/A</f>
        <v>#N/A</v>
      </c>
      <c r="BC61" s="889" t="e">
        <f>#N/A</f>
        <v>#N/A</v>
      </c>
      <c r="BD61" s="888">
        <f t="shared" si="22"/>
        <v>341.89089605449226</v>
      </c>
      <c r="BE61" s="889" t="e">
        <f>#N/A</f>
        <v>#N/A</v>
      </c>
      <c r="BF61" s="889" t="e">
        <f>#N/A</f>
        <v>#N/A</v>
      </c>
      <c r="BG61" s="890">
        <f t="shared" si="23"/>
        <v>626.7999760999026</v>
      </c>
      <c r="BH61" s="891">
        <f t="shared" si="24"/>
        <v>398.8727120635743</v>
      </c>
      <c r="BI61" s="905">
        <f t="shared" si="25"/>
        <v>1025.6726881634768</v>
      </c>
      <c r="BJ61" s="893" t="s">
        <v>1450</v>
      </c>
      <c r="BK61" s="853"/>
      <c r="BL61"/>
    </row>
    <row r="62" spans="1:64" ht="21" customHeight="1">
      <c r="A62" s="2101"/>
      <c r="B62" s="970"/>
      <c r="C62" s="879" t="s">
        <v>1442</v>
      </c>
      <c r="D62" s="895" t="s">
        <v>386</v>
      </c>
      <c r="E62" s="881" t="s">
        <v>1431</v>
      </c>
      <c r="F62" s="881" t="s">
        <v>1428</v>
      </c>
      <c r="G62" s="1025" t="s">
        <v>1427</v>
      </c>
      <c r="H62" s="1026">
        <f>H58/0.0714</f>
        <v>0</v>
      </c>
      <c r="I62" s="1026"/>
      <c r="J62" s="884">
        <f>I62-H62</f>
        <v>0</v>
      </c>
      <c r="K62" s="1027">
        <f>K58/0.0714</f>
        <v>0</v>
      </c>
      <c r="L62" s="1028"/>
      <c r="M62" s="1019">
        <f>L62-K62</f>
        <v>0</v>
      </c>
      <c r="N62" s="1026">
        <f>N58/0.0714</f>
        <v>0</v>
      </c>
      <c r="O62" s="1026"/>
      <c r="P62" s="884">
        <f>O62-N62</f>
        <v>0</v>
      </c>
      <c r="Q62" s="1027">
        <f>Q58/0.0714</f>
        <v>0</v>
      </c>
      <c r="R62" s="1027"/>
      <c r="S62" s="1019">
        <f>R62-Q62</f>
        <v>0</v>
      </c>
      <c r="T62" s="1026">
        <f>T58/0.0714</f>
        <v>0</v>
      </c>
      <c r="U62" s="1029"/>
      <c r="V62" s="884">
        <f>U62-T62</f>
        <v>0</v>
      </c>
      <c r="W62" s="1027">
        <f>W58/0.0714</f>
        <v>0</v>
      </c>
      <c r="X62" s="1027"/>
      <c r="Y62" s="1019">
        <f>X62-W62</f>
        <v>0</v>
      </c>
      <c r="Z62" s="1026">
        <f>Z58/0.0714</f>
        <v>0</v>
      </c>
      <c r="AA62" s="1029"/>
      <c r="AB62" s="884">
        <f>AA62-Z62</f>
        <v>0</v>
      </c>
      <c r="AC62" s="1027">
        <f>AC58/0.0714</f>
        <v>0</v>
      </c>
      <c r="AD62" s="1028"/>
      <c r="AE62" s="1019">
        <f>AD62-AC62</f>
        <v>0</v>
      </c>
      <c r="AF62" s="1026">
        <f>AF58/0.0714</f>
        <v>0</v>
      </c>
      <c r="AG62" s="1029"/>
      <c r="AH62" s="884">
        <f>AG62-AF62</f>
        <v>0</v>
      </c>
      <c r="AI62" s="1027">
        <f>AI58/0.0714</f>
        <v>0</v>
      </c>
      <c r="AJ62" s="1028"/>
      <c r="AK62" s="1019">
        <f>AJ62-AI62</f>
        <v>0</v>
      </c>
      <c r="AL62" s="1026">
        <f>AL58/0.0714</f>
        <v>0</v>
      </c>
      <c r="AM62" s="1026"/>
      <c r="AN62" s="884">
        <f>AM62-AL62</f>
        <v>0</v>
      </c>
      <c r="AO62" s="1027">
        <f>AO58/0.0714</f>
        <v>0</v>
      </c>
      <c r="AP62" s="1027"/>
      <c r="AQ62" s="1019">
        <f>AP62-AO62</f>
        <v>0</v>
      </c>
      <c r="AR62" s="885">
        <f>SUMIF($H$5:$AQ$5,$AR$5,H62:AQ62)</f>
        <v>0</v>
      </c>
      <c r="AS62" s="999">
        <f>SUMIF($H$5:$AQ$5,$AS$5,H62:AQ62)</f>
        <v>0</v>
      </c>
      <c r="AT62" s="899">
        <f>AS62-AR62</f>
        <v>0</v>
      </c>
      <c r="AU62" s="888">
        <f t="shared" si="19"/>
        <v>0</v>
      </c>
      <c r="AV62" s="889" t="e">
        <f>#N/A</f>
        <v>#N/A</v>
      </c>
      <c r="AW62" s="889" t="e">
        <f>#N/A</f>
        <v>#N/A</v>
      </c>
      <c r="AX62" s="888">
        <f t="shared" si="20"/>
        <v>0</v>
      </c>
      <c r="AY62" s="889" t="e">
        <f>#N/A</f>
        <v>#N/A</v>
      </c>
      <c r="AZ62" s="889" t="e">
        <f>#N/A</f>
        <v>#N/A</v>
      </c>
      <c r="BA62" s="888">
        <f t="shared" si="21"/>
        <v>0</v>
      </c>
      <c r="BB62" s="889" t="e">
        <f>#N/A</f>
        <v>#N/A</v>
      </c>
      <c r="BC62" s="889" t="e">
        <f>#N/A</f>
        <v>#N/A</v>
      </c>
      <c r="BD62" s="888">
        <f t="shared" si="22"/>
        <v>0</v>
      </c>
      <c r="BE62" s="889" t="e">
        <f>#N/A</f>
        <v>#N/A</v>
      </c>
      <c r="BF62" s="889" t="e">
        <f>#N/A</f>
        <v>#N/A</v>
      </c>
      <c r="BG62" s="890">
        <f t="shared" si="23"/>
        <v>0</v>
      </c>
      <c r="BH62" s="891">
        <f t="shared" si="24"/>
        <v>0</v>
      </c>
      <c r="BI62" s="905">
        <f t="shared" si="25"/>
        <v>0</v>
      </c>
      <c r="BJ62" s="893"/>
      <c r="BK62" s="853"/>
      <c r="BL62"/>
    </row>
    <row r="63" spans="1:64" ht="20.25" customHeight="1">
      <c r="A63" s="2101"/>
      <c r="B63" s="970"/>
      <c r="C63" s="879" t="s">
        <v>1442</v>
      </c>
      <c r="D63" s="895" t="s">
        <v>386</v>
      </c>
      <c r="E63" s="881" t="s">
        <v>1174</v>
      </c>
      <c r="F63" s="881" t="s">
        <v>1432</v>
      </c>
      <c r="G63" s="947" t="s">
        <v>1433</v>
      </c>
      <c r="H63" s="948">
        <v>1402</v>
      </c>
      <c r="I63" s="948"/>
      <c r="J63" s="949">
        <f>I63-H63</f>
        <v>-1402</v>
      </c>
      <c r="K63" s="948">
        <v>1302</v>
      </c>
      <c r="L63" s="948"/>
      <c r="M63" s="949">
        <f>L63-K63</f>
        <v>-1302</v>
      </c>
      <c r="N63" s="948">
        <v>1201</v>
      </c>
      <c r="O63" s="948"/>
      <c r="P63" s="949">
        <f>O63-N63</f>
        <v>-1201</v>
      </c>
      <c r="Q63" s="948">
        <v>903</v>
      </c>
      <c r="R63" s="948"/>
      <c r="S63" s="949">
        <f>R63-Q63</f>
        <v>-903</v>
      </c>
      <c r="T63" s="948">
        <v>800</v>
      </c>
      <c r="U63" s="948"/>
      <c r="V63" s="949">
        <f>U63-T63</f>
        <v>-800</v>
      </c>
      <c r="W63" s="950">
        <v>421</v>
      </c>
      <c r="X63" s="951"/>
      <c r="Y63" s="934">
        <f>X63-W63</f>
        <v>-421</v>
      </c>
      <c r="Z63" s="948"/>
      <c r="AA63" s="948"/>
      <c r="AB63" s="949">
        <f>AA63-Z63</f>
        <v>0</v>
      </c>
      <c r="AC63" s="948"/>
      <c r="AD63" s="948"/>
      <c r="AE63" s="949">
        <f>AD63-AC63</f>
        <v>0</v>
      </c>
      <c r="AF63" s="948">
        <v>637</v>
      </c>
      <c r="AG63" s="948">
        <v>0</v>
      </c>
      <c r="AH63" s="949">
        <f>AG63-AF63</f>
        <v>-637</v>
      </c>
      <c r="AI63" s="948">
        <v>711</v>
      </c>
      <c r="AJ63" s="948"/>
      <c r="AK63" s="949">
        <f>AJ63-AI63</f>
        <v>-711</v>
      </c>
      <c r="AL63" s="948">
        <v>985</v>
      </c>
      <c r="AM63" s="948"/>
      <c r="AN63" s="949">
        <f>AM63-AL63</f>
        <v>-985</v>
      </c>
      <c r="AO63" s="948">
        <v>1203</v>
      </c>
      <c r="AP63" s="952"/>
      <c r="AQ63" s="953">
        <f>AP63-AO63</f>
        <v>-1203</v>
      </c>
      <c r="AR63" s="885">
        <f>SUMIF($H$5:$AQ$5,$AR$5,H63:AQ63)</f>
        <v>9565</v>
      </c>
      <c r="AS63" s="887">
        <f>SUMIF($H$5:$AQ$5,$AS$5,H63:AQ63)</f>
        <v>0</v>
      </c>
      <c r="AT63" s="899">
        <f>AS63-AR63</f>
        <v>-9565</v>
      </c>
      <c r="AU63" s="888">
        <f t="shared" si="19"/>
        <v>3905</v>
      </c>
      <c r="AV63" s="889" t="e">
        <f>#N/A</f>
        <v>#N/A</v>
      </c>
      <c r="AW63" s="889" t="e">
        <f>#N/A</f>
        <v>#N/A</v>
      </c>
      <c r="AX63" s="888">
        <f t="shared" si="20"/>
        <v>2124</v>
      </c>
      <c r="AY63" s="889" t="e">
        <f>#N/A</f>
        <v>#N/A</v>
      </c>
      <c r="AZ63" s="889" t="e">
        <f>#N/A</f>
        <v>#N/A</v>
      </c>
      <c r="BA63" s="888">
        <f t="shared" si="21"/>
        <v>637</v>
      </c>
      <c r="BB63" s="889" t="e">
        <f>#N/A</f>
        <v>#N/A</v>
      </c>
      <c r="BC63" s="889" t="e">
        <f>#N/A</f>
        <v>#N/A</v>
      </c>
      <c r="BD63" s="888">
        <f t="shared" si="22"/>
        <v>2899</v>
      </c>
      <c r="BE63" s="889" t="e">
        <f>#N/A</f>
        <v>#N/A</v>
      </c>
      <c r="BF63" s="889" t="e">
        <f>#N/A</f>
        <v>#N/A</v>
      </c>
      <c r="BG63" s="890">
        <f t="shared" si="23"/>
        <v>6029</v>
      </c>
      <c r="BH63" s="891">
        <f t="shared" si="24"/>
        <v>3536</v>
      </c>
      <c r="BI63" s="905">
        <f t="shared" si="25"/>
        <v>9565</v>
      </c>
      <c r="BJ63" s="893"/>
      <c r="BK63" s="853"/>
      <c r="BL63"/>
    </row>
    <row r="64" spans="1:64" ht="21" customHeight="1">
      <c r="A64" s="2101"/>
      <c r="B64" s="970"/>
      <c r="C64" s="879" t="s">
        <v>1442</v>
      </c>
      <c r="D64" s="895" t="s">
        <v>386</v>
      </c>
      <c r="E64" s="881" t="s">
        <v>1434</v>
      </c>
      <c r="F64" s="881" t="s">
        <v>1428</v>
      </c>
      <c r="G64" s="1040" t="s">
        <v>1435</v>
      </c>
      <c r="H64" s="948">
        <f aca="true" t="shared" si="27" ref="H64:W64">1027.272/1025.105*H61</f>
        <v>114.20454313515536</v>
      </c>
      <c r="I64" s="948">
        <f t="shared" si="27"/>
        <v>114.20454313515536</v>
      </c>
      <c r="J64" s="948">
        <f t="shared" si="27"/>
        <v>114.20454313515536</v>
      </c>
      <c r="K64" s="948">
        <f t="shared" si="27"/>
        <v>114.20454313515536</v>
      </c>
      <c r="L64" s="948">
        <f t="shared" si="27"/>
        <v>114.20454313515536</v>
      </c>
      <c r="M64" s="948">
        <f t="shared" si="27"/>
        <v>114.20454313515536</v>
      </c>
      <c r="N64" s="948">
        <f t="shared" si="27"/>
        <v>114.20454313515536</v>
      </c>
      <c r="O64" s="948">
        <f t="shared" si="27"/>
        <v>114.20454313515536</v>
      </c>
      <c r="P64" s="948">
        <f t="shared" si="27"/>
        <v>114.20454313515536</v>
      </c>
      <c r="Q64" s="948">
        <f t="shared" si="27"/>
        <v>114.20454313515536</v>
      </c>
      <c r="R64" s="948">
        <f t="shared" si="27"/>
        <v>114.20454313515536</v>
      </c>
      <c r="S64" s="948">
        <f t="shared" si="27"/>
        <v>114.20454313515536</v>
      </c>
      <c r="T64" s="948">
        <f t="shared" si="27"/>
        <v>114.20454313515536</v>
      </c>
      <c r="U64" s="948">
        <f t="shared" si="27"/>
        <v>0</v>
      </c>
      <c r="V64" s="948">
        <f t="shared" si="27"/>
        <v>-114.20454313515536</v>
      </c>
      <c r="W64" s="948">
        <f t="shared" si="27"/>
        <v>57.10227156757768</v>
      </c>
      <c r="X64" s="951">
        <f aca="true" t="shared" si="28" ref="X64:AE64">976.137/975.211*X61</f>
        <v>0</v>
      </c>
      <c r="Y64" s="951">
        <f t="shared" si="28"/>
        <v>-57.03592241438757</v>
      </c>
      <c r="Z64" s="948">
        <f t="shared" si="28"/>
        <v>0</v>
      </c>
      <c r="AA64" s="948">
        <f t="shared" si="28"/>
        <v>0</v>
      </c>
      <c r="AB64" s="948">
        <f t="shared" si="28"/>
        <v>0</v>
      </c>
      <c r="AC64" s="948">
        <f t="shared" si="28"/>
        <v>0</v>
      </c>
      <c r="AD64" s="948">
        <f t="shared" si="28"/>
        <v>0</v>
      </c>
      <c r="AE64" s="948">
        <f t="shared" si="28"/>
        <v>0</v>
      </c>
      <c r="AF64" s="948">
        <f aca="true" t="shared" si="29" ref="AF64:AO64">1027.272/1025.105*AF61</f>
        <v>57.10227156757768</v>
      </c>
      <c r="AG64" s="948">
        <f t="shared" si="29"/>
        <v>0</v>
      </c>
      <c r="AH64" s="948">
        <f t="shared" si="29"/>
        <v>-57.10227156757768</v>
      </c>
      <c r="AI64" s="948">
        <f t="shared" si="29"/>
        <v>114.20454313515536</v>
      </c>
      <c r="AJ64" s="948">
        <f t="shared" si="29"/>
        <v>114.20454313515536</v>
      </c>
      <c r="AK64" s="948">
        <f t="shared" si="29"/>
        <v>114.20454313515536</v>
      </c>
      <c r="AL64" s="948">
        <f t="shared" si="29"/>
        <v>114.20454313515536</v>
      </c>
      <c r="AM64" s="948">
        <f t="shared" si="29"/>
        <v>114.20454313515536</v>
      </c>
      <c r="AN64" s="948">
        <f t="shared" si="29"/>
        <v>114.20454313515536</v>
      </c>
      <c r="AO64" s="948">
        <f t="shared" si="29"/>
        <v>114.20454313515536</v>
      </c>
      <c r="AP64" s="1032"/>
      <c r="AQ64" s="1033"/>
      <c r="AR64" s="959">
        <f>SUMIF($H$5:$AQ$5,$AR$5,H64:AQ64)</f>
        <v>1027.8408882163983</v>
      </c>
      <c r="AS64" s="887">
        <f>SUMIF($H$5:$AQ$5,$AS$5,H64:AQ64)</f>
        <v>685.2272588109322</v>
      </c>
      <c r="AT64" s="899">
        <f>AS64-AR64</f>
        <v>-342.6136294054661</v>
      </c>
      <c r="AU64" s="888">
        <f t="shared" si="19"/>
        <v>342.6136294054661</v>
      </c>
      <c r="AV64" s="889" t="e">
        <f>#N/A</f>
        <v>#N/A</v>
      </c>
      <c r="AW64" s="889" t="e">
        <f>#N/A</f>
        <v>#N/A</v>
      </c>
      <c r="AX64" s="888">
        <f t="shared" si="20"/>
        <v>285.5113578378884</v>
      </c>
      <c r="AY64" s="889" t="e">
        <f>#N/A</f>
        <v>#N/A</v>
      </c>
      <c r="AZ64" s="889" t="e">
        <f>#N/A</f>
        <v>#N/A</v>
      </c>
      <c r="BA64" s="888">
        <f t="shared" si="21"/>
        <v>57.10227156757768</v>
      </c>
      <c r="BB64" s="889" t="e">
        <f>#N/A</f>
        <v>#N/A</v>
      </c>
      <c r="BC64" s="889" t="e">
        <f>#N/A</f>
        <v>#N/A</v>
      </c>
      <c r="BD64" s="888">
        <f t="shared" si="22"/>
        <v>342.6136294054661</v>
      </c>
      <c r="BE64" s="889" t="e">
        <f>#N/A</f>
        <v>#N/A</v>
      </c>
      <c r="BF64" s="889" t="e">
        <f>#N/A</f>
        <v>#N/A</v>
      </c>
      <c r="BG64" s="890">
        <f t="shared" si="23"/>
        <v>628.1249872433546</v>
      </c>
      <c r="BH64" s="891">
        <f t="shared" si="24"/>
        <v>399.7159009730438</v>
      </c>
      <c r="BI64" s="905">
        <f t="shared" si="25"/>
        <v>1027.8408882163983</v>
      </c>
      <c r="BJ64" s="893" t="s">
        <v>1436</v>
      </c>
      <c r="BK64" s="853"/>
      <c r="BL64"/>
    </row>
    <row r="65" spans="1:64" ht="26.25" customHeight="1">
      <c r="A65" s="2102"/>
      <c r="B65" s="970"/>
      <c r="C65" s="879" t="s">
        <v>1442</v>
      </c>
      <c r="D65" s="895" t="s">
        <v>386</v>
      </c>
      <c r="E65" s="881" t="s">
        <v>1437</v>
      </c>
      <c r="F65" s="881" t="s">
        <v>1428</v>
      </c>
      <c r="G65" s="960" t="s">
        <v>1438</v>
      </c>
      <c r="H65" s="943"/>
      <c r="I65" s="943"/>
      <c r="J65" s="884">
        <f>I65-H65</f>
        <v>0</v>
      </c>
      <c r="K65" s="943"/>
      <c r="L65" s="943"/>
      <c r="M65" s="884">
        <f>L65-K65</f>
        <v>0</v>
      </c>
      <c r="N65" s="943"/>
      <c r="O65" s="943"/>
      <c r="P65" s="884">
        <f>O65-N65</f>
        <v>0</v>
      </c>
      <c r="Q65" s="943"/>
      <c r="R65" s="943"/>
      <c r="S65" s="884">
        <f>R65-Q65</f>
        <v>0</v>
      </c>
      <c r="T65" s="943"/>
      <c r="U65" s="943"/>
      <c r="V65" s="884">
        <f>U65-T65</f>
        <v>0</v>
      </c>
      <c r="W65" s="943"/>
      <c r="X65" s="943"/>
      <c r="Y65" s="884">
        <f>X65-W65</f>
        <v>0</v>
      </c>
      <c r="Z65" s="943"/>
      <c r="AA65" s="943"/>
      <c r="AB65" s="884">
        <f>AA65-Z65</f>
        <v>0</v>
      </c>
      <c r="AC65" s="943"/>
      <c r="AD65" s="943"/>
      <c r="AE65" s="884">
        <f>AD65-AC65</f>
        <v>0</v>
      </c>
      <c r="AF65" s="943"/>
      <c r="AG65" s="943"/>
      <c r="AH65" s="884">
        <f>AG65-AF65</f>
        <v>0</v>
      </c>
      <c r="AI65" s="943"/>
      <c r="AJ65" s="943"/>
      <c r="AK65" s="884">
        <f>AJ65-AI65</f>
        <v>0</v>
      </c>
      <c r="AL65" s="943"/>
      <c r="AM65" s="943"/>
      <c r="AN65" s="884">
        <f>AM65-AL65</f>
        <v>0</v>
      </c>
      <c r="AO65" s="943"/>
      <c r="AP65" s="943"/>
      <c r="AQ65" s="967">
        <f>AP65-AO65</f>
        <v>0</v>
      </c>
      <c r="AR65" s="885">
        <f>SUMIF($H$5:$AQ$5,$AR$5,H65:AQ65)</f>
        <v>0</v>
      </c>
      <c r="AS65" s="969">
        <f>SUMIF($H$5:$AQ$5,$AS$5,H65:AQ65)</f>
        <v>0</v>
      </c>
      <c r="AT65" s="899">
        <f>AS65-AR65</f>
        <v>0</v>
      </c>
      <c r="AU65" s="888">
        <f t="shared" si="19"/>
        <v>0</v>
      </c>
      <c r="AV65" s="889" t="e">
        <f>#N/A</f>
        <v>#N/A</v>
      </c>
      <c r="AW65" s="889" t="e">
        <f>#N/A</f>
        <v>#N/A</v>
      </c>
      <c r="AX65" s="888">
        <f t="shared" si="20"/>
        <v>0</v>
      </c>
      <c r="AY65" s="889" t="e">
        <f>#N/A</f>
        <v>#N/A</v>
      </c>
      <c r="AZ65" s="889" t="e">
        <f>#N/A</f>
        <v>#N/A</v>
      </c>
      <c r="BA65" s="888">
        <f t="shared" si="21"/>
        <v>0</v>
      </c>
      <c r="BB65" s="889" t="e">
        <f>#N/A</f>
        <v>#N/A</v>
      </c>
      <c r="BC65" s="889" t="e">
        <f>#N/A</f>
        <v>#N/A</v>
      </c>
      <c r="BD65" s="888">
        <f t="shared" si="22"/>
        <v>0</v>
      </c>
      <c r="BE65" s="889" t="e">
        <f>#N/A</f>
        <v>#N/A</v>
      </c>
      <c r="BF65" s="889" t="e">
        <f>#N/A</f>
        <v>#N/A</v>
      </c>
      <c r="BG65" s="890">
        <f t="shared" si="23"/>
        <v>0</v>
      </c>
      <c r="BH65" s="891">
        <f t="shared" si="24"/>
        <v>0</v>
      </c>
      <c r="BI65" s="905">
        <f t="shared" si="25"/>
        <v>0</v>
      </c>
      <c r="BJ65" s="893"/>
      <c r="BK65" s="853"/>
      <c r="BL65"/>
    </row>
    <row r="66" spans="1:64" ht="18.75" customHeight="1">
      <c r="A66" s="961"/>
      <c r="B66" s="961"/>
      <c r="C66" s="961"/>
      <c r="D66" s="961"/>
      <c r="E66" s="961"/>
      <c r="F66" s="961"/>
      <c r="G66" s="961"/>
      <c r="H66" s="961"/>
      <c r="I66" s="961"/>
      <c r="J66" s="961"/>
      <c r="K66" s="961"/>
      <c r="L66" s="961"/>
      <c r="M66" s="961"/>
      <c r="N66" s="961"/>
      <c r="O66" s="961"/>
      <c r="P66" s="961"/>
      <c r="Q66" s="961"/>
      <c r="R66" s="961"/>
      <c r="S66" s="961"/>
      <c r="T66" s="961"/>
      <c r="U66" s="961"/>
      <c r="V66" s="961"/>
      <c r="W66" s="961"/>
      <c r="X66" s="961"/>
      <c r="Y66" s="961"/>
      <c r="Z66" s="961"/>
      <c r="AA66" s="961"/>
      <c r="AB66" s="961"/>
      <c r="AC66" s="961"/>
      <c r="AD66" s="961"/>
      <c r="AE66" s="961"/>
      <c r="AF66" s="961"/>
      <c r="AG66" s="961"/>
      <c r="AH66" s="961"/>
      <c r="AI66" s="961"/>
      <c r="AJ66" s="961"/>
      <c r="AK66" s="961"/>
      <c r="AL66" s="961"/>
      <c r="AM66" s="961"/>
      <c r="AN66" s="961"/>
      <c r="AO66" s="961"/>
      <c r="AP66" s="961"/>
      <c r="AQ66" s="961"/>
      <c r="AR66" s="961" t="s">
        <v>1278</v>
      </c>
      <c r="AS66" s="963"/>
      <c r="AT66" s="961"/>
      <c r="AU66" s="961"/>
      <c r="AV66" s="961"/>
      <c r="AW66" s="961"/>
      <c r="AX66" s="961"/>
      <c r="AY66" s="961"/>
      <c r="AZ66" s="961"/>
      <c r="BA66" s="961"/>
      <c r="BB66" s="961"/>
      <c r="BC66" s="961"/>
      <c r="BD66" s="961"/>
      <c r="BE66" s="961"/>
      <c r="BF66" s="961"/>
      <c r="BG66" s="961"/>
      <c r="BH66" s="964"/>
      <c r="BI66" s="965"/>
      <c r="BJ66" s="1041"/>
      <c r="BK66" s="961"/>
      <c r="BL66"/>
    </row>
    <row r="67" spans="1:64" ht="18.75" customHeight="1">
      <c r="A67" s="2100" t="s">
        <v>1443</v>
      </c>
      <c r="B67" s="966" t="s">
        <v>384</v>
      </c>
      <c r="C67" s="879" t="s">
        <v>1442</v>
      </c>
      <c r="D67" s="880" t="s">
        <v>386</v>
      </c>
      <c r="E67" s="881" t="s">
        <v>238</v>
      </c>
      <c r="F67" s="881" t="s">
        <v>387</v>
      </c>
      <c r="G67" s="882" t="s">
        <v>388</v>
      </c>
      <c r="H67" s="883">
        <f>SUM(H68:H69)</f>
        <v>34.609232920168694</v>
      </c>
      <c r="I67" s="883">
        <f>SUM(I68:I69)</f>
        <v>4.477022723848023</v>
      </c>
      <c r="J67" s="884" t="e">
        <f>#N/A</f>
        <v>#N/A</v>
      </c>
      <c r="K67" s="883">
        <f>SUM(K68:K69)</f>
        <v>31.601719741283297</v>
      </c>
      <c r="L67" s="883">
        <f>SUM(L68:L69)</f>
        <v>0</v>
      </c>
      <c r="M67" s="884">
        <f>L67-K67</f>
        <v>-31.601719741283297</v>
      </c>
      <c r="N67" s="883">
        <f>SUM(N68:N69)</f>
        <v>30.880456228748674</v>
      </c>
      <c r="O67" s="883">
        <f>SUM(O68:O69)</f>
        <v>4.477022723848023</v>
      </c>
      <c r="P67" s="884">
        <f>O67-N67</f>
        <v>-26.40343350490065</v>
      </c>
      <c r="Q67" s="883">
        <f>SUM(Q68:Q69)</f>
        <v>25.151859697538406</v>
      </c>
      <c r="R67" s="883">
        <f>SUM(R68:R69)</f>
        <v>4.477022723848023</v>
      </c>
      <c r="S67" s="884">
        <f>R67-Q67</f>
        <v>-20.674836973690383</v>
      </c>
      <c r="T67" s="883">
        <f>SUM(T68:T69)</f>
        <v>20.29915727363638</v>
      </c>
      <c r="U67" s="883">
        <f>SUM(U68:U69)</f>
        <v>4.477022723848023</v>
      </c>
      <c r="V67" s="884">
        <f>U67-T67</f>
        <v>-15.822134549788355</v>
      </c>
      <c r="W67" s="883">
        <f>SUM(W68:W69)</f>
        <v>9.45114648727027</v>
      </c>
      <c r="X67" s="883">
        <f>SUM(X68:X69)</f>
        <v>4.477022723848023</v>
      </c>
      <c r="Y67" s="884">
        <f>X67-W67</f>
        <v>-4.974123763422247</v>
      </c>
      <c r="Z67" s="883">
        <f>SUM(Z68:Z69)</f>
        <v>4.477022723848023</v>
      </c>
      <c r="AA67" s="883">
        <f>SUM(AA68:AA69)</f>
        <v>4.477022723848023</v>
      </c>
      <c r="AB67" s="884">
        <f>AA67-Z67</f>
        <v>0</v>
      </c>
      <c r="AC67" s="883">
        <f>SUM(AC68:AC69)</f>
        <v>4.477022723848023</v>
      </c>
      <c r="AD67" s="883">
        <f>SUM(AD68:AD69)</f>
        <v>4.477022723848023</v>
      </c>
      <c r="AE67" s="884">
        <f>AD67-AC67</f>
        <v>0</v>
      </c>
      <c r="AF67" s="883">
        <f>SUM(AF68:AF69)</f>
        <v>9.207266019003166</v>
      </c>
      <c r="AG67" s="883">
        <f>SUM(AG68:AG69)</f>
        <v>4.477022723848023</v>
      </c>
      <c r="AH67" s="884">
        <f>AG67-AF67</f>
        <v>-4.730243295155143</v>
      </c>
      <c r="AI67" s="883">
        <f>SUM(AI68:AI69)</f>
        <v>19.59346059950178</v>
      </c>
      <c r="AJ67" s="883">
        <f>SUM(AJ68:AJ69)</f>
        <v>4.477022723848023</v>
      </c>
      <c r="AK67" s="884">
        <f>AJ67-AI67</f>
        <v>-15.116437875653755</v>
      </c>
      <c r="AL67" s="883">
        <f>SUM(AL68:AL69)</f>
        <v>25.63962063407261</v>
      </c>
      <c r="AM67" s="883">
        <f>SUM(AM68:AM69)</f>
        <v>0</v>
      </c>
      <c r="AN67" s="884">
        <f>AM67-AL67</f>
        <v>-25.63962063407261</v>
      </c>
      <c r="AO67" s="883">
        <f>SUM(AO68:AO69)</f>
        <v>31.081787338722364</v>
      </c>
      <c r="AP67" s="883">
        <f>SUM(AP68:AP69)</f>
        <v>0</v>
      </c>
      <c r="AQ67" s="967">
        <f>AP67-AO67</f>
        <v>-31.081787338722364</v>
      </c>
      <c r="AR67" s="968">
        <f>SUMIF($H$5:$AQ$5,$AR$5,H67:AQ67)</f>
        <v>246.46975238764168</v>
      </c>
      <c r="AS67" s="969">
        <f>SUMIF($H$5:$AQ$5,$AS$5,H67:AQ67)</f>
        <v>40.29320451463221</v>
      </c>
      <c r="AT67" s="887" t="e">
        <f>#N/A</f>
        <v>#N/A</v>
      </c>
      <c r="AU67" s="888">
        <f>H67+K67+N67</f>
        <v>97.09140889020065</v>
      </c>
      <c r="AV67" s="889" t="e">
        <f>#N/A</f>
        <v>#N/A</v>
      </c>
      <c r="AW67" s="889" t="e">
        <f>#N/A</f>
        <v>#N/A</v>
      </c>
      <c r="AX67" s="888">
        <f>Q67+T67+W67</f>
        <v>54.90216345844505</v>
      </c>
      <c r="AY67" s="889" t="e">
        <f>#N/A</f>
        <v>#N/A</v>
      </c>
      <c r="AZ67" s="889" t="e">
        <f>#N/A</f>
        <v>#N/A</v>
      </c>
      <c r="BA67" s="888">
        <f>Z67+AC67+AF67</f>
        <v>18.16131146669921</v>
      </c>
      <c r="BB67" s="889" t="e">
        <f>#N/A</f>
        <v>#N/A</v>
      </c>
      <c r="BC67" s="889" t="e">
        <f>#N/A</f>
        <v>#N/A</v>
      </c>
      <c r="BD67" s="888">
        <f>AI67+AL67+AO67</f>
        <v>76.31486857229675</v>
      </c>
      <c r="BE67" s="889" t="e">
        <f>#N/A</f>
        <v>#N/A</v>
      </c>
      <c r="BF67" s="889" t="e">
        <f>#N/A</f>
        <v>#N/A</v>
      </c>
      <c r="BG67" s="890">
        <f>AU67+AX67</f>
        <v>151.9935723486457</v>
      </c>
      <c r="BH67" s="891">
        <f>BA67+BD67</f>
        <v>94.47618003899595</v>
      </c>
      <c r="BI67" s="905">
        <f>BG67+BH67</f>
        <v>246.46975238764165</v>
      </c>
      <c r="BJ67" s="893" t="s">
        <v>389</v>
      </c>
      <c r="BK67" s="853"/>
      <c r="BL67"/>
    </row>
    <row r="68" spans="1:64" ht="18.75" customHeight="1">
      <c r="A68" s="2101"/>
      <c r="B68" s="970" t="s">
        <v>390</v>
      </c>
      <c r="C68" s="879" t="s">
        <v>1442</v>
      </c>
      <c r="D68" s="895" t="s">
        <v>386</v>
      </c>
      <c r="E68" s="881" t="s">
        <v>240</v>
      </c>
      <c r="F68" s="881" t="s">
        <v>387</v>
      </c>
      <c r="G68" s="882" t="s">
        <v>20</v>
      </c>
      <c r="H68" s="888">
        <f>H69*0.01/0.99</f>
        <v>0.3460923292016869</v>
      </c>
      <c r="I68" s="888">
        <f>I69*0.01/0.99</f>
        <v>0.04477022723848023</v>
      </c>
      <c r="J68" s="884" t="e">
        <f>#N/A</f>
        <v>#N/A</v>
      </c>
      <c r="K68" s="888">
        <f>K69*0.01/0.99</f>
        <v>0.31601719741283296</v>
      </c>
      <c r="L68" s="888">
        <f>L69*0.01/0.99</f>
        <v>0</v>
      </c>
      <c r="M68" s="884">
        <f>L68-K68</f>
        <v>-0.31601719741283296</v>
      </c>
      <c r="N68" s="888">
        <f>N69*0.01/0.99</f>
        <v>0.3088045622874867</v>
      </c>
      <c r="O68" s="888">
        <f>O69*0.01/0.99</f>
        <v>0.04477022723848023</v>
      </c>
      <c r="P68" s="884">
        <f>O68-N68</f>
        <v>-0.2640343350490065</v>
      </c>
      <c r="Q68" s="888">
        <f>Q69*0.01/0.99</f>
        <v>0.2515185969753841</v>
      </c>
      <c r="R68" s="888">
        <f>R69*0.01/0.99</f>
        <v>0.04477022723848023</v>
      </c>
      <c r="S68" s="884">
        <f>R68-Q68</f>
        <v>-0.20674836973690386</v>
      </c>
      <c r="T68" s="888">
        <f>T69*0.01/0.99</f>
        <v>0.2029915727363638</v>
      </c>
      <c r="U68" s="888">
        <f>U69*0.01/0.99</f>
        <v>0.04477022723848023</v>
      </c>
      <c r="V68" s="884">
        <f>U68-T68</f>
        <v>-0.15822134549788358</v>
      </c>
      <c r="W68" s="888">
        <f>W69*0.01/0.99</f>
        <v>0.0945114648727027</v>
      </c>
      <c r="X68" s="888">
        <f>X69*0.01/0.99</f>
        <v>0.04477022723848023</v>
      </c>
      <c r="Y68" s="884">
        <f>X68-W68</f>
        <v>-0.049741237634222474</v>
      </c>
      <c r="Z68" s="888">
        <f>Z69*0.01/0.99</f>
        <v>0.04477022723848023</v>
      </c>
      <c r="AA68" s="888">
        <f>AA69*0.01/0.99</f>
        <v>0.04477022723848023</v>
      </c>
      <c r="AB68" s="884">
        <f>AA68-Z68</f>
        <v>0</v>
      </c>
      <c r="AC68" s="888">
        <f>AC69*0.01/0.99</f>
        <v>0.04477022723848023</v>
      </c>
      <c r="AD68" s="888">
        <f>AD69*0.01/0.99</f>
        <v>0.04477022723848023</v>
      </c>
      <c r="AE68" s="884">
        <f>AD68-AC68</f>
        <v>0</v>
      </c>
      <c r="AF68" s="888">
        <f>AF69*0.01/0.99</f>
        <v>0.09207266019003166</v>
      </c>
      <c r="AG68" s="888">
        <f>AG69*0.01/0.99</f>
        <v>0.04477022723848023</v>
      </c>
      <c r="AH68" s="884">
        <f>AG68-AF68</f>
        <v>-0.047302432951551426</v>
      </c>
      <c r="AI68" s="888">
        <f>AI69*0.01/0.99</f>
        <v>0.1959346059950178</v>
      </c>
      <c r="AJ68" s="888">
        <f>AJ69*0.01/0.99</f>
        <v>0.04477022723848023</v>
      </c>
      <c r="AK68" s="884">
        <f>AJ68-AI68</f>
        <v>-0.15116437875653757</v>
      </c>
      <c r="AL68" s="888">
        <f>AL69*0.01/0.99</f>
        <v>0.25639620634072613</v>
      </c>
      <c r="AM68" s="888">
        <f>AM69*0.01/0.99</f>
        <v>0</v>
      </c>
      <c r="AN68" s="884">
        <f>AM68-AL68</f>
        <v>-0.25639620634072613</v>
      </c>
      <c r="AO68" s="888">
        <f>AO69*0.01/0.99</f>
        <v>0.31081787338722366</v>
      </c>
      <c r="AP68" s="888">
        <f>AP69*0.01/0.99</f>
        <v>0</v>
      </c>
      <c r="AQ68" s="967">
        <f>AP68-AO68</f>
        <v>-0.31081787338722366</v>
      </c>
      <c r="AR68" s="885">
        <f>SUMIF($H$5:$AQ$5,$AR$5,H68:AQ68)</f>
        <v>2.4646975238764166</v>
      </c>
      <c r="AS68" s="969">
        <f>SUMIF($H$5:$AQ$5,$AS$5,H68:AQ68)</f>
        <v>0.4029320451463221</v>
      </c>
      <c r="AT68" s="899" t="e">
        <f>#N/A</f>
        <v>#N/A</v>
      </c>
      <c r="AU68" s="888">
        <f>H68+K68+N68</f>
        <v>0.9709140889020065</v>
      </c>
      <c r="AV68" s="889" t="e">
        <f>#N/A</f>
        <v>#N/A</v>
      </c>
      <c r="AW68" s="889" t="e">
        <f>#N/A</f>
        <v>#N/A</v>
      </c>
      <c r="AX68" s="888">
        <f>Q68+T68+W68</f>
        <v>0.5490216345844506</v>
      </c>
      <c r="AY68" s="889" t="e">
        <f>#N/A</f>
        <v>#N/A</v>
      </c>
      <c r="AZ68" s="889" t="e">
        <f>#N/A</f>
        <v>#N/A</v>
      </c>
      <c r="BA68" s="888">
        <f>Z68+AC68+AF68</f>
        <v>0.18161311466699212</v>
      </c>
      <c r="BB68" s="889" t="e">
        <f>#N/A</f>
        <v>#N/A</v>
      </c>
      <c r="BC68" s="889" t="e">
        <f>#N/A</f>
        <v>#N/A</v>
      </c>
      <c r="BD68" s="888">
        <f>AI68+AL68+AO68</f>
        <v>0.7631486857229676</v>
      </c>
      <c r="BE68" s="889" t="e">
        <f>#N/A</f>
        <v>#N/A</v>
      </c>
      <c r="BF68" s="889" t="e">
        <f>#N/A</f>
        <v>#N/A</v>
      </c>
      <c r="BG68" s="890">
        <f>AU68+AX68</f>
        <v>1.5199357234864572</v>
      </c>
      <c r="BH68" s="891">
        <f>BA68+BD68</f>
        <v>0.9447618003899597</v>
      </c>
      <c r="BI68" s="905">
        <f>BG68+BH68</f>
        <v>2.464697523876417</v>
      </c>
      <c r="BJ68" s="893" t="s">
        <v>21</v>
      </c>
      <c r="BK68" s="853"/>
      <c r="BL68"/>
    </row>
    <row r="69" spans="1:64" ht="18.75" customHeight="1">
      <c r="A69" s="2101"/>
      <c r="B69" s="970"/>
      <c r="C69" s="879" t="s">
        <v>1442</v>
      </c>
      <c r="D69" s="895" t="s">
        <v>386</v>
      </c>
      <c r="E69" s="881" t="s">
        <v>241</v>
      </c>
      <c r="F69" s="881" t="s">
        <v>387</v>
      </c>
      <c r="G69" s="882" t="s">
        <v>22</v>
      </c>
      <c r="H69" s="903">
        <f>SUM(H70,H72)</f>
        <v>34.263140590967005</v>
      </c>
      <c r="I69" s="904">
        <f>SUM(I70,I72)</f>
        <v>4.432252496609543</v>
      </c>
      <c r="J69" s="884" t="e">
        <f>#N/A</f>
        <v>#N/A</v>
      </c>
      <c r="K69" s="903">
        <f>SUM(K70,K72)</f>
        <v>31.285702543870464</v>
      </c>
      <c r="L69" s="904">
        <f>SUM(L70,L72)</f>
        <v>0</v>
      </c>
      <c r="M69" s="884">
        <f>L69-K69</f>
        <v>-31.285702543870464</v>
      </c>
      <c r="N69" s="903">
        <f>SUM(N70,N72)</f>
        <v>30.571651666461186</v>
      </c>
      <c r="O69" s="904">
        <f>SUM(O70,O72)</f>
        <v>4.432252496609543</v>
      </c>
      <c r="P69" s="884">
        <f>O69-N69</f>
        <v>-26.139399169851643</v>
      </c>
      <c r="Q69" s="903">
        <f>SUM(Q70,Q72)</f>
        <v>24.900341100563022</v>
      </c>
      <c r="R69" s="904">
        <f>SUM(R70,R72)</f>
        <v>4.432252496609543</v>
      </c>
      <c r="S69" s="884">
        <f>R69-Q69</f>
        <v>-20.46808860395348</v>
      </c>
      <c r="T69" s="903">
        <f>SUM(T70,T72)</f>
        <v>20.096165700900016</v>
      </c>
      <c r="U69" s="904">
        <f>SUM(U70,U72)</f>
        <v>4.432252496609543</v>
      </c>
      <c r="V69" s="884">
        <f>U69-T69</f>
        <v>-15.663913204290473</v>
      </c>
      <c r="W69" s="903">
        <f>SUM(W70,W72)</f>
        <v>9.356635022397567</v>
      </c>
      <c r="X69" s="904">
        <f>SUM(X70,X72)</f>
        <v>4.432252496609543</v>
      </c>
      <c r="Y69" s="884">
        <f>X69-W69</f>
        <v>-4.924382525788024</v>
      </c>
      <c r="Z69" s="903">
        <f>SUM(Z70,Z72)</f>
        <v>4.432252496609543</v>
      </c>
      <c r="AA69" s="904">
        <f>SUM(AA70,AA72)</f>
        <v>4.432252496609543</v>
      </c>
      <c r="AB69" s="884">
        <f>AA69-Z69</f>
        <v>0</v>
      </c>
      <c r="AC69" s="903">
        <f>SUM(AC70,AC72)</f>
        <v>4.432252496609543</v>
      </c>
      <c r="AD69" s="904">
        <f>SUM(AD70,AD72)</f>
        <v>4.432252496609543</v>
      </c>
      <c r="AE69" s="884">
        <f>AD69-AC69</f>
        <v>0</v>
      </c>
      <c r="AF69" s="903">
        <f>SUM(AF70,AF72)</f>
        <v>9.115193358813134</v>
      </c>
      <c r="AG69" s="904">
        <f>SUM(AG70,AG72)</f>
        <v>4.432252496609543</v>
      </c>
      <c r="AH69" s="884">
        <f>AG69-AF69</f>
        <v>-4.682940862203591</v>
      </c>
      <c r="AI69" s="903">
        <f>SUM(AI70,AI72)</f>
        <v>19.39752599350676</v>
      </c>
      <c r="AJ69" s="904">
        <f>SUM(AJ70,AJ72)</f>
        <v>4.432252496609543</v>
      </c>
      <c r="AK69" s="884">
        <f>AJ69-AI69</f>
        <v>-14.965273496897218</v>
      </c>
      <c r="AL69" s="903">
        <f>SUM(AL70,AL72)</f>
        <v>25.383224427731886</v>
      </c>
      <c r="AM69" s="904">
        <f>SUM(AM70,AM72)</f>
        <v>0</v>
      </c>
      <c r="AN69" s="884">
        <f>AM69-AL69</f>
        <v>-25.383224427731886</v>
      </c>
      <c r="AO69" s="903">
        <f>SUM(AO70,AO72)</f>
        <v>30.770969465335142</v>
      </c>
      <c r="AP69" s="904">
        <f>SUM(AP70,AP72)</f>
        <v>0</v>
      </c>
      <c r="AQ69" s="967">
        <f>AP69-AO69</f>
        <v>-30.770969465335142</v>
      </c>
      <c r="AR69" s="885">
        <f>SUMIF($H$5:$AQ$5,$AR$5,H69:AQ69)</f>
        <v>244.00505486376534</v>
      </c>
      <c r="AS69" s="969">
        <f>SUMIF($H$5:$AQ$5,$AS$5,H69:AQ69)</f>
        <v>39.890272469485886</v>
      </c>
      <c r="AT69" s="887" t="e">
        <f>#N/A</f>
        <v>#N/A</v>
      </c>
      <c r="AU69" s="888">
        <f>H69+K69+N69</f>
        <v>96.12049480129866</v>
      </c>
      <c r="AV69" s="889" t="e">
        <f>#N/A</f>
        <v>#N/A</v>
      </c>
      <c r="AW69" s="889" t="e">
        <f>#N/A</f>
        <v>#N/A</v>
      </c>
      <c r="AX69" s="888">
        <f>Q69+T69+W69</f>
        <v>54.35314182386061</v>
      </c>
      <c r="AY69" s="889" t="e">
        <f>#N/A</f>
        <v>#N/A</v>
      </c>
      <c r="AZ69" s="889" t="e">
        <f>#N/A</f>
        <v>#N/A</v>
      </c>
      <c r="BA69" s="888">
        <f>Z69+AC69+AF69</f>
        <v>17.97969835203222</v>
      </c>
      <c r="BB69" s="889" t="e">
        <f>#N/A</f>
        <v>#N/A</v>
      </c>
      <c r="BC69" s="889" t="e">
        <f>#N/A</f>
        <v>#N/A</v>
      </c>
      <c r="BD69" s="888">
        <f>AI69+AL69+AO69</f>
        <v>75.55171988657379</v>
      </c>
      <c r="BE69" s="889" t="e">
        <f>#N/A</f>
        <v>#N/A</v>
      </c>
      <c r="BF69" s="889" t="e">
        <f>#N/A</f>
        <v>#N/A</v>
      </c>
      <c r="BG69" s="890">
        <f>AU69+AX69</f>
        <v>150.47363662515926</v>
      </c>
      <c r="BH69" s="891">
        <f>BA69+BD69</f>
        <v>93.53141823860601</v>
      </c>
      <c r="BI69" s="905">
        <f>BG69+BH69</f>
        <v>244.00505486376528</v>
      </c>
      <c r="BJ69" s="893" t="s">
        <v>23</v>
      </c>
      <c r="BK69" s="853"/>
      <c r="BL69"/>
    </row>
    <row r="70" spans="1:64" ht="18.75" customHeight="1">
      <c r="A70" s="2101"/>
      <c r="B70" s="970"/>
      <c r="C70" s="879" t="s">
        <v>1442</v>
      </c>
      <c r="D70" s="895" t="s">
        <v>386</v>
      </c>
      <c r="E70" s="881" t="s">
        <v>242</v>
      </c>
      <c r="F70" s="881" t="s">
        <v>387</v>
      </c>
      <c r="G70" s="906" t="s">
        <v>1415</v>
      </c>
      <c r="H70" s="971">
        <f aca="true" t="shared" si="30" ref="H70:AO70">H72*0.02668/(1-0.02668)</f>
        <v>0.9141405909669996</v>
      </c>
      <c r="I70" s="971">
        <f t="shared" si="30"/>
        <v>0.1182524966095426</v>
      </c>
      <c r="J70" s="971" t="e">
        <f t="shared" si="30"/>
        <v>#N/A</v>
      </c>
      <c r="K70" s="971">
        <f t="shared" si="30"/>
        <v>0.834702543870464</v>
      </c>
      <c r="L70" s="971">
        <f t="shared" si="30"/>
        <v>0</v>
      </c>
      <c r="M70" s="971">
        <f t="shared" si="30"/>
        <v>-0.834702543870464</v>
      </c>
      <c r="N70" s="971">
        <f t="shared" si="30"/>
        <v>0.8156516664611844</v>
      </c>
      <c r="O70" s="971">
        <f t="shared" si="30"/>
        <v>0.1182524966095426</v>
      </c>
      <c r="P70" s="971">
        <f t="shared" si="30"/>
        <v>-0.6973991698516419</v>
      </c>
      <c r="Q70" s="971">
        <f t="shared" si="30"/>
        <v>0.6643411005630214</v>
      </c>
      <c r="R70" s="971">
        <f t="shared" si="30"/>
        <v>0.1182524966095426</v>
      </c>
      <c r="S70" s="971">
        <f t="shared" si="30"/>
        <v>-0.5460886039534788</v>
      </c>
      <c r="T70" s="971">
        <f t="shared" si="30"/>
        <v>0.5361657009000124</v>
      </c>
      <c r="U70" s="971">
        <f t="shared" si="30"/>
        <v>0.1182524966095426</v>
      </c>
      <c r="V70" s="971">
        <f t="shared" si="30"/>
        <v>-0.4179132042904698</v>
      </c>
      <c r="W70" s="971">
        <f t="shared" si="30"/>
        <v>0.24963502239756707</v>
      </c>
      <c r="X70" s="972">
        <f t="shared" si="30"/>
        <v>0.1182524966095426</v>
      </c>
      <c r="Y70" s="972">
        <f t="shared" si="30"/>
        <v>-0.13138252578802448</v>
      </c>
      <c r="Z70" s="971">
        <f t="shared" si="30"/>
        <v>0.1182524966095426</v>
      </c>
      <c r="AA70" s="971">
        <f t="shared" si="30"/>
        <v>0.1182524966095426</v>
      </c>
      <c r="AB70" s="971">
        <f t="shared" si="30"/>
        <v>0</v>
      </c>
      <c r="AC70" s="971">
        <f t="shared" si="30"/>
        <v>0.1182524966095426</v>
      </c>
      <c r="AD70" s="971">
        <f t="shared" si="30"/>
        <v>0.1182524966095426</v>
      </c>
      <c r="AE70" s="971">
        <f t="shared" si="30"/>
        <v>0</v>
      </c>
      <c r="AF70" s="971">
        <f t="shared" si="30"/>
        <v>0.24319335881313442</v>
      </c>
      <c r="AG70" s="971">
        <f t="shared" si="30"/>
        <v>0.1182524966095426</v>
      </c>
      <c r="AH70" s="971">
        <f t="shared" si="30"/>
        <v>-0.12494086220359182</v>
      </c>
      <c r="AI70" s="971">
        <f t="shared" si="30"/>
        <v>0.5175259935067604</v>
      </c>
      <c r="AJ70" s="971">
        <f t="shared" si="30"/>
        <v>0.1182524966095426</v>
      </c>
      <c r="AK70" s="971">
        <f t="shared" si="30"/>
        <v>-0.39927349689721786</v>
      </c>
      <c r="AL70" s="971">
        <f t="shared" si="30"/>
        <v>0.6772244277318867</v>
      </c>
      <c r="AM70" s="971">
        <f t="shared" si="30"/>
        <v>0</v>
      </c>
      <c r="AN70" s="971">
        <f t="shared" si="30"/>
        <v>-0.6772244277318867</v>
      </c>
      <c r="AO70" s="971">
        <f t="shared" si="30"/>
        <v>0.8209694653351416</v>
      </c>
      <c r="AP70" s="888">
        <f>AP72*0.018/(1-0.018)</f>
        <v>0</v>
      </c>
      <c r="AQ70" s="967">
        <f>AP70-AO70</f>
        <v>-0.8209694653351416</v>
      </c>
      <c r="AR70" s="909">
        <f>H70+K70+N70+Q70+T70+W70+Z70+AC70+AF70+AI70+AL70+AO70</f>
        <v>6.510054863765259</v>
      </c>
      <c r="AS70" s="969">
        <f>SUMIF($H$5:$AQ$5,$AS$5,H70:AQ70)</f>
        <v>1.0642724694858834</v>
      </c>
      <c r="AT70" s="899" t="e">
        <f>#N/A</f>
        <v>#N/A</v>
      </c>
      <c r="AU70" s="888">
        <f>H70+K70+N70</f>
        <v>2.564494801298648</v>
      </c>
      <c r="AV70" s="889" t="e">
        <f>#N/A</f>
        <v>#N/A</v>
      </c>
      <c r="AW70" s="889" t="e">
        <f>#N/A</f>
        <v>#N/A</v>
      </c>
      <c r="AX70" s="888">
        <f>Q70+T70+W70</f>
        <v>1.450141823860601</v>
      </c>
      <c r="AY70" s="889" t="e">
        <f>#N/A</f>
        <v>#N/A</v>
      </c>
      <c r="AZ70" s="889" t="e">
        <f>#N/A</f>
        <v>#N/A</v>
      </c>
      <c r="BA70" s="888">
        <f>Z70+AC70+AF70</f>
        <v>0.4796983520322196</v>
      </c>
      <c r="BB70" s="889" t="e">
        <f>#N/A</f>
        <v>#N/A</v>
      </c>
      <c r="BC70" s="889" t="e">
        <f>#N/A</f>
        <v>#N/A</v>
      </c>
      <c r="BD70" s="888">
        <f>AI70+AL70+AO70</f>
        <v>2.0157198865737884</v>
      </c>
      <c r="BE70" s="889" t="e">
        <f>#N/A</f>
        <v>#N/A</v>
      </c>
      <c r="BF70" s="889" t="e">
        <f>#N/A</f>
        <v>#N/A</v>
      </c>
      <c r="BG70" s="890">
        <f>AU70+AX70</f>
        <v>4.014636625159249</v>
      </c>
      <c r="BH70" s="891">
        <f>BA70+BD70</f>
        <v>2.495418238606008</v>
      </c>
      <c r="BI70" s="905">
        <f>BG70+BH70</f>
        <v>6.510054863765257</v>
      </c>
      <c r="BJ70" s="893" t="s">
        <v>1416</v>
      </c>
      <c r="BK70" s="853"/>
      <c r="BL70"/>
    </row>
    <row r="71" spans="1:64" ht="18.75" customHeight="1">
      <c r="A71" s="2101"/>
      <c r="B71" s="970"/>
      <c r="C71" s="879" t="s">
        <v>1442</v>
      </c>
      <c r="D71" s="895" t="s">
        <v>386</v>
      </c>
      <c r="E71" s="881" t="s">
        <v>243</v>
      </c>
      <c r="F71" s="881" t="s">
        <v>387</v>
      </c>
      <c r="G71" s="882" t="s">
        <v>1417</v>
      </c>
      <c r="H71" s="910">
        <f>IF(H69&gt;0,ROUND(H70/H69,3),0%)</f>
        <v>0.027</v>
      </c>
      <c r="I71" s="910">
        <f>IF(I69&gt;0,ROUND(I70/I69,3),0%)</f>
        <v>0.027</v>
      </c>
      <c r="J71" s="910" t="e">
        <f>#N/A</f>
        <v>#N/A</v>
      </c>
      <c r="K71" s="910">
        <f>IF(K69&gt;0,ROUND(K70/K69,3),0%)</f>
        <v>0.027</v>
      </c>
      <c r="L71" s="910" t="e">
        <f>#N/A</f>
        <v>#N/A</v>
      </c>
      <c r="M71" s="910" t="e">
        <f>#N/A</f>
        <v>#N/A</v>
      </c>
      <c r="N71" s="910">
        <f>IF(N69&gt;0,ROUND(N70/N69,3),0%)</f>
        <v>0.027</v>
      </c>
      <c r="O71" s="910" t="e">
        <f>#N/A</f>
        <v>#N/A</v>
      </c>
      <c r="P71" s="910" t="e">
        <f>#N/A</f>
        <v>#N/A</v>
      </c>
      <c r="Q71" s="910">
        <f>IF(Q69&gt;0,ROUND(Q70/Q69,3),0%)</f>
        <v>0.027</v>
      </c>
      <c r="R71" s="910" t="e">
        <f>#N/A</f>
        <v>#N/A</v>
      </c>
      <c r="S71" s="910" t="e">
        <f>#N/A</f>
        <v>#N/A</v>
      </c>
      <c r="T71" s="910">
        <f>IF(T69&gt;0,ROUND(T70/T69,3),0%)</f>
        <v>0.027</v>
      </c>
      <c r="U71" s="910" t="e">
        <f>#N/A</f>
        <v>#N/A</v>
      </c>
      <c r="V71" s="910" t="e">
        <f>#N/A</f>
        <v>#N/A</v>
      </c>
      <c r="W71" s="910">
        <f>IF(W69&gt;0,ROUND(W70/W69,3),0%)</f>
        <v>0.027</v>
      </c>
      <c r="X71" s="910" t="e">
        <f>#N/A</f>
        <v>#N/A</v>
      </c>
      <c r="Y71" s="910" t="e">
        <f>#N/A</f>
        <v>#N/A</v>
      </c>
      <c r="Z71" s="910">
        <f>IF(Z69&gt;0,ROUND(Z70/Z69,3),0%)</f>
        <v>0.027</v>
      </c>
      <c r="AA71" s="910" t="e">
        <f>#N/A</f>
        <v>#N/A</v>
      </c>
      <c r="AB71" s="910" t="e">
        <f>#N/A</f>
        <v>#N/A</v>
      </c>
      <c r="AC71" s="910">
        <f>IF(AC69&gt;0,ROUND(AC70/AC69,3),0%)</f>
        <v>0.027</v>
      </c>
      <c r="AD71" s="910" t="e">
        <f>#N/A</f>
        <v>#N/A</v>
      </c>
      <c r="AE71" s="910" t="e">
        <f>#N/A</f>
        <v>#N/A</v>
      </c>
      <c r="AF71" s="910">
        <f>IF(AF69&gt;0,ROUND(AF70/AF69,3),0%)</f>
        <v>0.027</v>
      </c>
      <c r="AG71" s="910" t="e">
        <f>#N/A</f>
        <v>#N/A</v>
      </c>
      <c r="AH71" s="910" t="e">
        <f>#N/A</f>
        <v>#N/A</v>
      </c>
      <c r="AI71" s="910">
        <f>IF(AI69&gt;0,ROUND(AI70/AI69,3),0%)</f>
        <v>0.027</v>
      </c>
      <c r="AJ71" s="910" t="e">
        <f>#N/A</f>
        <v>#N/A</v>
      </c>
      <c r="AK71" s="910" t="e">
        <f>#N/A</f>
        <v>#N/A</v>
      </c>
      <c r="AL71" s="910">
        <f>IF(AL69&gt;0,ROUND(AL70/AL69,3),0%)</f>
        <v>0.027</v>
      </c>
      <c r="AM71" s="910" t="e">
        <f>#N/A</f>
        <v>#N/A</v>
      </c>
      <c r="AN71" s="910" t="e">
        <f>#N/A</f>
        <v>#N/A</v>
      </c>
      <c r="AO71" s="910">
        <f>IF(AO69&gt;0,ROUND(AO70/AO69,3),0%)</f>
        <v>0.027</v>
      </c>
      <c r="AP71" s="910" t="e">
        <f>#N/A</f>
        <v>#N/A</v>
      </c>
      <c r="AQ71" s="1035" t="e">
        <f>#N/A</f>
        <v>#N/A</v>
      </c>
      <c r="AR71" s="911">
        <f aca="true" t="shared" si="31" ref="AR71:BI71">IF(AR69&gt;0,ROUND(AR70/AR69,3),0%)</f>
        <v>0.027</v>
      </c>
      <c r="AS71" s="911">
        <f t="shared" si="31"/>
        <v>0.027</v>
      </c>
      <c r="AT71" s="911" t="e">
        <f t="shared" si="31"/>
        <v>#N/A</v>
      </c>
      <c r="AU71" s="1036">
        <f t="shared" si="31"/>
        <v>0.027</v>
      </c>
      <c r="AV71" s="1036" t="e">
        <f t="shared" si="31"/>
        <v>#N/A</v>
      </c>
      <c r="AW71" s="1036" t="e">
        <f t="shared" si="31"/>
        <v>#N/A</v>
      </c>
      <c r="AX71" s="1036">
        <f t="shared" si="31"/>
        <v>0.027</v>
      </c>
      <c r="AY71" s="1036" t="e">
        <f t="shared" si="31"/>
        <v>#N/A</v>
      </c>
      <c r="AZ71" s="1036" t="e">
        <f t="shared" si="31"/>
        <v>#N/A</v>
      </c>
      <c r="BA71" s="1036">
        <f t="shared" si="31"/>
        <v>0.027</v>
      </c>
      <c r="BB71" s="1036" t="e">
        <f t="shared" si="31"/>
        <v>#N/A</v>
      </c>
      <c r="BC71" s="1036" t="e">
        <f t="shared" si="31"/>
        <v>#N/A</v>
      </c>
      <c r="BD71" s="1036">
        <f t="shared" si="31"/>
        <v>0.027</v>
      </c>
      <c r="BE71" s="1036" t="e">
        <f t="shared" si="31"/>
        <v>#N/A</v>
      </c>
      <c r="BF71" s="1036" t="e">
        <f t="shared" si="31"/>
        <v>#N/A</v>
      </c>
      <c r="BG71" s="1036">
        <f t="shared" si="31"/>
        <v>0.027</v>
      </c>
      <c r="BH71" s="1036">
        <f t="shared" si="31"/>
        <v>0.027</v>
      </c>
      <c r="BI71" s="1036">
        <f t="shared" si="31"/>
        <v>0.027</v>
      </c>
      <c r="BJ71" s="893"/>
      <c r="BK71" s="853"/>
      <c r="BL71"/>
    </row>
    <row r="72" spans="1:64" ht="18.75" customHeight="1">
      <c r="A72" s="2101"/>
      <c r="B72" s="970"/>
      <c r="C72" s="879" t="s">
        <v>1442</v>
      </c>
      <c r="D72" s="895" t="s">
        <v>386</v>
      </c>
      <c r="E72" s="881" t="s">
        <v>244</v>
      </c>
      <c r="F72" s="881" t="s">
        <v>387</v>
      </c>
      <c r="G72" s="882" t="s">
        <v>1418</v>
      </c>
      <c r="H72" s="904">
        <f>SUM(H74:H75)</f>
        <v>33.349000000000004</v>
      </c>
      <c r="I72" s="904">
        <f>SUM(I74:I75)</f>
        <v>4.314</v>
      </c>
      <c r="J72" s="884" t="e">
        <f>#N/A</f>
        <v>#N/A</v>
      </c>
      <c r="K72" s="904">
        <f>SUM(K74:K75)</f>
        <v>30.451</v>
      </c>
      <c r="L72" s="904">
        <f>SUM(L74:L75)</f>
        <v>0</v>
      </c>
      <c r="M72" s="884">
        <f>L72-K72</f>
        <v>-30.451</v>
      </c>
      <c r="N72" s="904">
        <f>SUM(N74:N75)</f>
        <v>29.756</v>
      </c>
      <c r="O72" s="904">
        <f>SUM(O74:O75)</f>
        <v>4.314</v>
      </c>
      <c r="P72" s="884">
        <f>O72-N72</f>
        <v>-25.442</v>
      </c>
      <c r="Q72" s="904">
        <f>SUM(Q74:Q75)</f>
        <v>24.236</v>
      </c>
      <c r="R72" s="904">
        <f>SUM(R74:R75)</f>
        <v>4.314</v>
      </c>
      <c r="S72" s="884">
        <f>R72-Q72</f>
        <v>-19.922</v>
      </c>
      <c r="T72" s="904">
        <f>SUM(T74:T75)</f>
        <v>19.560000000000002</v>
      </c>
      <c r="U72" s="904">
        <f>SUM(U74:U75)</f>
        <v>4.314</v>
      </c>
      <c r="V72" s="884">
        <f>U72-T72</f>
        <v>-15.246000000000002</v>
      </c>
      <c r="W72" s="904">
        <f>SUM(W74:W75)</f>
        <v>9.107</v>
      </c>
      <c r="X72" s="904">
        <f>SUM(X74:X75)</f>
        <v>4.314</v>
      </c>
      <c r="Y72" s="884">
        <f>X72-W72</f>
        <v>-4.792999999999999</v>
      </c>
      <c r="Z72" s="904">
        <f>SUM(Z74:Z75)</f>
        <v>4.314</v>
      </c>
      <c r="AA72" s="904">
        <f>SUM(AA74:AA75)</f>
        <v>4.314</v>
      </c>
      <c r="AB72" s="884">
        <f>AA72-Z72</f>
        <v>0</v>
      </c>
      <c r="AC72" s="904">
        <f>SUM(AC74:AC75)</f>
        <v>4.314</v>
      </c>
      <c r="AD72" s="904">
        <f>SUM(AD74:AD75)</f>
        <v>4.314</v>
      </c>
      <c r="AE72" s="884">
        <f>AD72-AC72</f>
        <v>0</v>
      </c>
      <c r="AF72" s="904">
        <f>SUM(AF74:AF75)</f>
        <v>8.872</v>
      </c>
      <c r="AG72" s="904">
        <f>SUM(AG74:AG75)</f>
        <v>4.314</v>
      </c>
      <c r="AH72" s="884">
        <f>AG72-AF72</f>
        <v>-4.558</v>
      </c>
      <c r="AI72" s="904">
        <f>SUM(AI74:AI75)</f>
        <v>18.880000000000003</v>
      </c>
      <c r="AJ72" s="904">
        <f>SUM(AJ74:AJ75)</f>
        <v>4.314</v>
      </c>
      <c r="AK72" s="884">
        <f>AJ72-AI72</f>
        <v>-14.566000000000003</v>
      </c>
      <c r="AL72" s="904">
        <f>SUM(AL74:AL75)</f>
        <v>24.706</v>
      </c>
      <c r="AM72" s="904"/>
      <c r="AN72" s="884">
        <f>AM72-AL72</f>
        <v>-24.706</v>
      </c>
      <c r="AO72" s="904">
        <f>SUM(AO74:AO75)</f>
        <v>29.95</v>
      </c>
      <c r="AP72" s="904"/>
      <c r="AQ72" s="967">
        <f>AP72-AO72</f>
        <v>-29.95</v>
      </c>
      <c r="AR72" s="885">
        <f>SUMIF($H$5:$AQ$5,$AR$5,H72:AQ72)</f>
        <v>237.49499999999998</v>
      </c>
      <c r="AS72" s="969">
        <f>SUMIF($H$5:$AQ$5,$AS$5,H72:AQ72)</f>
        <v>38.826</v>
      </c>
      <c r="AT72" s="887" t="e">
        <f>#N/A</f>
        <v>#N/A</v>
      </c>
      <c r="AU72" s="888">
        <f aca="true" t="shared" si="32" ref="AU72:AU85">H72+K72+N72</f>
        <v>93.55600000000001</v>
      </c>
      <c r="AV72" s="889" t="e">
        <f>#N/A</f>
        <v>#N/A</v>
      </c>
      <c r="AW72" s="889" t="e">
        <f>#N/A</f>
        <v>#N/A</v>
      </c>
      <c r="AX72" s="888">
        <f aca="true" t="shared" si="33" ref="AX72:AX85">Q72+T72+W72</f>
        <v>52.903000000000006</v>
      </c>
      <c r="AY72" s="889" t="e">
        <f>#N/A</f>
        <v>#N/A</v>
      </c>
      <c r="AZ72" s="889" t="e">
        <f>#N/A</f>
        <v>#N/A</v>
      </c>
      <c r="BA72" s="888">
        <f aca="true" t="shared" si="34" ref="BA72:BA85">Z72+AC72+AF72</f>
        <v>17.5</v>
      </c>
      <c r="BB72" s="889" t="e">
        <f>#N/A</f>
        <v>#N/A</v>
      </c>
      <c r="BC72" s="889" t="e">
        <f>#N/A</f>
        <v>#N/A</v>
      </c>
      <c r="BD72" s="888">
        <f aca="true" t="shared" si="35" ref="BD72:BD85">AI72+AL72+AO72</f>
        <v>73.536</v>
      </c>
      <c r="BE72" s="889" t="e">
        <f>#N/A</f>
        <v>#N/A</v>
      </c>
      <c r="BF72" s="889" t="e">
        <f>#N/A</f>
        <v>#N/A</v>
      </c>
      <c r="BG72" s="890">
        <f aca="true" t="shared" si="36" ref="BG72:BG85">AU72+AX72</f>
        <v>146.459</v>
      </c>
      <c r="BH72" s="891">
        <f aca="true" t="shared" si="37" ref="BH72:BH85">BA72+BD72</f>
        <v>91.036</v>
      </c>
      <c r="BI72" s="905">
        <f aca="true" t="shared" si="38" ref="BI72:BI85">BG72+BH72</f>
        <v>237.495</v>
      </c>
      <c r="BJ72" s="893" t="s">
        <v>1419</v>
      </c>
      <c r="BK72" s="853"/>
      <c r="BL72"/>
    </row>
    <row r="73" spans="1:64" ht="18.75" customHeight="1">
      <c r="A73" s="2101"/>
      <c r="B73" s="970"/>
      <c r="C73" s="879" t="s">
        <v>1442</v>
      </c>
      <c r="D73" s="895" t="s">
        <v>386</v>
      </c>
      <c r="E73" s="881"/>
      <c r="F73" s="881"/>
      <c r="G73" s="916" t="s">
        <v>1686</v>
      </c>
      <c r="H73" s="917"/>
      <c r="I73" s="917"/>
      <c r="J73" s="917"/>
      <c r="K73" s="976"/>
      <c r="L73" s="917"/>
      <c r="M73" s="977"/>
      <c r="N73" s="917"/>
      <c r="O73" s="978"/>
      <c r="P73" s="917"/>
      <c r="Q73" s="917"/>
      <c r="R73" s="917"/>
      <c r="S73" s="917"/>
      <c r="T73" s="917"/>
      <c r="U73" s="917"/>
      <c r="V73" s="917"/>
      <c r="W73" s="917"/>
      <c r="X73" s="917"/>
      <c r="Y73" s="917"/>
      <c r="Z73" s="917"/>
      <c r="AA73" s="917"/>
      <c r="AB73" s="917"/>
      <c r="AC73" s="917"/>
      <c r="AD73" s="917"/>
      <c r="AE73" s="917"/>
      <c r="AF73" s="917"/>
      <c r="AG73" s="917"/>
      <c r="AH73" s="917"/>
      <c r="AI73" s="917"/>
      <c r="AJ73" s="917"/>
      <c r="AK73" s="976"/>
      <c r="AL73" s="917"/>
      <c r="AM73" s="977"/>
      <c r="AN73" s="917"/>
      <c r="AO73" s="977"/>
      <c r="AP73" s="917"/>
      <c r="AQ73" s="977"/>
      <c r="AR73" s="885"/>
      <c r="AS73" s="969"/>
      <c r="AT73" s="899"/>
      <c r="AU73" s="888">
        <f t="shared" si="32"/>
        <v>0</v>
      </c>
      <c r="AV73" s="889" t="e">
        <f>#N/A</f>
        <v>#N/A</v>
      </c>
      <c r="AW73" s="889" t="e">
        <f>#N/A</f>
        <v>#N/A</v>
      </c>
      <c r="AX73" s="888">
        <f t="shared" si="33"/>
        <v>0</v>
      </c>
      <c r="AY73" s="889" t="e">
        <f>#N/A</f>
        <v>#N/A</v>
      </c>
      <c r="AZ73" s="889" t="e">
        <f>#N/A</f>
        <v>#N/A</v>
      </c>
      <c r="BA73" s="888">
        <f t="shared" si="34"/>
        <v>0</v>
      </c>
      <c r="BB73" s="889" t="e">
        <f>#N/A</f>
        <v>#N/A</v>
      </c>
      <c r="BC73" s="889" t="e">
        <f>#N/A</f>
        <v>#N/A</v>
      </c>
      <c r="BD73" s="888">
        <f t="shared" si="35"/>
        <v>0</v>
      </c>
      <c r="BE73" s="889" t="e">
        <f>#N/A</f>
        <v>#N/A</v>
      </c>
      <c r="BF73" s="889" t="e">
        <f>#N/A</f>
        <v>#N/A</v>
      </c>
      <c r="BG73" s="890">
        <f t="shared" si="36"/>
        <v>0</v>
      </c>
      <c r="BH73" s="891">
        <f t="shared" si="37"/>
        <v>0</v>
      </c>
      <c r="BI73" s="905">
        <f t="shared" si="38"/>
        <v>0</v>
      </c>
      <c r="BJ73" s="893"/>
      <c r="BK73" s="853"/>
      <c r="BL73"/>
    </row>
    <row r="74" spans="1:64" ht="18.75" customHeight="1">
      <c r="A74" s="2101"/>
      <c r="B74" s="979"/>
      <c r="C74" s="879" t="s">
        <v>1442</v>
      </c>
      <c r="D74" s="919" t="s">
        <v>386</v>
      </c>
      <c r="E74" s="920" t="s">
        <v>1171</v>
      </c>
      <c r="F74" s="920" t="s">
        <v>387</v>
      </c>
      <c r="G74" s="980" t="s">
        <v>1420</v>
      </c>
      <c r="H74" s="922">
        <v>29.035</v>
      </c>
      <c r="I74" s="922"/>
      <c r="J74" s="923">
        <f>I74-H74</f>
        <v>-29.035</v>
      </c>
      <c r="K74" s="922">
        <v>26.137</v>
      </c>
      <c r="L74" s="922"/>
      <c r="M74" s="923">
        <f>L74-K74</f>
        <v>-26.137</v>
      </c>
      <c r="N74" s="922">
        <v>25.442</v>
      </c>
      <c r="O74" s="922"/>
      <c r="P74" s="923">
        <f>O74-N74</f>
        <v>-25.442</v>
      </c>
      <c r="Q74" s="922">
        <v>19.922</v>
      </c>
      <c r="R74" s="922"/>
      <c r="S74" s="923">
        <f>R74-Q74</f>
        <v>-19.922</v>
      </c>
      <c r="T74" s="922">
        <v>15.246</v>
      </c>
      <c r="U74" s="922"/>
      <c r="V74" s="923">
        <f>U74-T74</f>
        <v>-15.246</v>
      </c>
      <c r="W74" s="922">
        <v>4.793</v>
      </c>
      <c r="X74" s="924"/>
      <c r="Y74" s="925">
        <f>X74-W74</f>
        <v>-4.793</v>
      </c>
      <c r="Z74" s="922"/>
      <c r="AA74" s="922"/>
      <c r="AB74" s="923">
        <f>AA74-Z74</f>
        <v>0</v>
      </c>
      <c r="AC74" s="922"/>
      <c r="AD74" s="922"/>
      <c r="AE74" s="923">
        <f>AD74-AC74</f>
        <v>0</v>
      </c>
      <c r="AF74" s="922">
        <v>4.558</v>
      </c>
      <c r="AG74" s="922"/>
      <c r="AH74" s="923">
        <f>AG74-AF74</f>
        <v>-4.558</v>
      </c>
      <c r="AI74" s="922">
        <v>14.566</v>
      </c>
      <c r="AJ74" s="922"/>
      <c r="AK74" s="923">
        <f>AJ74-AI74</f>
        <v>-14.566</v>
      </c>
      <c r="AL74" s="922">
        <v>20.392</v>
      </c>
      <c r="AM74" s="922"/>
      <c r="AN74" s="923">
        <f>AM74-AL74</f>
        <v>-20.392</v>
      </c>
      <c r="AO74" s="922">
        <v>25.636</v>
      </c>
      <c r="AP74" s="988"/>
      <c r="AQ74" s="989">
        <f>AP74-AO74</f>
        <v>-25.636</v>
      </c>
      <c r="AR74" s="885">
        <f>SUMIF($H$5:$AQ$5,$AR$5,H74:AQ74)</f>
        <v>185.727</v>
      </c>
      <c r="AS74" s="990">
        <f>SUMIF($H$5:$AQ$5,$AS$5,H74:AQ74)</f>
        <v>0</v>
      </c>
      <c r="AT74" s="929">
        <f>AS74-AR74</f>
        <v>-185.727</v>
      </c>
      <c r="AU74" s="888">
        <f t="shared" si="32"/>
        <v>80.614</v>
      </c>
      <c r="AV74" s="889" t="e">
        <f>#N/A</f>
        <v>#N/A</v>
      </c>
      <c r="AW74" s="889" t="e">
        <f>#N/A</f>
        <v>#N/A</v>
      </c>
      <c r="AX74" s="888">
        <f t="shared" si="33"/>
        <v>39.961</v>
      </c>
      <c r="AY74" s="889" t="e">
        <f>#N/A</f>
        <v>#N/A</v>
      </c>
      <c r="AZ74" s="889" t="e">
        <f>#N/A</f>
        <v>#N/A</v>
      </c>
      <c r="BA74" s="888">
        <f t="shared" si="34"/>
        <v>4.558</v>
      </c>
      <c r="BB74" s="889" t="e">
        <f>#N/A</f>
        <v>#N/A</v>
      </c>
      <c r="BC74" s="889" t="e">
        <f>#N/A</f>
        <v>#N/A</v>
      </c>
      <c r="BD74" s="888">
        <f t="shared" si="35"/>
        <v>60.593999999999994</v>
      </c>
      <c r="BE74" s="889" t="e">
        <f>#N/A</f>
        <v>#N/A</v>
      </c>
      <c r="BF74" s="889" t="e">
        <f>#N/A</f>
        <v>#N/A</v>
      </c>
      <c r="BG74" s="890">
        <f t="shared" si="36"/>
        <v>120.575</v>
      </c>
      <c r="BH74" s="891">
        <f t="shared" si="37"/>
        <v>65.15199999999999</v>
      </c>
      <c r="BI74" s="905">
        <f t="shared" si="38"/>
        <v>185.72699999999998</v>
      </c>
      <c r="BJ74" s="893" t="s">
        <v>1421</v>
      </c>
      <c r="BK74" s="853"/>
      <c r="BL74"/>
    </row>
    <row r="75" spans="1:64" ht="18.75" customHeight="1">
      <c r="A75" s="2101"/>
      <c r="B75" s="979"/>
      <c r="C75" s="879" t="s">
        <v>1442</v>
      </c>
      <c r="D75" s="919" t="s">
        <v>386</v>
      </c>
      <c r="E75" s="920" t="s">
        <v>1172</v>
      </c>
      <c r="F75" s="920" t="s">
        <v>387</v>
      </c>
      <c r="G75" s="992" t="s">
        <v>1422</v>
      </c>
      <c r="H75" s="931">
        <f>SUM(H77:H78)</f>
        <v>4.314</v>
      </c>
      <c r="I75" s="931">
        <f>SUM(I77:I78)</f>
        <v>4.314</v>
      </c>
      <c r="J75" s="932">
        <f>I75-H75</f>
        <v>0</v>
      </c>
      <c r="K75" s="931">
        <f>SUM(K77:K78)</f>
        <v>4.314</v>
      </c>
      <c r="L75" s="931"/>
      <c r="M75" s="932">
        <f>L75-K75</f>
        <v>-4.314</v>
      </c>
      <c r="N75" s="931">
        <f>SUM(N77:N78)</f>
        <v>4.314</v>
      </c>
      <c r="O75" s="931">
        <f>SUM(O77:O78)</f>
        <v>4.314</v>
      </c>
      <c r="P75" s="932">
        <f>O75-N75</f>
        <v>0</v>
      </c>
      <c r="Q75" s="931">
        <f>SUM(Q77:Q78)</f>
        <v>4.314</v>
      </c>
      <c r="R75" s="931">
        <f>SUM(R77:R78)</f>
        <v>4.314</v>
      </c>
      <c r="S75" s="932">
        <f>R75-Q75</f>
        <v>0</v>
      </c>
      <c r="T75" s="931">
        <f>SUM(T77:T78)</f>
        <v>4.314</v>
      </c>
      <c r="U75" s="931">
        <f>SUM(U77:U78)</f>
        <v>4.314</v>
      </c>
      <c r="V75" s="932">
        <f>U75-T75</f>
        <v>0</v>
      </c>
      <c r="W75" s="931">
        <f>SUM(W77:W78)</f>
        <v>4.314</v>
      </c>
      <c r="X75" s="933">
        <f>SUM(X77:X78)</f>
        <v>4.314</v>
      </c>
      <c r="Y75" s="934">
        <f>X75-W75</f>
        <v>0</v>
      </c>
      <c r="Z75" s="931">
        <f>SUM(Z77:Z78)</f>
        <v>4.314</v>
      </c>
      <c r="AA75" s="931">
        <f>SUM(AA77:AA78)</f>
        <v>4.314</v>
      </c>
      <c r="AB75" s="932">
        <f>AA75-Z75</f>
        <v>0</v>
      </c>
      <c r="AC75" s="931">
        <f>SUM(AC77:AC78)</f>
        <v>4.314</v>
      </c>
      <c r="AD75" s="931">
        <f>SUM(AD77:AD78)</f>
        <v>4.314</v>
      </c>
      <c r="AE75" s="932">
        <f>AD75-AC75</f>
        <v>0</v>
      </c>
      <c r="AF75" s="931">
        <f>SUM(AF77:AF78)</f>
        <v>4.314</v>
      </c>
      <c r="AG75" s="931">
        <f>SUM(AG77:AG78)</f>
        <v>4.314</v>
      </c>
      <c r="AH75" s="932">
        <f>AG75-AF75</f>
        <v>0</v>
      </c>
      <c r="AI75" s="931">
        <f>SUM(AI77:AI78)</f>
        <v>4.314</v>
      </c>
      <c r="AJ75" s="931">
        <f>SUM(AJ77:AJ78)</f>
        <v>4.314</v>
      </c>
      <c r="AK75" s="932">
        <f>AJ75-AI75</f>
        <v>0</v>
      </c>
      <c r="AL75" s="931">
        <f>SUM(AL77:AL78)</f>
        <v>4.314</v>
      </c>
      <c r="AM75" s="931">
        <f>SUM(AM77:AM78)</f>
        <v>4.314</v>
      </c>
      <c r="AN75" s="932">
        <f>AM75-AL75</f>
        <v>0</v>
      </c>
      <c r="AO75" s="931">
        <f>SUM(AO77:AO78)</f>
        <v>4.314</v>
      </c>
      <c r="AP75" s="935"/>
      <c r="AQ75" s="998">
        <f>AP75-AO75</f>
        <v>-4.314</v>
      </c>
      <c r="AR75" s="885">
        <f>SUMIF($H$5:$AQ$5,$AR$5,H75:AQ75)</f>
        <v>51.768</v>
      </c>
      <c r="AS75" s="999">
        <f>SUMIF($H$5:$AQ$5,$AS$5,H75:AQ75)</f>
        <v>43.14</v>
      </c>
      <c r="AT75" s="899">
        <f>AS75-AR75</f>
        <v>-8.628</v>
      </c>
      <c r="AU75" s="888">
        <f t="shared" si="32"/>
        <v>12.942</v>
      </c>
      <c r="AV75" s="889" t="e">
        <f>#N/A</f>
        <v>#N/A</v>
      </c>
      <c r="AW75" s="889" t="e">
        <f>#N/A</f>
        <v>#N/A</v>
      </c>
      <c r="AX75" s="888">
        <f t="shared" si="33"/>
        <v>12.942</v>
      </c>
      <c r="AY75" s="889" t="e">
        <f>#N/A</f>
        <v>#N/A</v>
      </c>
      <c r="AZ75" s="889" t="e">
        <f>#N/A</f>
        <v>#N/A</v>
      </c>
      <c r="BA75" s="888">
        <f t="shared" si="34"/>
        <v>12.942</v>
      </c>
      <c r="BB75" s="889" t="e">
        <f>#N/A</f>
        <v>#N/A</v>
      </c>
      <c r="BC75" s="889" t="e">
        <f>#N/A</f>
        <v>#N/A</v>
      </c>
      <c r="BD75" s="888">
        <f t="shared" si="35"/>
        <v>12.942</v>
      </c>
      <c r="BE75" s="889" t="e">
        <f>#N/A</f>
        <v>#N/A</v>
      </c>
      <c r="BF75" s="889" t="e">
        <f>#N/A</f>
        <v>#N/A</v>
      </c>
      <c r="BG75" s="890">
        <f t="shared" si="36"/>
        <v>25.884</v>
      </c>
      <c r="BH75" s="891">
        <f t="shared" si="37"/>
        <v>25.884</v>
      </c>
      <c r="BI75" s="905">
        <f t="shared" si="38"/>
        <v>51.768</v>
      </c>
      <c r="BJ75" s="893"/>
      <c r="BK75" s="853"/>
      <c r="BL75"/>
    </row>
    <row r="76" spans="1:64" ht="18.75" customHeight="1">
      <c r="A76" s="2101"/>
      <c r="B76" s="979"/>
      <c r="C76" s="879" t="s">
        <v>1442</v>
      </c>
      <c r="D76" s="919" t="s">
        <v>386</v>
      </c>
      <c r="E76" s="920"/>
      <c r="F76" s="920"/>
      <c r="G76" s="1002" t="s">
        <v>1686</v>
      </c>
      <c r="H76" s="938"/>
      <c r="I76" s="938"/>
      <c r="J76" s="938"/>
      <c r="K76" s="938"/>
      <c r="L76" s="938"/>
      <c r="M76" s="938"/>
      <c r="N76" s="938"/>
      <c r="O76" s="938"/>
      <c r="P76" s="938"/>
      <c r="Q76" s="938"/>
      <c r="R76" s="938"/>
      <c r="S76" s="938"/>
      <c r="T76" s="938"/>
      <c r="U76" s="938"/>
      <c r="V76" s="938"/>
      <c r="W76" s="938"/>
      <c r="X76" s="939"/>
      <c r="Y76" s="939"/>
      <c r="Z76" s="938"/>
      <c r="AA76" s="938"/>
      <c r="AB76" s="938"/>
      <c r="AC76" s="938"/>
      <c r="AD76" s="938"/>
      <c r="AE76" s="938"/>
      <c r="AF76" s="938"/>
      <c r="AG76" s="938"/>
      <c r="AH76" s="938"/>
      <c r="AI76" s="938"/>
      <c r="AJ76" s="938"/>
      <c r="AK76" s="938"/>
      <c r="AL76" s="938"/>
      <c r="AM76" s="938"/>
      <c r="AN76" s="938"/>
      <c r="AO76" s="938"/>
      <c r="AP76" s="940"/>
      <c r="AQ76" s="1005"/>
      <c r="AR76" s="885"/>
      <c r="AS76" s="999"/>
      <c r="AT76" s="899"/>
      <c r="AU76" s="888">
        <f t="shared" si="32"/>
        <v>0</v>
      </c>
      <c r="AV76" s="889" t="e">
        <f>#N/A</f>
        <v>#N/A</v>
      </c>
      <c r="AW76" s="889" t="e">
        <f>#N/A</f>
        <v>#N/A</v>
      </c>
      <c r="AX76" s="888">
        <f t="shared" si="33"/>
        <v>0</v>
      </c>
      <c r="AY76" s="889" t="e">
        <f>#N/A</f>
        <v>#N/A</v>
      </c>
      <c r="AZ76" s="889" t="e">
        <f>#N/A</f>
        <v>#N/A</v>
      </c>
      <c r="BA76" s="888">
        <f t="shared" si="34"/>
        <v>0</v>
      </c>
      <c r="BB76" s="889" t="e">
        <f>#N/A</f>
        <v>#N/A</v>
      </c>
      <c r="BC76" s="889" t="e">
        <f>#N/A</f>
        <v>#N/A</v>
      </c>
      <c r="BD76" s="888">
        <f t="shared" si="35"/>
        <v>0</v>
      </c>
      <c r="BE76" s="889" t="e">
        <f>#N/A</f>
        <v>#N/A</v>
      </c>
      <c r="BF76" s="889" t="e">
        <f>#N/A</f>
        <v>#N/A</v>
      </c>
      <c r="BG76" s="890">
        <f t="shared" si="36"/>
        <v>0</v>
      </c>
      <c r="BH76" s="891">
        <f t="shared" si="37"/>
        <v>0</v>
      </c>
      <c r="BI76" s="905">
        <f t="shared" si="38"/>
        <v>0</v>
      </c>
      <c r="BJ76" s="893"/>
      <c r="BK76" s="853"/>
      <c r="BL76"/>
    </row>
    <row r="77" spans="1:64" ht="18.75" customHeight="1">
      <c r="A77" s="2101"/>
      <c r="B77" s="979"/>
      <c r="C77" s="879" t="s">
        <v>1442</v>
      </c>
      <c r="D77" s="919" t="s">
        <v>386</v>
      </c>
      <c r="E77" s="920" t="s">
        <v>1423</v>
      </c>
      <c r="F77" s="920" t="s">
        <v>387</v>
      </c>
      <c r="G77" s="1006" t="s">
        <v>1424</v>
      </c>
      <c r="H77" s="950"/>
      <c r="I77" s="950"/>
      <c r="J77" s="932">
        <f>I77-H77</f>
        <v>0</v>
      </c>
      <c r="K77" s="950"/>
      <c r="L77" s="950"/>
      <c r="M77" s="932">
        <f>L77-K77</f>
        <v>0</v>
      </c>
      <c r="N77" s="950"/>
      <c r="O77" s="950"/>
      <c r="P77" s="932">
        <f>O77-N77</f>
        <v>0</v>
      </c>
      <c r="Q77" s="950"/>
      <c r="R77" s="950"/>
      <c r="S77" s="932">
        <f>R77-Q77</f>
        <v>0</v>
      </c>
      <c r="T77" s="950"/>
      <c r="U77" s="950"/>
      <c r="V77" s="932">
        <f>U77-T77</f>
        <v>0</v>
      </c>
      <c r="W77" s="950"/>
      <c r="X77" s="951"/>
      <c r="Y77" s="934">
        <f>X77-W77</f>
        <v>0</v>
      </c>
      <c r="Z77" s="950"/>
      <c r="AA77" s="950"/>
      <c r="AB77" s="932">
        <f>AA77-Z77</f>
        <v>0</v>
      </c>
      <c r="AC77" s="950"/>
      <c r="AD77" s="950"/>
      <c r="AE77" s="932">
        <f>AD77-AC77</f>
        <v>0</v>
      </c>
      <c r="AF77" s="950"/>
      <c r="AG77" s="950"/>
      <c r="AH77" s="932">
        <f>AG77-AF77</f>
        <v>0</v>
      </c>
      <c r="AI77" s="950"/>
      <c r="AJ77" s="950"/>
      <c r="AK77" s="932">
        <f>AJ77-AI77</f>
        <v>0</v>
      </c>
      <c r="AL77" s="950"/>
      <c r="AM77" s="950"/>
      <c r="AN77" s="932">
        <f>AM77-AL77</f>
        <v>0</v>
      </c>
      <c r="AO77" s="950"/>
      <c r="AP77" s="1011"/>
      <c r="AQ77" s="1012"/>
      <c r="AR77" s="885">
        <f>SUMIF($H$5:$AQ$5,$AR$5,H77:AQ77)</f>
        <v>0</v>
      </c>
      <c r="AS77" s="990">
        <f>SUMIF($H$5:$AQ$5,$AS$5,H77:AQ77)</f>
        <v>0</v>
      </c>
      <c r="AT77" s="929">
        <f>AS77-AR77</f>
        <v>0</v>
      </c>
      <c r="AU77" s="888">
        <f t="shared" si="32"/>
        <v>0</v>
      </c>
      <c r="AV77" s="889" t="e">
        <f>#N/A</f>
        <v>#N/A</v>
      </c>
      <c r="AW77" s="889" t="e">
        <f>#N/A</f>
        <v>#N/A</v>
      </c>
      <c r="AX77" s="888">
        <f t="shared" si="33"/>
        <v>0</v>
      </c>
      <c r="AY77" s="889" t="e">
        <f>#N/A</f>
        <v>#N/A</v>
      </c>
      <c r="AZ77" s="889" t="e">
        <f>#N/A</f>
        <v>#N/A</v>
      </c>
      <c r="BA77" s="888">
        <f t="shared" si="34"/>
        <v>0</v>
      </c>
      <c r="BB77" s="889" t="e">
        <f>#N/A</f>
        <v>#N/A</v>
      </c>
      <c r="BC77" s="889" t="e">
        <f>#N/A</f>
        <v>#N/A</v>
      </c>
      <c r="BD77" s="888">
        <f t="shared" si="35"/>
        <v>0</v>
      </c>
      <c r="BE77" s="889" t="e">
        <f>#N/A</f>
        <v>#N/A</v>
      </c>
      <c r="BF77" s="889" t="e">
        <f>#N/A</f>
        <v>#N/A</v>
      </c>
      <c r="BG77" s="890">
        <f t="shared" si="36"/>
        <v>0</v>
      </c>
      <c r="BH77" s="891">
        <f t="shared" si="37"/>
        <v>0</v>
      </c>
      <c r="BI77" s="905">
        <f t="shared" si="38"/>
        <v>0</v>
      </c>
      <c r="BJ77" s="893" t="s">
        <v>1425</v>
      </c>
      <c r="BK77" s="853"/>
      <c r="BL77"/>
    </row>
    <row r="78" spans="1:64" ht="18.75" customHeight="1">
      <c r="A78" s="2101"/>
      <c r="B78" s="979"/>
      <c r="C78" s="879" t="s">
        <v>1442</v>
      </c>
      <c r="D78" s="919" t="s">
        <v>386</v>
      </c>
      <c r="E78" s="920" t="s">
        <v>1426</v>
      </c>
      <c r="F78" s="920" t="s">
        <v>387</v>
      </c>
      <c r="G78" s="1013" t="s">
        <v>1427</v>
      </c>
      <c r="H78" s="922">
        <v>4.314</v>
      </c>
      <c r="I78" s="922">
        <v>4.314</v>
      </c>
      <c r="J78" s="922">
        <v>4.314</v>
      </c>
      <c r="K78" s="922">
        <v>4.314</v>
      </c>
      <c r="L78" s="922">
        <v>4.314</v>
      </c>
      <c r="M78" s="922">
        <v>4.314</v>
      </c>
      <c r="N78" s="922">
        <v>4.314</v>
      </c>
      <c r="O78" s="922">
        <v>4.314</v>
      </c>
      <c r="P78" s="922">
        <v>4.314</v>
      </c>
      <c r="Q78" s="922">
        <v>4.314</v>
      </c>
      <c r="R78" s="922">
        <v>4.314</v>
      </c>
      <c r="S78" s="922">
        <v>4.314</v>
      </c>
      <c r="T78" s="922">
        <v>4.314</v>
      </c>
      <c r="U78" s="922">
        <v>4.314</v>
      </c>
      <c r="V78" s="922">
        <v>4.314</v>
      </c>
      <c r="W78" s="922">
        <v>4.314</v>
      </c>
      <c r="X78" s="924">
        <v>4.314</v>
      </c>
      <c r="Y78" s="924">
        <v>4.314</v>
      </c>
      <c r="Z78" s="922">
        <v>4.314</v>
      </c>
      <c r="AA78" s="922">
        <v>4.314</v>
      </c>
      <c r="AB78" s="922">
        <v>4.314</v>
      </c>
      <c r="AC78" s="922">
        <v>4.314</v>
      </c>
      <c r="AD78" s="922">
        <v>4.314</v>
      </c>
      <c r="AE78" s="922">
        <v>4.314</v>
      </c>
      <c r="AF78" s="922">
        <v>4.314</v>
      </c>
      <c r="AG78" s="922">
        <v>4.314</v>
      </c>
      <c r="AH78" s="922">
        <v>4.314</v>
      </c>
      <c r="AI78" s="922">
        <v>4.314</v>
      </c>
      <c r="AJ78" s="922">
        <v>4.314</v>
      </c>
      <c r="AK78" s="922">
        <v>4.314</v>
      </c>
      <c r="AL78" s="922">
        <v>4.314</v>
      </c>
      <c r="AM78" s="922">
        <v>4.314</v>
      </c>
      <c r="AN78" s="922">
        <v>4.314</v>
      </c>
      <c r="AO78" s="922">
        <v>4.314</v>
      </c>
      <c r="AP78" s="1014"/>
      <c r="AQ78" s="1015">
        <f>AP78-AO78</f>
        <v>-4.314</v>
      </c>
      <c r="AR78" s="968">
        <f>SUMIF($H$5:$AQ$5,$AR$5,H78:AQ78)</f>
        <v>51.768</v>
      </c>
      <c r="AS78" s="1016">
        <f>SUMIF($H$5:$AQ$5,$AS$5,H78:AQ78)</f>
        <v>47.454</v>
      </c>
      <c r="AT78" s="929">
        <f>AS78-AR78</f>
        <v>-4.314</v>
      </c>
      <c r="AU78" s="888">
        <f t="shared" si="32"/>
        <v>12.942</v>
      </c>
      <c r="AV78" s="889" t="e">
        <f>#N/A</f>
        <v>#N/A</v>
      </c>
      <c r="AW78" s="889" t="e">
        <f>#N/A</f>
        <v>#N/A</v>
      </c>
      <c r="AX78" s="888">
        <f t="shared" si="33"/>
        <v>12.942</v>
      </c>
      <c r="AY78" s="889" t="e">
        <f>#N/A</f>
        <v>#N/A</v>
      </c>
      <c r="AZ78" s="889" t="e">
        <f>#N/A</f>
        <v>#N/A</v>
      </c>
      <c r="BA78" s="888">
        <f t="shared" si="34"/>
        <v>12.942</v>
      </c>
      <c r="BB78" s="889" t="e">
        <f>#N/A</f>
        <v>#N/A</v>
      </c>
      <c r="BC78" s="889" t="e">
        <f>#N/A</f>
        <v>#N/A</v>
      </c>
      <c r="BD78" s="888">
        <f t="shared" si="35"/>
        <v>12.942</v>
      </c>
      <c r="BE78" s="889" t="e">
        <f>#N/A</f>
        <v>#N/A</v>
      </c>
      <c r="BF78" s="889" t="e">
        <f>#N/A</f>
        <v>#N/A</v>
      </c>
      <c r="BG78" s="890">
        <f t="shared" si="36"/>
        <v>25.884</v>
      </c>
      <c r="BH78" s="891">
        <f t="shared" si="37"/>
        <v>25.884</v>
      </c>
      <c r="BI78" s="905">
        <f t="shared" si="38"/>
        <v>51.768</v>
      </c>
      <c r="BJ78" s="893"/>
      <c r="BK78" s="853"/>
      <c r="BL78"/>
    </row>
    <row r="79" spans="1:64" ht="18.75" customHeight="1">
      <c r="A79" s="2101"/>
      <c r="B79" s="970"/>
      <c r="C79" s="879" t="s">
        <v>1442</v>
      </c>
      <c r="D79" s="895" t="s">
        <v>386</v>
      </c>
      <c r="E79" s="881" t="s">
        <v>1173</v>
      </c>
      <c r="F79" s="881" t="s">
        <v>1428</v>
      </c>
      <c r="G79" s="1017" t="s">
        <v>1429</v>
      </c>
      <c r="H79" s="904">
        <f>SUM(H82:H82)</f>
        <v>60.42016806722689</v>
      </c>
      <c r="I79" s="1018">
        <f>SUM(I82:I82)</f>
        <v>0</v>
      </c>
      <c r="J79" s="884">
        <f>I79-H79</f>
        <v>-60.42016806722689</v>
      </c>
      <c r="K79" s="1018">
        <f>SUM(K82:K82)</f>
        <v>60.42016806722689</v>
      </c>
      <c r="L79" s="904">
        <f>SUM(L82:L82)</f>
        <v>0</v>
      </c>
      <c r="M79" s="1019">
        <f>L79-K79</f>
        <v>-60.42016806722689</v>
      </c>
      <c r="N79" s="904">
        <f>SUM(N82:N82)</f>
        <v>60.42016806722689</v>
      </c>
      <c r="O79" s="1018"/>
      <c r="P79" s="884">
        <f>O79-N79</f>
        <v>-60.42016806722689</v>
      </c>
      <c r="Q79" s="1018">
        <f>SUM(Q82:Q82)</f>
        <v>60.42016806722689</v>
      </c>
      <c r="R79" s="904"/>
      <c r="S79" s="1019">
        <f>R79-Q79</f>
        <v>-60.42016806722689</v>
      </c>
      <c r="T79" s="904">
        <f>SUM(T82:T82)</f>
        <v>60.42016806722689</v>
      </c>
      <c r="U79" s="1018"/>
      <c r="V79" s="884">
        <f>U79-T79</f>
        <v>-60.42016806722689</v>
      </c>
      <c r="W79" s="1018">
        <f>SUM(W82:W82)</f>
        <v>60.42016806722689</v>
      </c>
      <c r="X79" s="904"/>
      <c r="Y79" s="1019">
        <f>X79-W79</f>
        <v>-60.42016806722689</v>
      </c>
      <c r="Z79" s="904">
        <f>SUM(Z82:Z82)</f>
        <v>60.42016806722689</v>
      </c>
      <c r="AA79" s="1018">
        <f>SUM(AA82:AA82)</f>
        <v>0</v>
      </c>
      <c r="AB79" s="884">
        <f>AA79-Z79</f>
        <v>-60.42016806722689</v>
      </c>
      <c r="AC79" s="1018">
        <f>SUM(AC82:AC82)</f>
        <v>60.42016806722689</v>
      </c>
      <c r="AD79" s="904"/>
      <c r="AE79" s="1019">
        <f>AD79-AC79</f>
        <v>-60.42016806722689</v>
      </c>
      <c r="AF79" s="904">
        <f>SUM(AF82:AF82)</f>
        <v>60.42016806722689</v>
      </c>
      <c r="AG79" s="1018"/>
      <c r="AH79" s="884">
        <f>AG79-AF79</f>
        <v>-60.42016806722689</v>
      </c>
      <c r="AI79" s="1018">
        <f>SUM(AI82:AI82)</f>
        <v>60.42016806722689</v>
      </c>
      <c r="AJ79" s="904">
        <f>SUM(AJ82:AJ82)</f>
        <v>0</v>
      </c>
      <c r="AK79" s="1019">
        <f>AJ79-AI79</f>
        <v>-60.42016806722689</v>
      </c>
      <c r="AL79" s="904">
        <f>SUM(AL82:AL82)</f>
        <v>60.42016806722689</v>
      </c>
      <c r="AM79" s="1018"/>
      <c r="AN79" s="884">
        <f>AM79-AL79</f>
        <v>-60.42016806722689</v>
      </c>
      <c r="AO79" s="1018">
        <f>SUM(AO82:AO82)</f>
        <v>60.42016806722689</v>
      </c>
      <c r="AP79" s="904">
        <f>SUM(AP82:AP82)</f>
        <v>0</v>
      </c>
      <c r="AQ79" s="1019">
        <f>AP79-AO79</f>
        <v>-60.42016806722689</v>
      </c>
      <c r="AR79" s="885">
        <f>SUMIF($H$5:$AQ$5,$AR$5,H79:AQ79)</f>
        <v>725.0420168067227</v>
      </c>
      <c r="AS79" s="999">
        <f>SUMIF($H$5:$AQ$5,$AS$5,H79:AQ79)</f>
        <v>0</v>
      </c>
      <c r="AT79" s="887">
        <f>AS79-AR79</f>
        <v>-725.0420168067227</v>
      </c>
      <c r="AU79" s="888">
        <f t="shared" si="32"/>
        <v>181.26050420168067</v>
      </c>
      <c r="AV79" s="889" t="e">
        <f>#N/A</f>
        <v>#N/A</v>
      </c>
      <c r="AW79" s="889" t="e">
        <f>#N/A</f>
        <v>#N/A</v>
      </c>
      <c r="AX79" s="888">
        <f t="shared" si="33"/>
        <v>181.26050420168067</v>
      </c>
      <c r="AY79" s="889" t="e">
        <f>#N/A</f>
        <v>#N/A</v>
      </c>
      <c r="AZ79" s="889" t="e">
        <f>#N/A</f>
        <v>#N/A</v>
      </c>
      <c r="BA79" s="888">
        <f t="shared" si="34"/>
        <v>181.26050420168067</v>
      </c>
      <c r="BB79" s="889" t="e">
        <f>#N/A</f>
        <v>#N/A</v>
      </c>
      <c r="BC79" s="889" t="e">
        <f>#N/A</f>
        <v>#N/A</v>
      </c>
      <c r="BD79" s="888">
        <f t="shared" si="35"/>
        <v>181.26050420168067</v>
      </c>
      <c r="BE79" s="889" t="e">
        <f>#N/A</f>
        <v>#N/A</v>
      </c>
      <c r="BF79" s="889" t="e">
        <f>#N/A</f>
        <v>#N/A</v>
      </c>
      <c r="BG79" s="890">
        <f t="shared" si="36"/>
        <v>362.52100840336135</v>
      </c>
      <c r="BH79" s="891">
        <f t="shared" si="37"/>
        <v>362.52100840336135</v>
      </c>
      <c r="BI79" s="905">
        <f t="shared" si="38"/>
        <v>725.0420168067227</v>
      </c>
      <c r="BJ79" s="893"/>
      <c r="BK79" s="853"/>
      <c r="BL79"/>
    </row>
    <row r="80" spans="1:64" ht="18.75" customHeight="1">
      <c r="A80" s="2101"/>
      <c r="B80" s="970"/>
      <c r="C80" s="879" t="s">
        <v>1442</v>
      </c>
      <c r="D80" s="895" t="s">
        <v>386</v>
      </c>
      <c r="E80" s="881"/>
      <c r="F80" s="881"/>
      <c r="G80" s="1020" t="s">
        <v>1686</v>
      </c>
      <c r="H80" s="889"/>
      <c r="I80" s="1021"/>
      <c r="J80" s="917"/>
      <c r="K80" s="1021"/>
      <c r="L80" s="889"/>
      <c r="M80" s="977"/>
      <c r="N80" s="889"/>
      <c r="O80" s="1021"/>
      <c r="P80" s="917"/>
      <c r="Q80" s="1021"/>
      <c r="R80" s="889"/>
      <c r="S80" s="977"/>
      <c r="T80" s="889"/>
      <c r="U80" s="1021"/>
      <c r="V80" s="917"/>
      <c r="W80" s="1021"/>
      <c r="X80" s="889"/>
      <c r="Y80" s="977"/>
      <c r="Z80" s="889"/>
      <c r="AA80" s="1021"/>
      <c r="AB80" s="917"/>
      <c r="AC80" s="1021"/>
      <c r="AD80" s="889"/>
      <c r="AE80" s="977"/>
      <c r="AF80" s="889"/>
      <c r="AG80" s="1021"/>
      <c r="AH80" s="917"/>
      <c r="AI80" s="1021"/>
      <c r="AJ80" s="889"/>
      <c r="AK80" s="977"/>
      <c r="AL80" s="889"/>
      <c r="AM80" s="1021"/>
      <c r="AN80" s="917"/>
      <c r="AO80" s="1021"/>
      <c r="AP80" s="889"/>
      <c r="AQ80" s="977"/>
      <c r="AR80" s="885"/>
      <c r="AS80" s="999"/>
      <c r="AT80" s="899"/>
      <c r="AU80" s="888">
        <f t="shared" si="32"/>
        <v>0</v>
      </c>
      <c r="AV80" s="889" t="e">
        <f>#N/A</f>
        <v>#N/A</v>
      </c>
      <c r="AW80" s="889" t="e">
        <f>#N/A</f>
        <v>#N/A</v>
      </c>
      <c r="AX80" s="888">
        <f t="shared" si="33"/>
        <v>0</v>
      </c>
      <c r="AY80" s="889" t="e">
        <f>#N/A</f>
        <v>#N/A</v>
      </c>
      <c r="AZ80" s="889" t="e">
        <f>#N/A</f>
        <v>#N/A</v>
      </c>
      <c r="BA80" s="888">
        <f t="shared" si="34"/>
        <v>0</v>
      </c>
      <c r="BB80" s="889" t="e">
        <f>#N/A</f>
        <v>#N/A</v>
      </c>
      <c r="BC80" s="889" t="e">
        <f>#N/A</f>
        <v>#N/A</v>
      </c>
      <c r="BD80" s="888">
        <f t="shared" si="35"/>
        <v>0</v>
      </c>
      <c r="BE80" s="889" t="e">
        <f>#N/A</f>
        <v>#N/A</v>
      </c>
      <c r="BF80" s="889" t="e">
        <f>#N/A</f>
        <v>#N/A</v>
      </c>
      <c r="BG80" s="890">
        <f t="shared" si="36"/>
        <v>0</v>
      </c>
      <c r="BH80" s="891">
        <f t="shared" si="37"/>
        <v>0</v>
      </c>
      <c r="BI80" s="905">
        <f t="shared" si="38"/>
        <v>0</v>
      </c>
      <c r="BJ80" s="893"/>
      <c r="BK80" s="853"/>
      <c r="BL80"/>
    </row>
    <row r="81" spans="1:64" ht="18.75" customHeight="1">
      <c r="A81" s="2101"/>
      <c r="B81" s="979"/>
      <c r="C81" s="879" t="s">
        <v>1442</v>
      </c>
      <c r="D81" s="919" t="s">
        <v>386</v>
      </c>
      <c r="E81" s="920" t="s">
        <v>1430</v>
      </c>
      <c r="F81" s="920" t="s">
        <v>1428</v>
      </c>
      <c r="G81" s="1022" t="s">
        <v>1424</v>
      </c>
      <c r="H81" s="945">
        <f aca="true" t="shared" si="39" ref="H81:AO81">H77/0.0512</f>
        <v>0</v>
      </c>
      <c r="I81" s="945">
        <f t="shared" si="39"/>
        <v>0</v>
      </c>
      <c r="J81" s="945">
        <f t="shared" si="39"/>
        <v>0</v>
      </c>
      <c r="K81" s="945">
        <f t="shared" si="39"/>
        <v>0</v>
      </c>
      <c r="L81" s="945">
        <f t="shared" si="39"/>
        <v>0</v>
      </c>
      <c r="M81" s="945">
        <f t="shared" si="39"/>
        <v>0</v>
      </c>
      <c r="N81" s="945">
        <f t="shared" si="39"/>
        <v>0</v>
      </c>
      <c r="O81" s="945">
        <f t="shared" si="39"/>
        <v>0</v>
      </c>
      <c r="P81" s="945">
        <f t="shared" si="39"/>
        <v>0</v>
      </c>
      <c r="Q81" s="945">
        <f t="shared" si="39"/>
        <v>0</v>
      </c>
      <c r="R81" s="945">
        <f t="shared" si="39"/>
        <v>0</v>
      </c>
      <c r="S81" s="945">
        <f t="shared" si="39"/>
        <v>0</v>
      </c>
      <c r="T81" s="945">
        <f t="shared" si="39"/>
        <v>0</v>
      </c>
      <c r="U81" s="945">
        <f t="shared" si="39"/>
        <v>0</v>
      </c>
      <c r="V81" s="945">
        <f t="shared" si="39"/>
        <v>0</v>
      </c>
      <c r="W81" s="945">
        <f t="shared" si="39"/>
        <v>0</v>
      </c>
      <c r="X81" s="945">
        <f t="shared" si="39"/>
        <v>0</v>
      </c>
      <c r="Y81" s="945">
        <f t="shared" si="39"/>
        <v>0</v>
      </c>
      <c r="Z81" s="945">
        <f t="shared" si="39"/>
        <v>0</v>
      </c>
      <c r="AA81" s="945">
        <f t="shared" si="39"/>
        <v>0</v>
      </c>
      <c r="AB81" s="945">
        <f t="shared" si="39"/>
        <v>0</v>
      </c>
      <c r="AC81" s="945">
        <f t="shared" si="39"/>
        <v>0</v>
      </c>
      <c r="AD81" s="945">
        <f t="shared" si="39"/>
        <v>0</v>
      </c>
      <c r="AE81" s="945">
        <f t="shared" si="39"/>
        <v>0</v>
      </c>
      <c r="AF81" s="945">
        <f t="shared" si="39"/>
        <v>0</v>
      </c>
      <c r="AG81" s="945">
        <f t="shared" si="39"/>
        <v>0</v>
      </c>
      <c r="AH81" s="945">
        <f t="shared" si="39"/>
        <v>0</v>
      </c>
      <c r="AI81" s="945">
        <f t="shared" si="39"/>
        <v>0</v>
      </c>
      <c r="AJ81" s="945">
        <f t="shared" si="39"/>
        <v>0</v>
      </c>
      <c r="AK81" s="945">
        <f t="shared" si="39"/>
        <v>0</v>
      </c>
      <c r="AL81" s="945">
        <f t="shared" si="39"/>
        <v>0</v>
      </c>
      <c r="AM81" s="945">
        <f t="shared" si="39"/>
        <v>0</v>
      </c>
      <c r="AN81" s="945">
        <f t="shared" si="39"/>
        <v>0</v>
      </c>
      <c r="AO81" s="945">
        <f t="shared" si="39"/>
        <v>0</v>
      </c>
      <c r="AP81" s="1024"/>
      <c r="AQ81" s="1023"/>
      <c r="AR81" s="885">
        <f>SUMIF($H$5:$AQ$5,$AR$5,H81:AQ81)</f>
        <v>0</v>
      </c>
      <c r="AS81" s="990">
        <f>SUMIF($H$5:$AQ$5,$AS$5,H81:AQ81)</f>
        <v>0</v>
      </c>
      <c r="AT81" s="929">
        <f>AS81-AR81</f>
        <v>0</v>
      </c>
      <c r="AU81" s="888">
        <f t="shared" si="32"/>
        <v>0</v>
      </c>
      <c r="AV81" s="889" t="e">
        <f>#N/A</f>
        <v>#N/A</v>
      </c>
      <c r="AW81" s="889" t="e">
        <f>#N/A</f>
        <v>#N/A</v>
      </c>
      <c r="AX81" s="888">
        <f t="shared" si="33"/>
        <v>0</v>
      </c>
      <c r="AY81" s="889" t="e">
        <f>#N/A</f>
        <v>#N/A</v>
      </c>
      <c r="AZ81" s="889" t="e">
        <f>#N/A</f>
        <v>#N/A</v>
      </c>
      <c r="BA81" s="888">
        <f t="shared" si="34"/>
        <v>0</v>
      </c>
      <c r="BB81" s="889" t="e">
        <f>#N/A</f>
        <v>#N/A</v>
      </c>
      <c r="BC81" s="889" t="e">
        <f>#N/A</f>
        <v>#N/A</v>
      </c>
      <c r="BD81" s="888">
        <f t="shared" si="35"/>
        <v>0</v>
      </c>
      <c r="BE81" s="889" t="e">
        <f>#N/A</f>
        <v>#N/A</v>
      </c>
      <c r="BF81" s="889" t="e">
        <f>#N/A</f>
        <v>#N/A</v>
      </c>
      <c r="BG81" s="890">
        <f t="shared" si="36"/>
        <v>0</v>
      </c>
      <c r="BH81" s="891">
        <f t="shared" si="37"/>
        <v>0</v>
      </c>
      <c r="BI81" s="905">
        <f t="shared" si="38"/>
        <v>0</v>
      </c>
      <c r="BJ81" s="893" t="s">
        <v>1450</v>
      </c>
      <c r="BK81" s="853"/>
      <c r="BL81"/>
    </row>
    <row r="82" spans="1:64" ht="18.75" customHeight="1">
      <c r="A82" s="2101"/>
      <c r="B82" s="970"/>
      <c r="C82" s="879" t="s">
        <v>1442</v>
      </c>
      <c r="D82" s="895" t="s">
        <v>386</v>
      </c>
      <c r="E82" s="881" t="s">
        <v>1431</v>
      </c>
      <c r="F82" s="881" t="s">
        <v>1428</v>
      </c>
      <c r="G82" s="1025" t="s">
        <v>1427</v>
      </c>
      <c r="H82" s="1026">
        <f>H78/0.0714</f>
        <v>60.42016806722689</v>
      </c>
      <c r="I82" s="1026"/>
      <c r="J82" s="884">
        <f>I82-H82</f>
        <v>-60.42016806722689</v>
      </c>
      <c r="K82" s="1027">
        <f>K78/0.0714</f>
        <v>60.42016806722689</v>
      </c>
      <c r="L82" s="1028"/>
      <c r="M82" s="1019">
        <f>L82-K82</f>
        <v>-60.42016806722689</v>
      </c>
      <c r="N82" s="1026">
        <f>N78/0.0714</f>
        <v>60.42016806722689</v>
      </c>
      <c r="O82" s="1026"/>
      <c r="P82" s="884">
        <f>O82-N82</f>
        <v>-60.42016806722689</v>
      </c>
      <c r="Q82" s="1027">
        <f>Q78/0.0714</f>
        <v>60.42016806722689</v>
      </c>
      <c r="R82" s="1027"/>
      <c r="S82" s="1019">
        <f>R82-Q82</f>
        <v>-60.42016806722689</v>
      </c>
      <c r="T82" s="1026">
        <f>T78/0.0714</f>
        <v>60.42016806722689</v>
      </c>
      <c r="U82" s="1029"/>
      <c r="V82" s="884">
        <f>U82-T82</f>
        <v>-60.42016806722689</v>
      </c>
      <c r="W82" s="1027">
        <f>W78/0.0714</f>
        <v>60.42016806722689</v>
      </c>
      <c r="X82" s="1027"/>
      <c r="Y82" s="1019">
        <f>X82-W82</f>
        <v>-60.42016806722689</v>
      </c>
      <c r="Z82" s="1026">
        <f>Z78/0.0714</f>
        <v>60.42016806722689</v>
      </c>
      <c r="AA82" s="1029"/>
      <c r="AB82" s="884">
        <f>AA82-Z82</f>
        <v>-60.42016806722689</v>
      </c>
      <c r="AC82" s="1027">
        <f>AC78/0.0714</f>
        <v>60.42016806722689</v>
      </c>
      <c r="AD82" s="1028"/>
      <c r="AE82" s="1019">
        <f>AD82-AC82</f>
        <v>-60.42016806722689</v>
      </c>
      <c r="AF82" s="1026">
        <f>AF78/0.0714</f>
        <v>60.42016806722689</v>
      </c>
      <c r="AG82" s="1029"/>
      <c r="AH82" s="884">
        <f>AG82-AF82</f>
        <v>-60.42016806722689</v>
      </c>
      <c r="AI82" s="1027">
        <f>AI78/0.0714</f>
        <v>60.42016806722689</v>
      </c>
      <c r="AJ82" s="1028"/>
      <c r="AK82" s="1019">
        <f>AJ82-AI82</f>
        <v>-60.42016806722689</v>
      </c>
      <c r="AL82" s="1026">
        <f>AL78/0.0714</f>
        <v>60.42016806722689</v>
      </c>
      <c r="AM82" s="1026"/>
      <c r="AN82" s="884">
        <f>AM82-AL82</f>
        <v>-60.42016806722689</v>
      </c>
      <c r="AO82" s="1027">
        <f>AO78/0.0714</f>
        <v>60.42016806722689</v>
      </c>
      <c r="AP82" s="1027"/>
      <c r="AQ82" s="1019">
        <f>AP82-AO82</f>
        <v>-60.42016806722689</v>
      </c>
      <c r="AR82" s="885">
        <f>SUMIF($H$5:$AQ$5,$AR$5,H82:AQ82)</f>
        <v>725.0420168067227</v>
      </c>
      <c r="AS82" s="999">
        <f>SUMIF($H$5:$AQ$5,$AS$5,H82:AQ82)</f>
        <v>0</v>
      </c>
      <c r="AT82" s="899">
        <f>AS82-AR82</f>
        <v>-725.0420168067227</v>
      </c>
      <c r="AU82" s="888">
        <f t="shared" si="32"/>
        <v>181.26050420168067</v>
      </c>
      <c r="AV82" s="889" t="e">
        <f>#N/A</f>
        <v>#N/A</v>
      </c>
      <c r="AW82" s="889" t="e">
        <f>#N/A</f>
        <v>#N/A</v>
      </c>
      <c r="AX82" s="888">
        <f t="shared" si="33"/>
        <v>181.26050420168067</v>
      </c>
      <c r="AY82" s="889" t="e">
        <f>#N/A</f>
        <v>#N/A</v>
      </c>
      <c r="AZ82" s="889" t="e">
        <f>#N/A</f>
        <v>#N/A</v>
      </c>
      <c r="BA82" s="888">
        <f t="shared" si="34"/>
        <v>181.26050420168067</v>
      </c>
      <c r="BB82" s="889" t="e">
        <f>#N/A</f>
        <v>#N/A</v>
      </c>
      <c r="BC82" s="889" t="e">
        <f>#N/A</f>
        <v>#N/A</v>
      </c>
      <c r="BD82" s="888">
        <f t="shared" si="35"/>
        <v>181.26050420168067</v>
      </c>
      <c r="BE82" s="889" t="e">
        <f>#N/A</f>
        <v>#N/A</v>
      </c>
      <c r="BF82" s="889" t="e">
        <f>#N/A</f>
        <v>#N/A</v>
      </c>
      <c r="BG82" s="890">
        <f t="shared" si="36"/>
        <v>362.52100840336135</v>
      </c>
      <c r="BH82" s="891">
        <f t="shared" si="37"/>
        <v>362.52100840336135</v>
      </c>
      <c r="BI82" s="905">
        <f t="shared" si="38"/>
        <v>725.0420168067227</v>
      </c>
      <c r="BJ82" s="893"/>
      <c r="BK82" s="853"/>
      <c r="BL82"/>
    </row>
    <row r="83" spans="1:64" ht="18.75" customHeight="1">
      <c r="A83" s="2101"/>
      <c r="B83" s="970"/>
      <c r="C83" s="879" t="s">
        <v>1442</v>
      </c>
      <c r="D83" s="895" t="s">
        <v>386</v>
      </c>
      <c r="E83" s="881" t="s">
        <v>1174</v>
      </c>
      <c r="F83" s="881" t="s">
        <v>1432</v>
      </c>
      <c r="G83" s="947" t="s">
        <v>1433</v>
      </c>
      <c r="H83" s="948">
        <v>2672</v>
      </c>
      <c r="I83" s="948"/>
      <c r="J83" s="949">
        <f>I83-H83</f>
        <v>-2672</v>
      </c>
      <c r="K83" s="948">
        <v>2481</v>
      </c>
      <c r="L83" s="948"/>
      <c r="M83" s="949">
        <f>L83-K83</f>
        <v>-2481</v>
      </c>
      <c r="N83" s="948">
        <v>2306</v>
      </c>
      <c r="O83" s="948"/>
      <c r="P83" s="949">
        <f>O83-N83</f>
        <v>-2306</v>
      </c>
      <c r="Q83" s="948">
        <v>1587</v>
      </c>
      <c r="R83" s="948"/>
      <c r="S83" s="949">
        <f>R83-Q83</f>
        <v>-1587</v>
      </c>
      <c r="T83" s="948">
        <v>1218</v>
      </c>
      <c r="U83" s="948"/>
      <c r="V83" s="949">
        <f>U83-T83</f>
        <v>-1218</v>
      </c>
      <c r="W83" s="950">
        <v>1186</v>
      </c>
      <c r="X83" s="951"/>
      <c r="Y83" s="934">
        <f>X83-W83</f>
        <v>-1186</v>
      </c>
      <c r="Z83" s="948"/>
      <c r="AA83" s="948"/>
      <c r="AB83" s="949">
        <f>AA83-Z83</f>
        <v>0</v>
      </c>
      <c r="AC83" s="948"/>
      <c r="AD83" s="948"/>
      <c r="AE83" s="949">
        <f>AD83-AC83</f>
        <v>0</v>
      </c>
      <c r="AF83" s="948">
        <v>1399</v>
      </c>
      <c r="AG83" s="948"/>
      <c r="AH83" s="949">
        <f>AG83-AF83</f>
        <v>-1399</v>
      </c>
      <c r="AI83" s="948">
        <v>1810</v>
      </c>
      <c r="AJ83" s="948"/>
      <c r="AK83" s="949">
        <f>AJ83-AI83</f>
        <v>-1810</v>
      </c>
      <c r="AL83" s="948">
        <v>2251</v>
      </c>
      <c r="AM83" s="948"/>
      <c r="AN83" s="949">
        <f>AM83-AL83</f>
        <v>-2251</v>
      </c>
      <c r="AO83" s="948">
        <v>2680</v>
      </c>
      <c r="AP83" s="952"/>
      <c r="AQ83" s="953">
        <f>AP83-AO83</f>
        <v>-2680</v>
      </c>
      <c r="AR83" s="885">
        <f>SUMIF($H$5:$AQ$5,$AR$5,H83:AQ83)</f>
        <v>19590</v>
      </c>
      <c r="AS83" s="887">
        <f>SUMIF($H$5:$AQ$5,$AS$5,H83:AQ83)</f>
        <v>0</v>
      </c>
      <c r="AT83" s="899">
        <f>AS83-AR83</f>
        <v>-19590</v>
      </c>
      <c r="AU83" s="888">
        <f t="shared" si="32"/>
        <v>7459</v>
      </c>
      <c r="AV83" s="889" t="e">
        <f>#N/A</f>
        <v>#N/A</v>
      </c>
      <c r="AW83" s="889" t="e">
        <f>#N/A</f>
        <v>#N/A</v>
      </c>
      <c r="AX83" s="888">
        <f t="shared" si="33"/>
        <v>3991</v>
      </c>
      <c r="AY83" s="889" t="e">
        <f>#N/A</f>
        <v>#N/A</v>
      </c>
      <c r="AZ83" s="889" t="e">
        <f>#N/A</f>
        <v>#N/A</v>
      </c>
      <c r="BA83" s="888">
        <f t="shared" si="34"/>
        <v>1399</v>
      </c>
      <c r="BB83" s="889" t="e">
        <f>#N/A</f>
        <v>#N/A</v>
      </c>
      <c r="BC83" s="889" t="e">
        <f>#N/A</f>
        <v>#N/A</v>
      </c>
      <c r="BD83" s="888">
        <f t="shared" si="35"/>
        <v>6741</v>
      </c>
      <c r="BE83" s="889" t="e">
        <f>#N/A</f>
        <v>#N/A</v>
      </c>
      <c r="BF83" s="889" t="e">
        <f>#N/A</f>
        <v>#N/A</v>
      </c>
      <c r="BG83" s="890">
        <f t="shared" si="36"/>
        <v>11450</v>
      </c>
      <c r="BH83" s="891">
        <f t="shared" si="37"/>
        <v>8140</v>
      </c>
      <c r="BI83" s="905">
        <f t="shared" si="38"/>
        <v>19590</v>
      </c>
      <c r="BJ83" s="893"/>
      <c r="BK83" s="853"/>
      <c r="BL83"/>
    </row>
    <row r="84" spans="1:64" ht="18.75" customHeight="1">
      <c r="A84" s="2101"/>
      <c r="B84" s="970"/>
      <c r="C84" s="879" t="s">
        <v>1442</v>
      </c>
      <c r="D84" s="895" t="s">
        <v>386</v>
      </c>
      <c r="E84" s="881" t="s">
        <v>1434</v>
      </c>
      <c r="F84" s="881" t="s">
        <v>1428</v>
      </c>
      <c r="G84" s="1040" t="s">
        <v>1435</v>
      </c>
      <c r="H84" s="948">
        <f aca="true" t="shared" si="40" ref="H84:AO84">726.4/725*H82</f>
        <v>60.53684149521877</v>
      </c>
      <c r="I84" s="948">
        <f t="shared" si="40"/>
        <v>0</v>
      </c>
      <c r="J84" s="948">
        <f t="shared" si="40"/>
        <v>-60.53684149521877</v>
      </c>
      <c r="K84" s="948">
        <f t="shared" si="40"/>
        <v>60.53684149521877</v>
      </c>
      <c r="L84" s="948">
        <f t="shared" si="40"/>
        <v>0</v>
      </c>
      <c r="M84" s="948">
        <f t="shared" si="40"/>
        <v>-60.53684149521877</v>
      </c>
      <c r="N84" s="948">
        <f t="shared" si="40"/>
        <v>60.53684149521877</v>
      </c>
      <c r="O84" s="948">
        <f t="shared" si="40"/>
        <v>0</v>
      </c>
      <c r="P84" s="948">
        <f t="shared" si="40"/>
        <v>-60.53684149521877</v>
      </c>
      <c r="Q84" s="948">
        <f t="shared" si="40"/>
        <v>60.53684149521877</v>
      </c>
      <c r="R84" s="948">
        <f t="shared" si="40"/>
        <v>0</v>
      </c>
      <c r="S84" s="948">
        <f t="shared" si="40"/>
        <v>-60.53684149521877</v>
      </c>
      <c r="T84" s="948">
        <f t="shared" si="40"/>
        <v>60.53684149521877</v>
      </c>
      <c r="U84" s="948">
        <f t="shared" si="40"/>
        <v>0</v>
      </c>
      <c r="V84" s="948">
        <f t="shared" si="40"/>
        <v>-60.53684149521877</v>
      </c>
      <c r="W84" s="948">
        <f t="shared" si="40"/>
        <v>60.53684149521877</v>
      </c>
      <c r="X84" s="948">
        <f t="shared" si="40"/>
        <v>0</v>
      </c>
      <c r="Y84" s="948">
        <f t="shared" si="40"/>
        <v>-60.53684149521877</v>
      </c>
      <c r="Z84" s="948">
        <f t="shared" si="40"/>
        <v>60.53684149521877</v>
      </c>
      <c r="AA84" s="948">
        <f t="shared" si="40"/>
        <v>0</v>
      </c>
      <c r="AB84" s="948">
        <f t="shared" si="40"/>
        <v>-60.53684149521877</v>
      </c>
      <c r="AC84" s="948">
        <f t="shared" si="40"/>
        <v>60.53684149521877</v>
      </c>
      <c r="AD84" s="948">
        <f t="shared" si="40"/>
        <v>0</v>
      </c>
      <c r="AE84" s="948">
        <f t="shared" si="40"/>
        <v>-60.53684149521877</v>
      </c>
      <c r="AF84" s="948">
        <f t="shared" si="40"/>
        <v>60.53684149521877</v>
      </c>
      <c r="AG84" s="948">
        <f t="shared" si="40"/>
        <v>0</v>
      </c>
      <c r="AH84" s="948">
        <f t="shared" si="40"/>
        <v>-60.53684149521877</v>
      </c>
      <c r="AI84" s="948">
        <f t="shared" si="40"/>
        <v>60.53684149521877</v>
      </c>
      <c r="AJ84" s="948">
        <f t="shared" si="40"/>
        <v>0</v>
      </c>
      <c r="AK84" s="948">
        <f t="shared" si="40"/>
        <v>-60.53684149521877</v>
      </c>
      <c r="AL84" s="948">
        <f t="shared" si="40"/>
        <v>60.53684149521877</v>
      </c>
      <c r="AM84" s="948">
        <f t="shared" si="40"/>
        <v>0</v>
      </c>
      <c r="AN84" s="948">
        <f t="shared" si="40"/>
        <v>-60.53684149521877</v>
      </c>
      <c r="AO84" s="948">
        <f t="shared" si="40"/>
        <v>60.53684149521877</v>
      </c>
      <c r="AP84" s="1032"/>
      <c r="AQ84" s="1033"/>
      <c r="AR84" s="959">
        <f>SUMIF($H$5:$AQ$5,$AR$5,H84:AQ84)</f>
        <v>726.4420979426254</v>
      </c>
      <c r="AS84" s="887">
        <f>SUMIF($H$5:$AQ$5,$AS$5,H84:AQ84)</f>
        <v>0</v>
      </c>
      <c r="AT84" s="899">
        <f>AS84-AR84</f>
        <v>-726.4420979426254</v>
      </c>
      <c r="AU84" s="888">
        <f t="shared" si="32"/>
        <v>181.61052448565633</v>
      </c>
      <c r="AV84" s="889" t="e">
        <f>#N/A</f>
        <v>#N/A</v>
      </c>
      <c r="AW84" s="889" t="e">
        <f>#N/A</f>
        <v>#N/A</v>
      </c>
      <c r="AX84" s="888">
        <f t="shared" si="33"/>
        <v>181.61052448565633</v>
      </c>
      <c r="AY84" s="889" t="e">
        <f>#N/A</f>
        <v>#N/A</v>
      </c>
      <c r="AZ84" s="889" t="e">
        <f>#N/A</f>
        <v>#N/A</v>
      </c>
      <c r="BA84" s="888">
        <f t="shared" si="34"/>
        <v>181.61052448565633</v>
      </c>
      <c r="BB84" s="889" t="e">
        <f>#N/A</f>
        <v>#N/A</v>
      </c>
      <c r="BC84" s="889" t="e">
        <f>#N/A</f>
        <v>#N/A</v>
      </c>
      <c r="BD84" s="888">
        <f t="shared" si="35"/>
        <v>181.61052448565633</v>
      </c>
      <c r="BE84" s="889" t="e">
        <f>#N/A</f>
        <v>#N/A</v>
      </c>
      <c r="BF84" s="889" t="e">
        <f>#N/A</f>
        <v>#N/A</v>
      </c>
      <c r="BG84" s="890">
        <f t="shared" si="36"/>
        <v>363.22104897131265</v>
      </c>
      <c r="BH84" s="891">
        <f t="shared" si="37"/>
        <v>363.22104897131265</v>
      </c>
      <c r="BI84" s="905">
        <f t="shared" si="38"/>
        <v>726.4420979426253</v>
      </c>
      <c r="BJ84" s="893" t="s">
        <v>1436</v>
      </c>
      <c r="BK84" s="853"/>
      <c r="BL84"/>
    </row>
    <row r="85" spans="1:64" ht="25.5" customHeight="1">
      <c r="A85" s="2102"/>
      <c r="B85" s="970"/>
      <c r="C85" s="879" t="s">
        <v>1442</v>
      </c>
      <c r="D85" s="895" t="s">
        <v>386</v>
      </c>
      <c r="E85" s="881" t="s">
        <v>1437</v>
      </c>
      <c r="F85" s="881" t="s">
        <v>1428</v>
      </c>
      <c r="G85" s="960" t="s">
        <v>1438</v>
      </c>
      <c r="H85" s="943"/>
      <c r="I85" s="943"/>
      <c r="J85" s="884">
        <f>I85-H85</f>
        <v>0</v>
      </c>
      <c r="K85" s="943"/>
      <c r="L85" s="943"/>
      <c r="M85" s="884">
        <f>L85-K85</f>
        <v>0</v>
      </c>
      <c r="N85" s="943"/>
      <c r="O85" s="943"/>
      <c r="P85" s="884">
        <f>O85-N85</f>
        <v>0</v>
      </c>
      <c r="Q85" s="943"/>
      <c r="R85" s="943"/>
      <c r="S85" s="884">
        <f>R85-Q85</f>
        <v>0</v>
      </c>
      <c r="T85" s="943"/>
      <c r="U85" s="943"/>
      <c r="V85" s="884">
        <f>U85-T85</f>
        <v>0</v>
      </c>
      <c r="W85" s="943"/>
      <c r="X85" s="943"/>
      <c r="Y85" s="884">
        <f>X85-W85</f>
        <v>0</v>
      </c>
      <c r="Z85" s="943"/>
      <c r="AA85" s="943"/>
      <c r="AB85" s="884">
        <f>AA85-Z85</f>
        <v>0</v>
      </c>
      <c r="AC85" s="943"/>
      <c r="AD85" s="943"/>
      <c r="AE85" s="884">
        <f>AD85-AC85</f>
        <v>0</v>
      </c>
      <c r="AF85" s="943"/>
      <c r="AG85" s="943"/>
      <c r="AH85" s="884">
        <f>AG85-AF85</f>
        <v>0</v>
      </c>
      <c r="AI85" s="943"/>
      <c r="AJ85" s="943"/>
      <c r="AK85" s="884">
        <f>AJ85-AI85</f>
        <v>0</v>
      </c>
      <c r="AL85" s="943"/>
      <c r="AM85" s="943"/>
      <c r="AN85" s="884">
        <f>AM85-AL85</f>
        <v>0</v>
      </c>
      <c r="AO85" s="943"/>
      <c r="AP85" s="943"/>
      <c r="AQ85" s="967">
        <f>AP85-AO85</f>
        <v>0</v>
      </c>
      <c r="AR85" s="885">
        <f>SUMIF($H$5:$AQ$5,$AR$5,H85:AQ85)</f>
        <v>0</v>
      </c>
      <c r="AS85" s="969">
        <f>SUMIF($H$5:$AQ$5,$AS$5,H85:AQ85)</f>
        <v>0</v>
      </c>
      <c r="AT85" s="899">
        <f>AS85-AR85</f>
        <v>0</v>
      </c>
      <c r="AU85" s="888">
        <f t="shared" si="32"/>
        <v>0</v>
      </c>
      <c r="AV85" s="889" t="e">
        <f>#N/A</f>
        <v>#N/A</v>
      </c>
      <c r="AW85" s="889" t="e">
        <f>#N/A</f>
        <v>#N/A</v>
      </c>
      <c r="AX85" s="888">
        <f t="shared" si="33"/>
        <v>0</v>
      </c>
      <c r="AY85" s="889" t="e">
        <f>#N/A</f>
        <v>#N/A</v>
      </c>
      <c r="AZ85" s="889" t="e">
        <f>#N/A</f>
        <v>#N/A</v>
      </c>
      <c r="BA85" s="888">
        <f t="shared" si="34"/>
        <v>0</v>
      </c>
      <c r="BB85" s="889" t="e">
        <f>#N/A</f>
        <v>#N/A</v>
      </c>
      <c r="BC85" s="889" t="e">
        <f>#N/A</f>
        <v>#N/A</v>
      </c>
      <c r="BD85" s="888">
        <f t="shared" si="35"/>
        <v>0</v>
      </c>
      <c r="BE85" s="889" t="e">
        <f>#N/A</f>
        <v>#N/A</v>
      </c>
      <c r="BF85" s="889" t="e">
        <f>#N/A</f>
        <v>#N/A</v>
      </c>
      <c r="BG85" s="890">
        <f t="shared" si="36"/>
        <v>0</v>
      </c>
      <c r="BH85" s="891">
        <f t="shared" si="37"/>
        <v>0</v>
      </c>
      <c r="BI85" s="905">
        <f t="shared" si="38"/>
        <v>0</v>
      </c>
      <c r="BJ85" s="893"/>
      <c r="BK85" s="853"/>
      <c r="BL85"/>
    </row>
    <row r="86" spans="1:64" ht="18.75" customHeight="1">
      <c r="A86" s="961"/>
      <c r="B86" s="961"/>
      <c r="C86" s="961"/>
      <c r="D86" s="961"/>
      <c r="E86" s="961"/>
      <c r="F86" s="961"/>
      <c r="G86" s="961"/>
      <c r="H86" s="961"/>
      <c r="I86" s="961"/>
      <c r="J86" s="961"/>
      <c r="K86" s="961"/>
      <c r="L86" s="961"/>
      <c r="M86" s="961"/>
      <c r="N86" s="961"/>
      <c r="O86" s="961"/>
      <c r="P86" s="961"/>
      <c r="Q86" s="961"/>
      <c r="R86" s="961"/>
      <c r="S86" s="961"/>
      <c r="T86" s="961"/>
      <c r="U86" s="961"/>
      <c r="V86" s="961"/>
      <c r="W86" s="961"/>
      <c r="X86" s="961"/>
      <c r="Y86" s="961"/>
      <c r="Z86" s="961"/>
      <c r="AA86" s="961"/>
      <c r="AB86" s="961"/>
      <c r="AC86" s="961"/>
      <c r="AD86" s="961"/>
      <c r="AE86" s="961"/>
      <c r="AF86" s="961"/>
      <c r="AG86" s="961"/>
      <c r="AH86" s="961"/>
      <c r="AI86" s="961"/>
      <c r="AJ86" s="961"/>
      <c r="AK86" s="961"/>
      <c r="AL86" s="961"/>
      <c r="AM86" s="961"/>
      <c r="AN86" s="961"/>
      <c r="AO86" s="961"/>
      <c r="AP86" s="961"/>
      <c r="AQ86" s="961"/>
      <c r="AR86" s="961" t="s">
        <v>1278</v>
      </c>
      <c r="AS86" s="963"/>
      <c r="AT86" s="961"/>
      <c r="AU86" s="961"/>
      <c r="AV86" s="961"/>
      <c r="AW86" s="961"/>
      <c r="AX86" s="961"/>
      <c r="AY86" s="961"/>
      <c r="AZ86" s="961"/>
      <c r="BA86" s="961"/>
      <c r="BB86" s="961"/>
      <c r="BC86" s="961"/>
      <c r="BD86" s="961"/>
      <c r="BE86" s="961"/>
      <c r="BF86" s="961"/>
      <c r="BG86" s="961"/>
      <c r="BH86" s="964"/>
      <c r="BI86" s="965"/>
      <c r="BJ86" s="1041"/>
      <c r="BK86" s="961"/>
      <c r="BL86"/>
    </row>
    <row r="87" spans="1:64" ht="17.25" customHeight="1">
      <c r="A87" s="1042" t="s">
        <v>1444</v>
      </c>
      <c r="B87" s="1042" t="s">
        <v>1444</v>
      </c>
      <c r="C87" s="1042" t="s">
        <v>1444</v>
      </c>
      <c r="D87" s="1042" t="s">
        <v>1444</v>
      </c>
      <c r="E87" s="1042" t="s">
        <v>1444</v>
      </c>
      <c r="F87" s="1042" t="s">
        <v>1444</v>
      </c>
      <c r="G87" s="1042" t="s">
        <v>1444</v>
      </c>
      <c r="H87" s="1042" t="s">
        <v>1444</v>
      </c>
      <c r="I87" s="1042" t="s">
        <v>1444</v>
      </c>
      <c r="J87" s="1042" t="s">
        <v>1444</v>
      </c>
      <c r="K87" s="1042" t="s">
        <v>1444</v>
      </c>
      <c r="L87" s="1042" t="s">
        <v>1444</v>
      </c>
      <c r="M87" s="1042" t="s">
        <v>1444</v>
      </c>
      <c r="N87" s="1042" t="s">
        <v>1444</v>
      </c>
      <c r="O87" s="1042" t="s">
        <v>1444</v>
      </c>
      <c r="P87" s="1042" t="s">
        <v>1444</v>
      </c>
      <c r="Q87" s="1042" t="s">
        <v>1444</v>
      </c>
      <c r="R87" s="1042" t="s">
        <v>1444</v>
      </c>
      <c r="S87" s="1042" t="s">
        <v>1444</v>
      </c>
      <c r="T87" s="1042" t="s">
        <v>1444</v>
      </c>
      <c r="U87" s="1042" t="s">
        <v>1444</v>
      </c>
      <c r="V87" s="1042" t="s">
        <v>1444</v>
      </c>
      <c r="W87" s="1042" t="s">
        <v>1444</v>
      </c>
      <c r="X87" s="1042" t="s">
        <v>1444</v>
      </c>
      <c r="Y87" s="1042" t="s">
        <v>1444</v>
      </c>
      <c r="Z87" s="1042" t="s">
        <v>1444</v>
      </c>
      <c r="AA87" s="1042" t="s">
        <v>1444</v>
      </c>
      <c r="AB87" s="1042" t="s">
        <v>1444</v>
      </c>
      <c r="AC87" s="1042" t="s">
        <v>1444</v>
      </c>
      <c r="AD87" s="1042" t="s">
        <v>1444</v>
      </c>
      <c r="AE87" s="1042" t="s">
        <v>1444</v>
      </c>
      <c r="AF87" s="1042" t="s">
        <v>1444</v>
      </c>
      <c r="AG87" s="1042" t="s">
        <v>1444</v>
      </c>
      <c r="AH87" s="1042" t="s">
        <v>1444</v>
      </c>
      <c r="AI87" s="1042" t="s">
        <v>1444</v>
      </c>
      <c r="AJ87" s="1042" t="s">
        <v>1444</v>
      </c>
      <c r="AK87" s="1042" t="s">
        <v>1444</v>
      </c>
      <c r="AL87" s="1042" t="s">
        <v>1444</v>
      </c>
      <c r="AM87" s="1042" t="s">
        <v>1444</v>
      </c>
      <c r="AN87" s="1042" t="s">
        <v>1444</v>
      </c>
      <c r="AO87" s="1042" t="s">
        <v>1444</v>
      </c>
      <c r="AP87" s="1042" t="s">
        <v>1444</v>
      </c>
      <c r="AQ87" s="1042" t="s">
        <v>1444</v>
      </c>
      <c r="AR87" s="1042" t="s">
        <v>1444</v>
      </c>
      <c r="AS87" s="1043" t="s">
        <v>1444</v>
      </c>
      <c r="AT87" s="1044" t="s">
        <v>1444</v>
      </c>
      <c r="AU87" s="1042" t="s">
        <v>1444</v>
      </c>
      <c r="AV87" s="1042" t="s">
        <v>1444</v>
      </c>
      <c r="AW87" s="1042" t="s">
        <v>1444</v>
      </c>
      <c r="AX87" s="1042" t="s">
        <v>1444</v>
      </c>
      <c r="AY87" s="1042" t="s">
        <v>1444</v>
      </c>
      <c r="AZ87" s="1042" t="s">
        <v>1444</v>
      </c>
      <c r="BA87" s="1042" t="s">
        <v>1444</v>
      </c>
      <c r="BB87" s="1042" t="s">
        <v>1444</v>
      </c>
      <c r="BC87" s="1042" t="s">
        <v>1444</v>
      </c>
      <c r="BD87" s="1042" t="s">
        <v>1444</v>
      </c>
      <c r="BE87" s="1042" t="s">
        <v>1444</v>
      </c>
      <c r="BF87" s="1042" t="s">
        <v>1444</v>
      </c>
      <c r="BG87" s="1042" t="s">
        <v>1444</v>
      </c>
      <c r="BH87" s="1045" t="s">
        <v>1444</v>
      </c>
      <c r="BI87" s="1046" t="s">
        <v>1444</v>
      </c>
      <c r="BJ87" s="1047" t="s">
        <v>1444</v>
      </c>
      <c r="BK87" s="1042" t="s">
        <v>1444</v>
      </c>
      <c r="BL87"/>
    </row>
    <row r="88" spans="1:64" ht="21.75" customHeight="1">
      <c r="A88" s="2103" t="s">
        <v>1445</v>
      </c>
      <c r="B88" s="1048"/>
      <c r="C88" s="1048" t="s">
        <v>1446</v>
      </c>
      <c r="D88" s="1049" t="s">
        <v>1447</v>
      </c>
      <c r="E88" s="1050" t="s">
        <v>238</v>
      </c>
      <c r="F88" s="1050" t="s">
        <v>387</v>
      </c>
      <c r="G88" s="1051" t="s">
        <v>388</v>
      </c>
      <c r="H88" s="883">
        <f>H7+H27+H47+H67</f>
        <v>176.60535811362027</v>
      </c>
      <c r="I88" s="883">
        <f aca="true" t="shared" si="41" ref="I88:AO88">I7+I27+I47+I67</f>
        <v>23.80731755416337</v>
      </c>
      <c r="J88" s="883" t="e">
        <f t="shared" si="41"/>
        <v>#N/A</v>
      </c>
      <c r="K88" s="883">
        <f t="shared" si="41"/>
        <v>161.35461291545366</v>
      </c>
      <c r="L88" s="883">
        <f t="shared" si="41"/>
        <v>19.330294830315346</v>
      </c>
      <c r="M88" s="883">
        <f t="shared" si="41"/>
        <v>-142.02431808513833</v>
      </c>
      <c r="N88" s="883">
        <f t="shared" si="41"/>
        <v>157.64606825183802</v>
      </c>
      <c r="O88" s="883">
        <f t="shared" si="41"/>
        <v>19.1326755184498</v>
      </c>
      <c r="P88" s="883">
        <f t="shared" si="41"/>
        <v>-138.5133927333882</v>
      </c>
      <c r="Q88" s="883">
        <f t="shared" si="41"/>
        <v>128.53493740933095</v>
      </c>
      <c r="R88" s="883">
        <f t="shared" si="41"/>
        <v>23.80731755416337</v>
      </c>
      <c r="S88" s="883">
        <f t="shared" si="41"/>
        <v>-104.72761985516757</v>
      </c>
      <c r="T88" s="883">
        <f t="shared" si="41"/>
        <v>103.84548234552032</v>
      </c>
      <c r="U88" s="883">
        <f t="shared" si="41"/>
        <v>4.477022723848023</v>
      </c>
      <c r="V88" s="883">
        <f t="shared" si="41"/>
        <v>-99.3684596216723</v>
      </c>
      <c r="W88" s="883">
        <f t="shared" si="41"/>
        <v>41.57027090478861</v>
      </c>
      <c r="X88" s="883">
        <f t="shared" si="41"/>
        <v>9.151664759561589</v>
      </c>
      <c r="Y88" s="883">
        <f t="shared" si="41"/>
        <v>-32.41860614522702</v>
      </c>
      <c r="Z88" s="883">
        <f t="shared" si="41"/>
        <v>9.151664759561589</v>
      </c>
      <c r="AA88" s="883">
        <f t="shared" si="41"/>
        <v>4.477022723848023</v>
      </c>
      <c r="AB88" s="883">
        <f t="shared" si="41"/>
        <v>-4.674642035713566</v>
      </c>
      <c r="AC88" s="883">
        <f t="shared" si="41"/>
        <v>9.151664759561589</v>
      </c>
      <c r="AD88" s="883">
        <f t="shared" si="41"/>
        <v>9.151664759561589</v>
      </c>
      <c r="AE88" s="883">
        <f t="shared" si="41"/>
        <v>0</v>
      </c>
      <c r="AF88" s="883">
        <f t="shared" si="41"/>
        <v>40.331927994089575</v>
      </c>
      <c r="AG88" s="883">
        <f t="shared" si="41"/>
        <v>4.477022723848023</v>
      </c>
      <c r="AH88" s="883">
        <f t="shared" si="41"/>
        <v>-35.85490527024155</v>
      </c>
      <c r="AI88" s="883">
        <f t="shared" si="41"/>
        <v>100.25782123842474</v>
      </c>
      <c r="AJ88" s="883">
        <f t="shared" si="41"/>
        <v>23.80731755416337</v>
      </c>
      <c r="AK88" s="883">
        <f t="shared" si="41"/>
        <v>-76.45050368426136</v>
      </c>
      <c r="AL88" s="883">
        <f t="shared" si="41"/>
        <v>131.0147227867713</v>
      </c>
      <c r="AM88" s="883">
        <f t="shared" si="41"/>
        <v>8.615083435574595</v>
      </c>
      <c r="AN88" s="883">
        <f t="shared" si="41"/>
        <v>-122.3996393511967</v>
      </c>
      <c r="AO88" s="883">
        <f t="shared" si="41"/>
        <v>158.67009438431828</v>
      </c>
      <c r="AP88" s="883" t="e">
        <f>AP7+AP27+AP47+AP67+#REF!+#REF!</f>
        <v>#REF!</v>
      </c>
      <c r="AQ88" s="883" t="e">
        <f>AQ7+AQ27+AQ47+AQ67+#REF!+#REF!</f>
        <v>#REF!</v>
      </c>
      <c r="AR88" s="1052">
        <f>AR7+AR27+AR47+AR67</f>
        <v>1218.1346258632786</v>
      </c>
      <c r="AS88" s="883">
        <f aca="true" t="shared" si="42" ref="AS88:AT91">AS7+AS27+AS47</f>
        <v>109.9411996228649</v>
      </c>
      <c r="AT88" s="883" t="e">
        <f t="shared" si="42"/>
        <v>#N/A</v>
      </c>
      <c r="AU88" s="883">
        <f>AU7+AU27+AU47+AU67</f>
        <v>495.606039280912</v>
      </c>
      <c r="AV88" s="883" t="e">
        <f aca="true" t="shared" si="43" ref="AV88:BI88">AV7+AV27+AV47+AV67</f>
        <v>#N/A</v>
      </c>
      <c r="AW88" s="883" t="e">
        <f t="shared" si="43"/>
        <v>#N/A</v>
      </c>
      <c r="AX88" s="883">
        <f t="shared" si="43"/>
        <v>273.95069065963986</v>
      </c>
      <c r="AY88" s="883" t="e">
        <f t="shared" si="43"/>
        <v>#N/A</v>
      </c>
      <c r="AZ88" s="883" t="e">
        <f t="shared" si="43"/>
        <v>#N/A</v>
      </c>
      <c r="BA88" s="883">
        <f t="shared" si="43"/>
        <v>58.63525751321274</v>
      </c>
      <c r="BB88" s="883" t="e">
        <f t="shared" si="43"/>
        <v>#N/A</v>
      </c>
      <c r="BC88" s="883" t="e">
        <f t="shared" si="43"/>
        <v>#N/A</v>
      </c>
      <c r="BD88" s="883">
        <f t="shared" si="43"/>
        <v>389.9426384095143</v>
      </c>
      <c r="BE88" s="883" t="e">
        <f t="shared" si="43"/>
        <v>#N/A</v>
      </c>
      <c r="BF88" s="883" t="e">
        <f t="shared" si="43"/>
        <v>#N/A</v>
      </c>
      <c r="BG88" s="883">
        <f t="shared" si="43"/>
        <v>769.5567299405517</v>
      </c>
      <c r="BH88" s="883">
        <f t="shared" si="43"/>
        <v>448.57789592272707</v>
      </c>
      <c r="BI88" s="883">
        <f t="shared" si="43"/>
        <v>1218.1346258632789</v>
      </c>
      <c r="BJ88" s="893" t="s">
        <v>389</v>
      </c>
      <c r="BK88" s="853"/>
      <c r="BL88"/>
    </row>
    <row r="89" spans="1:64" ht="18" customHeight="1">
      <c r="A89" s="2104"/>
      <c r="B89" s="1048"/>
      <c r="C89" s="1048" t="s">
        <v>1446</v>
      </c>
      <c r="D89" s="1049" t="s">
        <v>1447</v>
      </c>
      <c r="E89" s="881" t="s">
        <v>240</v>
      </c>
      <c r="F89" s="881" t="s">
        <v>387</v>
      </c>
      <c r="G89" s="882" t="s">
        <v>20</v>
      </c>
      <c r="H89" s="883">
        <f>H8+H28+H48+H68</f>
        <v>1.7660535811362026</v>
      </c>
      <c r="I89" s="883">
        <f aca="true" t="shared" si="44" ref="I89:AQ89">I8+I28+I48+I68</f>
        <v>0.23807317554163368</v>
      </c>
      <c r="J89" s="883" t="e">
        <f t="shared" si="44"/>
        <v>#N/A</v>
      </c>
      <c r="K89" s="883">
        <f t="shared" si="44"/>
        <v>1.6135461291545368</v>
      </c>
      <c r="L89" s="883">
        <f t="shared" si="44"/>
        <v>0.19330294830315345</v>
      </c>
      <c r="M89" s="883">
        <f t="shared" si="44"/>
        <v>-1.4202431808513836</v>
      </c>
      <c r="N89" s="883">
        <f t="shared" si="44"/>
        <v>1.57646068251838</v>
      </c>
      <c r="O89" s="883">
        <f t="shared" si="44"/>
        <v>0.19132675518449804</v>
      </c>
      <c r="P89" s="883">
        <f t="shared" si="44"/>
        <v>-1.3851339273338819</v>
      </c>
      <c r="Q89" s="883">
        <f t="shared" si="44"/>
        <v>1.2853493740933095</v>
      </c>
      <c r="R89" s="883">
        <f t="shared" si="44"/>
        <v>0.23807317554163368</v>
      </c>
      <c r="S89" s="883">
        <f t="shared" si="44"/>
        <v>-1.0472761985516759</v>
      </c>
      <c r="T89" s="883">
        <f t="shared" si="44"/>
        <v>1.0384548234552033</v>
      </c>
      <c r="U89" s="883">
        <f t="shared" si="44"/>
        <v>0.04477022723848023</v>
      </c>
      <c r="V89" s="883">
        <f t="shared" si="44"/>
        <v>-0.9936845962167231</v>
      </c>
      <c r="W89" s="883">
        <f t="shared" si="44"/>
        <v>0.4157027090478861</v>
      </c>
      <c r="X89" s="883">
        <f t="shared" si="44"/>
        <v>0.0915166475956159</v>
      </c>
      <c r="Y89" s="883">
        <f t="shared" si="44"/>
        <v>-0.32418606145227014</v>
      </c>
      <c r="Z89" s="883">
        <f t="shared" si="44"/>
        <v>0.0915166475956159</v>
      </c>
      <c r="AA89" s="883">
        <f t="shared" si="44"/>
        <v>0.04477022723848023</v>
      </c>
      <c r="AB89" s="883">
        <f t="shared" si="44"/>
        <v>-0.04674642035713566</v>
      </c>
      <c r="AC89" s="883">
        <f t="shared" si="44"/>
        <v>0.0915166475956159</v>
      </c>
      <c r="AD89" s="883">
        <f t="shared" si="44"/>
        <v>0.0915166475956159</v>
      </c>
      <c r="AE89" s="883">
        <f t="shared" si="44"/>
        <v>0</v>
      </c>
      <c r="AF89" s="883">
        <f t="shared" si="44"/>
        <v>0.4033192799408958</v>
      </c>
      <c r="AG89" s="883">
        <f t="shared" si="44"/>
        <v>0.04477022723848023</v>
      </c>
      <c r="AH89" s="883">
        <f t="shared" si="44"/>
        <v>-0.35854905270241555</v>
      </c>
      <c r="AI89" s="883">
        <f t="shared" si="44"/>
        <v>1.0025782123842475</v>
      </c>
      <c r="AJ89" s="883">
        <f t="shared" si="44"/>
        <v>0.23807317554163368</v>
      </c>
      <c r="AK89" s="883">
        <f t="shared" si="44"/>
        <v>-0.7645050368426137</v>
      </c>
      <c r="AL89" s="883">
        <f t="shared" si="44"/>
        <v>1.3101472278677129</v>
      </c>
      <c r="AM89" s="883">
        <f t="shared" si="44"/>
        <v>0.08615083435574596</v>
      </c>
      <c r="AN89" s="883">
        <f t="shared" si="44"/>
        <v>-1.223996393511967</v>
      </c>
      <c r="AO89" s="883">
        <f t="shared" si="44"/>
        <v>1.5867009438431827</v>
      </c>
      <c r="AP89" s="883">
        <f t="shared" si="44"/>
        <v>0</v>
      </c>
      <c r="AQ89" s="883">
        <f t="shared" si="44"/>
        <v>-1.5867009438431827</v>
      </c>
      <c r="AR89" s="1052">
        <f>AR8+AR28+AR48+AR68</f>
        <v>12.18134625863279</v>
      </c>
      <c r="AS89" s="883">
        <f t="shared" si="42"/>
        <v>1.0994119962286488</v>
      </c>
      <c r="AT89" s="883" t="e">
        <f t="shared" si="42"/>
        <v>#N/A</v>
      </c>
      <c r="AU89" s="883">
        <f>AU8+AU28+AU48+AU68</f>
        <v>4.956060392809119</v>
      </c>
      <c r="AV89" s="883" t="e">
        <f aca="true" t="shared" si="45" ref="AV89:BI89">AV8+AV28+AV48+AV68</f>
        <v>#N/A</v>
      </c>
      <c r="AW89" s="883" t="e">
        <f t="shared" si="45"/>
        <v>#N/A</v>
      </c>
      <c r="AX89" s="883">
        <f t="shared" si="45"/>
        <v>2.7395069065963984</v>
      </c>
      <c r="AY89" s="883" t="e">
        <f t="shared" si="45"/>
        <v>#N/A</v>
      </c>
      <c r="AZ89" s="883" t="e">
        <f t="shared" si="45"/>
        <v>#N/A</v>
      </c>
      <c r="BA89" s="883">
        <f t="shared" si="45"/>
        <v>0.5863525751321276</v>
      </c>
      <c r="BB89" s="883" t="e">
        <f t="shared" si="45"/>
        <v>#N/A</v>
      </c>
      <c r="BC89" s="883" t="e">
        <f t="shared" si="45"/>
        <v>#N/A</v>
      </c>
      <c r="BD89" s="883">
        <f t="shared" si="45"/>
        <v>3.8994263840951433</v>
      </c>
      <c r="BE89" s="883" t="e">
        <f t="shared" si="45"/>
        <v>#N/A</v>
      </c>
      <c r="BF89" s="883" t="e">
        <f t="shared" si="45"/>
        <v>#N/A</v>
      </c>
      <c r="BG89" s="883">
        <f t="shared" si="45"/>
        <v>7.695567299405518</v>
      </c>
      <c r="BH89" s="883">
        <f t="shared" si="45"/>
        <v>4.485778959227271</v>
      </c>
      <c r="BI89" s="883">
        <f t="shared" si="45"/>
        <v>12.18134625863279</v>
      </c>
      <c r="BJ89" s="893" t="s">
        <v>21</v>
      </c>
      <c r="BK89" s="853"/>
      <c r="BL89"/>
    </row>
    <row r="90" spans="1:64" ht="23.25" customHeight="1">
      <c r="A90" s="2104"/>
      <c r="B90" s="1048"/>
      <c r="C90" s="1048" t="s">
        <v>1446</v>
      </c>
      <c r="D90" s="1049" t="s">
        <v>1447</v>
      </c>
      <c r="E90" s="881" t="s">
        <v>241</v>
      </c>
      <c r="F90" s="881" t="s">
        <v>387</v>
      </c>
      <c r="G90" s="882" t="s">
        <v>22</v>
      </c>
      <c r="H90" s="883">
        <f>H9+H29+H49+H69</f>
        <v>174.83930453248405</v>
      </c>
      <c r="I90" s="883">
        <f aca="true" t="shared" si="46" ref="I90:AO90">I9+I29+I49+I69</f>
        <v>23.569244378621736</v>
      </c>
      <c r="J90" s="883" t="e">
        <f t="shared" si="46"/>
        <v>#N/A</v>
      </c>
      <c r="K90" s="883">
        <f t="shared" si="46"/>
        <v>159.74106678629914</v>
      </c>
      <c r="L90" s="883">
        <f t="shared" si="46"/>
        <v>19.136991882012193</v>
      </c>
      <c r="M90" s="883">
        <f t="shared" si="46"/>
        <v>-140.60407490428696</v>
      </c>
      <c r="N90" s="883">
        <f t="shared" si="46"/>
        <v>156.06960756931963</v>
      </c>
      <c r="O90" s="883">
        <f t="shared" si="46"/>
        <v>18.941348763265303</v>
      </c>
      <c r="P90" s="883">
        <f t="shared" si="46"/>
        <v>-137.1282588060543</v>
      </c>
      <c r="Q90" s="883">
        <f t="shared" si="46"/>
        <v>127.24958803523764</v>
      </c>
      <c r="R90" s="883">
        <f t="shared" si="46"/>
        <v>23.569244378621736</v>
      </c>
      <c r="S90" s="883">
        <f t="shared" si="46"/>
        <v>-103.68034365661589</v>
      </c>
      <c r="T90" s="883">
        <f t="shared" si="46"/>
        <v>102.80702752206513</v>
      </c>
      <c r="U90" s="883">
        <f t="shared" si="46"/>
        <v>4.432252496609543</v>
      </c>
      <c r="V90" s="883">
        <f t="shared" si="46"/>
        <v>-98.37477502545559</v>
      </c>
      <c r="W90" s="883">
        <f t="shared" si="46"/>
        <v>41.15456819574072</v>
      </c>
      <c r="X90" s="883">
        <f t="shared" si="46"/>
        <v>9.060148111965972</v>
      </c>
      <c r="Y90" s="883">
        <f t="shared" si="46"/>
        <v>-32.09442008377475</v>
      </c>
      <c r="Z90" s="883">
        <f t="shared" si="46"/>
        <v>9.060148111965972</v>
      </c>
      <c r="AA90" s="883">
        <f t="shared" si="46"/>
        <v>4.432252496609543</v>
      </c>
      <c r="AB90" s="883">
        <f t="shared" si="46"/>
        <v>-4.62789561535643</v>
      </c>
      <c r="AC90" s="883">
        <f t="shared" si="46"/>
        <v>9.060148111965972</v>
      </c>
      <c r="AD90" s="883">
        <f t="shared" si="46"/>
        <v>9.060148111965972</v>
      </c>
      <c r="AE90" s="883">
        <f t="shared" si="46"/>
        <v>0</v>
      </c>
      <c r="AF90" s="883">
        <f t="shared" si="46"/>
        <v>39.92860871414868</v>
      </c>
      <c r="AG90" s="883">
        <f t="shared" si="46"/>
        <v>4.432252496609543</v>
      </c>
      <c r="AH90" s="883">
        <f t="shared" si="46"/>
        <v>-35.49635621753913</v>
      </c>
      <c r="AI90" s="883">
        <f t="shared" si="46"/>
        <v>99.25524302604049</v>
      </c>
      <c r="AJ90" s="883">
        <f t="shared" si="46"/>
        <v>23.569244378621736</v>
      </c>
      <c r="AK90" s="883">
        <f t="shared" si="46"/>
        <v>-75.68599864741876</v>
      </c>
      <c r="AL90" s="883">
        <f t="shared" si="46"/>
        <v>129.70457555890357</v>
      </c>
      <c r="AM90" s="883">
        <f t="shared" si="46"/>
        <v>8.52893260121885</v>
      </c>
      <c r="AN90" s="883">
        <f t="shared" si="46"/>
        <v>-121.17564295768473</v>
      </c>
      <c r="AO90" s="883">
        <f t="shared" si="46"/>
        <v>157.0833934404751</v>
      </c>
      <c r="AP90" s="883">
        <f>AP9+AP29+AP49</f>
        <v>0</v>
      </c>
      <c r="AQ90" s="883">
        <f>AQ9+AQ29+AQ49</f>
        <v>-126.31242397513995</v>
      </c>
      <c r="AR90" s="1052">
        <f>AR9+AR29+AR49+AR69</f>
        <v>1205.953279604646</v>
      </c>
      <c r="AS90" s="883">
        <f t="shared" si="42"/>
        <v>108.84178762663623</v>
      </c>
      <c r="AT90" s="883" t="e">
        <f t="shared" si="42"/>
        <v>#N/A</v>
      </c>
      <c r="AU90" s="883">
        <f>AU9+AU29+AU49+AU69</f>
        <v>490.6499788881028</v>
      </c>
      <c r="AV90" s="883" t="e">
        <f aca="true" t="shared" si="47" ref="AV90:BI90">AV9+AV29+AV49+AV69</f>
        <v>#N/A</v>
      </c>
      <c r="AW90" s="883" t="e">
        <f t="shared" si="47"/>
        <v>#N/A</v>
      </c>
      <c r="AX90" s="883">
        <f t="shared" si="47"/>
        <v>271.21118375304343</v>
      </c>
      <c r="AY90" s="883" t="e">
        <f t="shared" si="47"/>
        <v>#N/A</v>
      </c>
      <c r="AZ90" s="883" t="e">
        <f t="shared" si="47"/>
        <v>#N/A</v>
      </c>
      <c r="BA90" s="883">
        <f t="shared" si="47"/>
        <v>58.048904938080625</v>
      </c>
      <c r="BB90" s="883" t="e">
        <f t="shared" si="47"/>
        <v>#N/A</v>
      </c>
      <c r="BC90" s="883" t="e">
        <f t="shared" si="47"/>
        <v>#N/A</v>
      </c>
      <c r="BD90" s="883">
        <f t="shared" si="47"/>
        <v>386.04321202541917</v>
      </c>
      <c r="BE90" s="883" t="e">
        <f t="shared" si="47"/>
        <v>#N/A</v>
      </c>
      <c r="BF90" s="883" t="e">
        <f t="shared" si="47"/>
        <v>#N/A</v>
      </c>
      <c r="BG90" s="883">
        <f t="shared" si="47"/>
        <v>761.8611626411464</v>
      </c>
      <c r="BH90" s="883">
        <f t="shared" si="47"/>
        <v>444.0921169634998</v>
      </c>
      <c r="BI90" s="883">
        <f t="shared" si="47"/>
        <v>1205.953279604646</v>
      </c>
      <c r="BJ90" s="893" t="s">
        <v>23</v>
      </c>
      <c r="BK90" s="853"/>
      <c r="BL90"/>
    </row>
    <row r="91" spans="1:64" ht="19.5" customHeight="1">
      <c r="A91" s="2104"/>
      <c r="B91" s="1048"/>
      <c r="C91" s="1048" t="s">
        <v>1446</v>
      </c>
      <c r="D91" s="1049" t="s">
        <v>1447</v>
      </c>
      <c r="E91" s="881" t="s">
        <v>242</v>
      </c>
      <c r="F91" s="881" t="s">
        <v>387</v>
      </c>
      <c r="G91" s="882" t="s">
        <v>1415</v>
      </c>
      <c r="H91" s="883">
        <f>H10+H30+H50+H70</f>
        <v>4.194304532484051</v>
      </c>
      <c r="I91" s="883">
        <f aca="true" t="shared" si="48" ref="I91:AO91">I10+I30+I50+I70</f>
        <v>0.5052443786217344</v>
      </c>
      <c r="J91" s="883" t="e">
        <f t="shared" si="48"/>
        <v>#N/A</v>
      </c>
      <c r="K91" s="883">
        <f t="shared" si="48"/>
        <v>3.8260667862991475</v>
      </c>
      <c r="L91" s="883">
        <f t="shared" si="48"/>
        <v>0.3869918820121918</v>
      </c>
      <c r="M91" s="883">
        <f t="shared" si="48"/>
        <v>-3.4390749042869553</v>
      </c>
      <c r="N91" s="883">
        <f t="shared" si="48"/>
        <v>3.73560756931962</v>
      </c>
      <c r="O91" s="883">
        <f t="shared" si="48"/>
        <v>0.424348763265304</v>
      </c>
      <c r="P91" s="883">
        <f t="shared" si="48"/>
        <v>-3.3112588060543158</v>
      </c>
      <c r="Q91" s="883">
        <f t="shared" si="48"/>
        <v>3.0315880352376263</v>
      </c>
      <c r="R91" s="883">
        <f t="shared" si="48"/>
        <v>0.5052443786217344</v>
      </c>
      <c r="S91" s="883">
        <f t="shared" si="48"/>
        <v>-2.526343656615892</v>
      </c>
      <c r="T91" s="883">
        <f t="shared" si="48"/>
        <v>2.434027522065108</v>
      </c>
      <c r="U91" s="883">
        <f t="shared" si="48"/>
        <v>0.1182524966095426</v>
      </c>
      <c r="V91" s="883">
        <f t="shared" si="48"/>
        <v>-2.3157750254555656</v>
      </c>
      <c r="W91" s="883">
        <f t="shared" si="48"/>
        <v>0.9555681957407196</v>
      </c>
      <c r="X91" s="883">
        <f t="shared" si="48"/>
        <v>0.19914811196597298</v>
      </c>
      <c r="Y91" s="883">
        <f t="shared" si="48"/>
        <v>-0.7564200837747466</v>
      </c>
      <c r="Z91" s="883">
        <f t="shared" si="48"/>
        <v>0.19914811196597298</v>
      </c>
      <c r="AA91" s="883">
        <f t="shared" si="48"/>
        <v>0.1182524966095426</v>
      </c>
      <c r="AB91" s="883">
        <f t="shared" si="48"/>
        <v>-0.0808956153564304</v>
      </c>
      <c r="AC91" s="883">
        <f t="shared" si="48"/>
        <v>0.19914811196597298</v>
      </c>
      <c r="AD91" s="883">
        <f t="shared" si="48"/>
        <v>0.19914811196597298</v>
      </c>
      <c r="AE91" s="883">
        <f t="shared" si="48"/>
        <v>0</v>
      </c>
      <c r="AF91" s="883">
        <f t="shared" si="48"/>
        <v>0.9256087141486792</v>
      </c>
      <c r="AG91" s="883">
        <f t="shared" si="48"/>
        <v>0.1182524966095426</v>
      </c>
      <c r="AH91" s="883">
        <f t="shared" si="48"/>
        <v>-0.8073562175391366</v>
      </c>
      <c r="AI91" s="883">
        <f t="shared" si="48"/>
        <v>2.34724302604049</v>
      </c>
      <c r="AJ91" s="883">
        <f t="shared" si="48"/>
        <v>0.5052443786217344</v>
      </c>
      <c r="AK91" s="883">
        <f t="shared" si="48"/>
        <v>-1.8419986474187555</v>
      </c>
      <c r="AL91" s="883">
        <f t="shared" si="48"/>
        <v>3.0915755589035703</v>
      </c>
      <c r="AM91" s="883">
        <f t="shared" si="48"/>
        <v>0.047932601218849936</v>
      </c>
      <c r="AN91" s="883">
        <f t="shared" si="48"/>
        <v>-3.0436429576847206</v>
      </c>
      <c r="AO91" s="883">
        <f t="shared" si="48"/>
        <v>3.7603934404751094</v>
      </c>
      <c r="AP91" s="883">
        <f>AP10+AP30+AP50</f>
        <v>0</v>
      </c>
      <c r="AQ91" s="883">
        <f>AQ10+AQ30+AQ50</f>
        <v>-2.939423975139968</v>
      </c>
      <c r="AR91" s="1052">
        <f>AR10+AR30+AR50+AR70</f>
        <v>28.70027960464607</v>
      </c>
      <c r="AS91" s="883">
        <f t="shared" si="42"/>
        <v>2.0637876266362394</v>
      </c>
      <c r="AT91" s="883" t="e">
        <f t="shared" si="42"/>
        <v>#N/A</v>
      </c>
      <c r="AU91" s="883">
        <f>AU10+AU30+AU50+AU70</f>
        <v>11.755978888102819</v>
      </c>
      <c r="AV91" s="883" t="e">
        <f aca="true" t="shared" si="49" ref="AV91:BI91">AV10+AV30+AV50+AV70</f>
        <v>#N/A</v>
      </c>
      <c r="AW91" s="883" t="e">
        <f t="shared" si="49"/>
        <v>#N/A</v>
      </c>
      <c r="AX91" s="883">
        <f t="shared" si="49"/>
        <v>6.421183753043454</v>
      </c>
      <c r="AY91" s="883" t="e">
        <f t="shared" si="49"/>
        <v>#N/A</v>
      </c>
      <c r="AZ91" s="883" t="e">
        <f t="shared" si="49"/>
        <v>#N/A</v>
      </c>
      <c r="BA91" s="883">
        <f t="shared" si="49"/>
        <v>1.3239049380806251</v>
      </c>
      <c r="BB91" s="883" t="e">
        <f t="shared" si="49"/>
        <v>#N/A</v>
      </c>
      <c r="BC91" s="883" t="e">
        <f t="shared" si="49"/>
        <v>#N/A</v>
      </c>
      <c r="BD91" s="883">
        <f t="shared" si="49"/>
        <v>9.199212025419168</v>
      </c>
      <c r="BE91" s="883" t="e">
        <f t="shared" si="49"/>
        <v>#N/A</v>
      </c>
      <c r="BF91" s="883" t="e">
        <f t="shared" si="49"/>
        <v>#N/A</v>
      </c>
      <c r="BG91" s="883">
        <f t="shared" si="49"/>
        <v>18.177162641146275</v>
      </c>
      <c r="BH91" s="883">
        <f t="shared" si="49"/>
        <v>10.523116963499795</v>
      </c>
      <c r="BI91" s="883">
        <f t="shared" si="49"/>
        <v>28.70027960464607</v>
      </c>
      <c r="BJ91" s="893" t="s">
        <v>1416</v>
      </c>
      <c r="BK91" s="853"/>
      <c r="BL91"/>
    </row>
    <row r="92" spans="1:64" ht="17.25" customHeight="1">
      <c r="A92" s="2104"/>
      <c r="B92" s="1048"/>
      <c r="C92" s="1048" t="s">
        <v>1446</v>
      </c>
      <c r="D92" s="1049" t="s">
        <v>1447</v>
      </c>
      <c r="E92" s="881" t="s">
        <v>243</v>
      </c>
      <c r="F92" s="881" t="s">
        <v>387</v>
      </c>
      <c r="G92" s="882" t="s">
        <v>1417</v>
      </c>
      <c r="H92" s="910">
        <f>IF(H90&gt;0,ROUND(H91/H90,3),0%)</f>
        <v>0.024</v>
      </c>
      <c r="I92" s="910">
        <f>IF(I90&gt;0,ROUND(I91/I90,3),0%)</f>
        <v>0.021</v>
      </c>
      <c r="J92" s="910">
        <f>I92-H92</f>
        <v>-0.002999999999999999</v>
      </c>
      <c r="K92" s="910">
        <f>IF(K90&gt;0,ROUND(K91/K90,3),0%)</f>
        <v>0.024</v>
      </c>
      <c r="L92" s="910">
        <f>IF(L90&gt;0,ROUND(L91/L90,3),0%)</f>
        <v>0.02</v>
      </c>
      <c r="M92" s="910">
        <f>L92-K92</f>
        <v>-0.004</v>
      </c>
      <c r="N92" s="910">
        <f>IF(N90&gt;0,ROUND(N91/N90,3),0%)</f>
        <v>0.024</v>
      </c>
      <c r="O92" s="910">
        <f>IF(O90&gt;0,ROUND(O91/O90,3),0%)</f>
        <v>0.022</v>
      </c>
      <c r="P92" s="910">
        <f>O92-N92</f>
        <v>-0.0020000000000000018</v>
      </c>
      <c r="Q92" s="910">
        <f>IF(Q90&gt;0,ROUND(Q91/Q90,3),0%)</f>
        <v>0.024</v>
      </c>
      <c r="R92" s="910">
        <f>IF(R90&gt;0,ROUND(R91/R90,3),0%)</f>
        <v>0.021</v>
      </c>
      <c r="S92" s="910">
        <f>R92-Q92</f>
        <v>-0.002999999999999999</v>
      </c>
      <c r="T92" s="910">
        <f>IF(T90&gt;0,ROUND(T91/T90,3),0%)</f>
        <v>0.024</v>
      </c>
      <c r="U92" s="910">
        <f>IF(U90&gt;0,ROUND(U91/U90,3),0%)</f>
        <v>0.027</v>
      </c>
      <c r="V92" s="910">
        <f>U92-T92</f>
        <v>0.002999999999999999</v>
      </c>
      <c r="W92" s="910">
        <f>IF(W90&gt;0,ROUND(W91/W90,3),0%)</f>
        <v>0.023</v>
      </c>
      <c r="X92" s="910">
        <f>IF(X90&gt;0,ROUND(X91/X90,3),0%)</f>
        <v>0.022</v>
      </c>
      <c r="Y92" s="910">
        <f>X92-W92</f>
        <v>-0.0010000000000000009</v>
      </c>
      <c r="Z92" s="910">
        <f>IF(Z90&gt;0,ROUND(Z91/Z90,3),0%)</f>
        <v>0.022</v>
      </c>
      <c r="AA92" s="910">
        <f>IF(AA90&gt;0,ROUND(AA91/AA90,3),0%)</f>
        <v>0.027</v>
      </c>
      <c r="AB92" s="910">
        <f>AA92-Z92</f>
        <v>0.005000000000000001</v>
      </c>
      <c r="AC92" s="910">
        <f>IF(AC90&gt;0,ROUND(AC91/AC90,3),0%)</f>
        <v>0.022</v>
      </c>
      <c r="AD92" s="910">
        <f>IF(AD90&gt;0,ROUND(AD91/AD90,3),0%)</f>
        <v>0.022</v>
      </c>
      <c r="AE92" s="910">
        <f>AD92-AC92</f>
        <v>0</v>
      </c>
      <c r="AF92" s="910">
        <f>IF(AF90&gt;0,ROUND(AF91/AF90,3),0%)</f>
        <v>0.023</v>
      </c>
      <c r="AG92" s="910">
        <f>IF(AG90&gt;0,ROUND(AG91/AG90,3),0%)</f>
        <v>0.027</v>
      </c>
      <c r="AH92" s="910">
        <f>AG92-AF92</f>
        <v>0.004</v>
      </c>
      <c r="AI92" s="910">
        <f>IF(AI90&gt;0,ROUND(AI91/AI90,3),0%)</f>
        <v>0.024</v>
      </c>
      <c r="AJ92" s="910">
        <f>IF(AJ90&gt;0,ROUND(AJ91/AJ90,3),0%)</f>
        <v>0.021</v>
      </c>
      <c r="AK92" s="910">
        <f>AJ92-AI92</f>
        <v>-0.002999999999999999</v>
      </c>
      <c r="AL92" s="910">
        <f>IF(AL90&gt;0,ROUND(AL91/AL90,3),0%)</f>
        <v>0.024</v>
      </c>
      <c r="AM92" s="910">
        <f>IF(AM90&gt;0,ROUND(AM91/AM90,3),0%)</f>
        <v>0.006</v>
      </c>
      <c r="AN92" s="910">
        <f>AM92-AL92</f>
        <v>-0.018000000000000002</v>
      </c>
      <c r="AO92" s="910">
        <f>IF(AO90&gt;0,ROUND(AO91/AO90,3),0%)</f>
        <v>0.024</v>
      </c>
      <c r="AP92" s="910">
        <f>IF(AP90&gt;0,ROUND(AP91/AP90,3),0%)</f>
        <v>0</v>
      </c>
      <c r="AQ92" s="910">
        <f>AP92-AO92</f>
        <v>-0.024</v>
      </c>
      <c r="AR92" s="911">
        <f>IF(AR90&gt;0,ROUND(AR91/AR90,3),0%)</f>
        <v>0.024</v>
      </c>
      <c r="AS92" s="1053">
        <v>0</v>
      </c>
      <c r="AT92" s="975">
        <f>AS92-AR92</f>
        <v>-0.024</v>
      </c>
      <c r="AU92" s="910">
        <f>IF(AU90&gt;0,ROUND(AU91/AU90,3),0%)</f>
        <v>0.024</v>
      </c>
      <c r="AV92" s="910" t="e">
        <f>IF(AV90&gt;0,ROUND(AV91/AV90,3),0%)</f>
        <v>#N/A</v>
      </c>
      <c r="AW92" s="910" t="e">
        <f>AV92-AU92</f>
        <v>#N/A</v>
      </c>
      <c r="AX92" s="910">
        <f>IF(AX90&gt;0,ROUND(AX91/AX90,3),0%)</f>
        <v>0.024</v>
      </c>
      <c r="AY92" s="910" t="e">
        <f>IF(AY90&gt;0,ROUND(AY91/AY90,3),0%)</f>
        <v>#N/A</v>
      </c>
      <c r="AZ92" s="910" t="e">
        <f>AY92-AX92</f>
        <v>#N/A</v>
      </c>
      <c r="BA92" s="910">
        <f>IF(BA90&gt;0,ROUND(BA91/BA90,3),0%)</f>
        <v>0.023</v>
      </c>
      <c r="BB92" s="910" t="e">
        <f>IF(BB90&gt;0,ROUND(BB91/BB90,3),0%)</f>
        <v>#N/A</v>
      </c>
      <c r="BC92" s="910" t="e">
        <f>BB92-BA92</f>
        <v>#N/A</v>
      </c>
      <c r="BD92" s="910">
        <f aca="true" t="shared" si="50" ref="BD92:BI92">IF(BD90&gt;0,ROUND(BD91/BD90,3),0%)</f>
        <v>0.024</v>
      </c>
      <c r="BE92" s="910" t="e">
        <f t="shared" si="50"/>
        <v>#N/A</v>
      </c>
      <c r="BF92" s="910" t="e">
        <f t="shared" si="50"/>
        <v>#N/A</v>
      </c>
      <c r="BG92" s="910">
        <f t="shared" si="50"/>
        <v>0.024</v>
      </c>
      <c r="BH92" s="910">
        <f t="shared" si="50"/>
        <v>0.024</v>
      </c>
      <c r="BI92" s="910">
        <f t="shared" si="50"/>
        <v>0.024</v>
      </c>
      <c r="BJ92" s="893"/>
      <c r="BK92" s="853"/>
      <c r="BL92"/>
    </row>
    <row r="93" spans="1:64" ht="16.5" customHeight="1">
      <c r="A93" s="2104"/>
      <c r="B93" s="1048"/>
      <c r="C93" s="1048" t="s">
        <v>1446</v>
      </c>
      <c r="D93" s="1049" t="s">
        <v>1447</v>
      </c>
      <c r="E93" s="881" t="s">
        <v>244</v>
      </c>
      <c r="F93" s="881" t="s">
        <v>387</v>
      </c>
      <c r="G93" s="882" t="s">
        <v>1418</v>
      </c>
      <c r="H93" s="883">
        <f>H12+H32+H52+H72</f>
        <v>170.64499999999998</v>
      </c>
      <c r="I93" s="883">
        <f aca="true" t="shared" si="51" ref="I93:AO93">I12+I32+I52+I72</f>
        <v>23.064</v>
      </c>
      <c r="J93" s="883" t="e">
        <f t="shared" si="51"/>
        <v>#N/A</v>
      </c>
      <c r="K93" s="883">
        <f t="shared" si="51"/>
        <v>155.915</v>
      </c>
      <c r="L93" s="883">
        <f t="shared" si="51"/>
        <v>18.75</v>
      </c>
      <c r="M93" s="883">
        <f t="shared" si="51"/>
        <v>-137.165</v>
      </c>
      <c r="N93" s="883">
        <f t="shared" si="51"/>
        <v>152.334</v>
      </c>
      <c r="O93" s="883">
        <f t="shared" si="51"/>
        <v>18.517</v>
      </c>
      <c r="P93" s="883">
        <f t="shared" si="51"/>
        <v>-133.817</v>
      </c>
      <c r="Q93" s="883">
        <f t="shared" si="51"/>
        <v>124.218</v>
      </c>
      <c r="R93" s="883">
        <f t="shared" si="51"/>
        <v>23.064</v>
      </c>
      <c r="S93" s="883">
        <f t="shared" si="51"/>
        <v>-101.154</v>
      </c>
      <c r="T93" s="883">
        <f t="shared" si="51"/>
        <v>100.373</v>
      </c>
      <c r="U93" s="883">
        <f t="shared" si="51"/>
        <v>4.314</v>
      </c>
      <c r="V93" s="883">
        <f t="shared" si="51"/>
        <v>-96.059</v>
      </c>
      <c r="W93" s="883">
        <f t="shared" si="51"/>
        <v>40.199</v>
      </c>
      <c r="X93" s="883">
        <f t="shared" si="51"/>
        <v>8.861</v>
      </c>
      <c r="Y93" s="883">
        <f t="shared" si="51"/>
        <v>-31.338</v>
      </c>
      <c r="Z93" s="883">
        <f t="shared" si="51"/>
        <v>8.861</v>
      </c>
      <c r="AA93" s="883">
        <f t="shared" si="51"/>
        <v>4.314</v>
      </c>
      <c r="AB93" s="883">
        <f t="shared" si="51"/>
        <v>-4.547</v>
      </c>
      <c r="AC93" s="883">
        <f t="shared" si="51"/>
        <v>8.861</v>
      </c>
      <c r="AD93" s="883">
        <f t="shared" si="51"/>
        <v>8.861</v>
      </c>
      <c r="AE93" s="883">
        <f t="shared" si="51"/>
        <v>0</v>
      </c>
      <c r="AF93" s="883">
        <f t="shared" si="51"/>
        <v>39.003</v>
      </c>
      <c r="AG93" s="883">
        <f t="shared" si="51"/>
        <v>4.314</v>
      </c>
      <c r="AH93" s="883">
        <f t="shared" si="51"/>
        <v>-34.68899999999999</v>
      </c>
      <c r="AI93" s="883">
        <f t="shared" si="51"/>
        <v>96.90799999999999</v>
      </c>
      <c r="AJ93" s="883">
        <f t="shared" si="51"/>
        <v>23.064</v>
      </c>
      <c r="AK93" s="883">
        <f t="shared" si="51"/>
        <v>-73.844</v>
      </c>
      <c r="AL93" s="883">
        <f t="shared" si="51"/>
        <v>126.61300000000001</v>
      </c>
      <c r="AM93" s="883">
        <f t="shared" si="51"/>
        <v>8.481</v>
      </c>
      <c r="AN93" s="883">
        <f t="shared" si="51"/>
        <v>-118.132</v>
      </c>
      <c r="AO93" s="883">
        <f t="shared" si="51"/>
        <v>153.32299999999998</v>
      </c>
      <c r="AP93" s="883">
        <f>AP12+AP32+AP52</f>
        <v>0</v>
      </c>
      <c r="AQ93" s="883">
        <f>AQ12+AQ32+AQ52</f>
        <v>-123.37299999999999</v>
      </c>
      <c r="AR93" s="1052">
        <f aca="true" t="shared" si="52" ref="AR93:AR106">AR12+AR32+AR52+AR72</f>
        <v>1177.253</v>
      </c>
      <c r="AS93" s="883">
        <f>AS12+AS32+AS52</f>
        <v>106.778</v>
      </c>
      <c r="AT93" s="883" t="e">
        <f>AT12+AT32+AT52</f>
        <v>#N/A</v>
      </c>
      <c r="AU93" s="883">
        <f aca="true" t="shared" si="53" ref="AU93:AU106">AU12+AU32+AU52+AU72</f>
        <v>478.894</v>
      </c>
      <c r="AV93" s="883" t="e">
        <f aca="true" t="shared" si="54" ref="AV93:BI93">AV12+AV32+AV52+AV72</f>
        <v>#N/A</v>
      </c>
      <c r="AW93" s="883" t="e">
        <f t="shared" si="54"/>
        <v>#N/A</v>
      </c>
      <c r="AX93" s="883">
        <f t="shared" si="54"/>
        <v>264.79</v>
      </c>
      <c r="AY93" s="883" t="e">
        <f t="shared" si="54"/>
        <v>#N/A</v>
      </c>
      <c r="AZ93" s="883" t="e">
        <f t="shared" si="54"/>
        <v>#N/A</v>
      </c>
      <c r="BA93" s="883">
        <f t="shared" si="54"/>
        <v>56.724999999999994</v>
      </c>
      <c r="BB93" s="883" t="e">
        <f t="shared" si="54"/>
        <v>#N/A</v>
      </c>
      <c r="BC93" s="883" t="e">
        <f t="shared" si="54"/>
        <v>#N/A</v>
      </c>
      <c r="BD93" s="883">
        <f t="shared" si="54"/>
        <v>376.844</v>
      </c>
      <c r="BE93" s="883" t="e">
        <f t="shared" si="54"/>
        <v>#N/A</v>
      </c>
      <c r="BF93" s="883" t="e">
        <f t="shared" si="54"/>
        <v>#N/A</v>
      </c>
      <c r="BG93" s="883">
        <f t="shared" si="54"/>
        <v>743.684</v>
      </c>
      <c r="BH93" s="883">
        <f t="shared" si="54"/>
        <v>433.569</v>
      </c>
      <c r="BI93" s="883">
        <f t="shared" si="54"/>
        <v>1177.2530000000002</v>
      </c>
      <c r="BJ93" s="893" t="s">
        <v>1419</v>
      </c>
      <c r="BK93" s="853"/>
      <c r="BL93"/>
    </row>
    <row r="94" spans="1:64" ht="23.25" customHeight="1">
      <c r="A94" s="2104"/>
      <c r="B94" s="1048"/>
      <c r="C94" s="1048" t="s">
        <v>1446</v>
      </c>
      <c r="D94" s="1049" t="s">
        <v>1447</v>
      </c>
      <c r="E94" s="881"/>
      <c r="F94" s="881"/>
      <c r="G94" s="916" t="s">
        <v>1686</v>
      </c>
      <c r="H94" s="883"/>
      <c r="I94" s="884"/>
      <c r="J94" s="884"/>
      <c r="K94" s="883"/>
      <c r="L94" s="884"/>
      <c r="M94" s="884"/>
      <c r="N94" s="883"/>
      <c r="O94" s="884"/>
      <c r="P94" s="884"/>
      <c r="Q94" s="883"/>
      <c r="R94" s="884"/>
      <c r="S94" s="884"/>
      <c r="T94" s="883"/>
      <c r="U94" s="884"/>
      <c r="V94" s="884"/>
      <c r="W94" s="883"/>
      <c r="X94" s="884"/>
      <c r="Y94" s="884"/>
      <c r="Z94" s="883"/>
      <c r="AA94" s="884"/>
      <c r="AB94" s="884"/>
      <c r="AC94" s="883"/>
      <c r="AD94" s="884"/>
      <c r="AE94" s="884"/>
      <c r="AF94" s="883"/>
      <c r="AG94" s="884"/>
      <c r="AH94" s="884"/>
      <c r="AI94" s="883"/>
      <c r="AJ94" s="884"/>
      <c r="AK94" s="884"/>
      <c r="AL94" s="883"/>
      <c r="AM94" s="884"/>
      <c r="AN94" s="884"/>
      <c r="AO94" s="883"/>
      <c r="AP94" s="884"/>
      <c r="AQ94" s="884"/>
      <c r="AR94" s="1052">
        <f t="shared" si="52"/>
        <v>0</v>
      </c>
      <c r="AS94" s="1054"/>
      <c r="AT94" s="936"/>
      <c r="AU94" s="883">
        <f t="shared" si="53"/>
        <v>0</v>
      </c>
      <c r="AV94" s="883" t="e">
        <f aca="true" t="shared" si="55" ref="AV94:BI94">AV13+AV33+AV53+AV73</f>
        <v>#N/A</v>
      </c>
      <c r="AW94" s="883" t="e">
        <f t="shared" si="55"/>
        <v>#N/A</v>
      </c>
      <c r="AX94" s="883">
        <f t="shared" si="55"/>
        <v>0</v>
      </c>
      <c r="AY94" s="883" t="e">
        <f t="shared" si="55"/>
        <v>#N/A</v>
      </c>
      <c r="AZ94" s="883" t="e">
        <f t="shared" si="55"/>
        <v>#N/A</v>
      </c>
      <c r="BA94" s="883">
        <f t="shared" si="55"/>
        <v>0</v>
      </c>
      <c r="BB94" s="883" t="e">
        <f t="shared" si="55"/>
        <v>#N/A</v>
      </c>
      <c r="BC94" s="883" t="e">
        <f t="shared" si="55"/>
        <v>#N/A</v>
      </c>
      <c r="BD94" s="883">
        <f t="shared" si="55"/>
        <v>0</v>
      </c>
      <c r="BE94" s="883" t="e">
        <f t="shared" si="55"/>
        <v>#N/A</v>
      </c>
      <c r="BF94" s="883" t="e">
        <f t="shared" si="55"/>
        <v>#N/A</v>
      </c>
      <c r="BG94" s="883">
        <f t="shared" si="55"/>
        <v>0</v>
      </c>
      <c r="BH94" s="883">
        <f t="shared" si="55"/>
        <v>0</v>
      </c>
      <c r="BI94" s="883">
        <f t="shared" si="55"/>
        <v>0</v>
      </c>
      <c r="BJ94" s="893"/>
      <c r="BK94" s="853"/>
      <c r="BL94"/>
    </row>
    <row r="95" spans="1:64" ht="18.75" customHeight="1">
      <c r="A95" s="2104"/>
      <c r="B95" s="1048"/>
      <c r="C95" s="1048" t="s">
        <v>1446</v>
      </c>
      <c r="D95" s="1049" t="s">
        <v>1447</v>
      </c>
      <c r="E95" s="881" t="s">
        <v>1171</v>
      </c>
      <c r="F95" s="881" t="s">
        <v>387</v>
      </c>
      <c r="G95" s="1055" t="s">
        <v>1420</v>
      </c>
      <c r="H95" s="883">
        <f>H14+H34+H54+H74</f>
        <v>147.58100000000002</v>
      </c>
      <c r="I95" s="883">
        <f aca="true" t="shared" si="56" ref="I95:AO95">I14+I34+I54+I74</f>
        <v>0</v>
      </c>
      <c r="J95" s="883">
        <f t="shared" si="56"/>
        <v>-147.58100000000002</v>
      </c>
      <c r="K95" s="883">
        <f t="shared" si="56"/>
        <v>132.851</v>
      </c>
      <c r="L95" s="883">
        <f t="shared" si="56"/>
        <v>0</v>
      </c>
      <c r="M95" s="883">
        <f t="shared" si="56"/>
        <v>-132.851</v>
      </c>
      <c r="N95" s="883">
        <f t="shared" si="56"/>
        <v>129.27</v>
      </c>
      <c r="O95" s="883">
        <f t="shared" si="56"/>
        <v>0</v>
      </c>
      <c r="P95" s="883">
        <f t="shared" si="56"/>
        <v>-129.27</v>
      </c>
      <c r="Q95" s="883">
        <f t="shared" si="56"/>
        <v>101.154</v>
      </c>
      <c r="R95" s="883">
        <f t="shared" si="56"/>
        <v>0</v>
      </c>
      <c r="S95" s="883">
        <f t="shared" si="56"/>
        <v>-101.154</v>
      </c>
      <c r="T95" s="883">
        <f t="shared" si="56"/>
        <v>77.309</v>
      </c>
      <c r="U95" s="883">
        <f t="shared" si="56"/>
        <v>0</v>
      </c>
      <c r="V95" s="883">
        <f t="shared" si="56"/>
        <v>-77.309</v>
      </c>
      <c r="W95" s="883">
        <f t="shared" si="56"/>
        <v>24.237</v>
      </c>
      <c r="X95" s="883">
        <f t="shared" si="56"/>
        <v>0</v>
      </c>
      <c r="Y95" s="883">
        <f t="shared" si="56"/>
        <v>-24.237</v>
      </c>
      <c r="Z95" s="883">
        <f t="shared" si="56"/>
        <v>0</v>
      </c>
      <c r="AA95" s="883">
        <f t="shared" si="56"/>
        <v>0</v>
      </c>
      <c r="AB95" s="883">
        <f t="shared" si="56"/>
        <v>0</v>
      </c>
      <c r="AC95" s="883">
        <f t="shared" si="56"/>
        <v>0</v>
      </c>
      <c r="AD95" s="883">
        <f t="shared" si="56"/>
        <v>0</v>
      </c>
      <c r="AE95" s="883">
        <f t="shared" si="56"/>
        <v>0</v>
      </c>
      <c r="AF95" s="883">
        <f t="shared" si="56"/>
        <v>23.041</v>
      </c>
      <c r="AG95" s="883">
        <f t="shared" si="56"/>
        <v>0</v>
      </c>
      <c r="AH95" s="883">
        <f t="shared" si="56"/>
        <v>-23.041</v>
      </c>
      <c r="AI95" s="883">
        <f t="shared" si="56"/>
        <v>73.844</v>
      </c>
      <c r="AJ95" s="883">
        <f t="shared" si="56"/>
        <v>0</v>
      </c>
      <c r="AK95" s="883">
        <f t="shared" si="56"/>
        <v>-73.844</v>
      </c>
      <c r="AL95" s="883">
        <f t="shared" si="56"/>
        <v>103.54899999999999</v>
      </c>
      <c r="AM95" s="883">
        <f t="shared" si="56"/>
        <v>0</v>
      </c>
      <c r="AN95" s="883">
        <f t="shared" si="56"/>
        <v>-103.54899999999999</v>
      </c>
      <c r="AO95" s="883">
        <f t="shared" si="56"/>
        <v>130.259</v>
      </c>
      <c r="AP95" s="883">
        <f>AP14+AP34+AP54</f>
        <v>0</v>
      </c>
      <c r="AQ95" s="883">
        <f>AQ14+AQ34+AQ54</f>
        <v>-104.62299999999999</v>
      </c>
      <c r="AR95" s="1052">
        <f t="shared" si="52"/>
        <v>943.0949999999999</v>
      </c>
      <c r="AS95" s="883">
        <f>AS14+AS34+AS54</f>
        <v>0</v>
      </c>
      <c r="AT95" s="883">
        <f>AT14+AT34+AT54</f>
        <v>-757.3679999999999</v>
      </c>
      <c r="AU95" s="883">
        <f t="shared" si="53"/>
        <v>409.702</v>
      </c>
      <c r="AV95" s="883" t="e">
        <f aca="true" t="shared" si="57" ref="AV95:BI95">AV14+AV34+AV54+AV74</f>
        <v>#N/A</v>
      </c>
      <c r="AW95" s="883" t="e">
        <f t="shared" si="57"/>
        <v>#N/A</v>
      </c>
      <c r="AX95" s="883">
        <f t="shared" si="57"/>
        <v>202.7</v>
      </c>
      <c r="AY95" s="883" t="e">
        <f t="shared" si="57"/>
        <v>#N/A</v>
      </c>
      <c r="AZ95" s="883" t="e">
        <f t="shared" si="57"/>
        <v>#N/A</v>
      </c>
      <c r="BA95" s="883">
        <f t="shared" si="57"/>
        <v>23.041</v>
      </c>
      <c r="BB95" s="883" t="e">
        <f t="shared" si="57"/>
        <v>#N/A</v>
      </c>
      <c r="BC95" s="883" t="e">
        <f t="shared" si="57"/>
        <v>#N/A</v>
      </c>
      <c r="BD95" s="883">
        <f t="shared" si="57"/>
        <v>307.652</v>
      </c>
      <c r="BE95" s="883" t="e">
        <f t="shared" si="57"/>
        <v>#N/A</v>
      </c>
      <c r="BF95" s="883" t="e">
        <f t="shared" si="57"/>
        <v>#N/A</v>
      </c>
      <c r="BG95" s="883">
        <f t="shared" si="57"/>
        <v>612.402</v>
      </c>
      <c r="BH95" s="883">
        <f t="shared" si="57"/>
        <v>330.693</v>
      </c>
      <c r="BI95" s="883">
        <f t="shared" si="57"/>
        <v>943.0949999999999</v>
      </c>
      <c r="BJ95" s="893" t="s">
        <v>1421</v>
      </c>
      <c r="BK95" s="853"/>
      <c r="BL95"/>
    </row>
    <row r="96" spans="1:64" ht="19.5" customHeight="1">
      <c r="A96" s="2104"/>
      <c r="B96" s="1048"/>
      <c r="C96" s="1048" t="s">
        <v>1446</v>
      </c>
      <c r="D96" s="1049" t="s">
        <v>1447</v>
      </c>
      <c r="E96" s="881" t="s">
        <v>1172</v>
      </c>
      <c r="F96" s="881" t="s">
        <v>387</v>
      </c>
      <c r="G96" s="1055" t="s">
        <v>1422</v>
      </c>
      <c r="H96" s="883">
        <f>H15+H35+H55+H75</f>
        <v>23.064</v>
      </c>
      <c r="I96" s="883">
        <f aca="true" t="shared" si="58" ref="I96:AO96">I15+I35+I55+I75</f>
        <v>23.064</v>
      </c>
      <c r="J96" s="883">
        <f t="shared" si="58"/>
        <v>0</v>
      </c>
      <c r="K96" s="883">
        <f t="shared" si="58"/>
        <v>23.064</v>
      </c>
      <c r="L96" s="883">
        <f t="shared" si="58"/>
        <v>18.75</v>
      </c>
      <c r="M96" s="883">
        <f t="shared" si="58"/>
        <v>-4.314</v>
      </c>
      <c r="N96" s="883">
        <f t="shared" si="58"/>
        <v>23.064</v>
      </c>
      <c r="O96" s="883">
        <f t="shared" si="58"/>
        <v>18.517</v>
      </c>
      <c r="P96" s="883">
        <f t="shared" si="58"/>
        <v>-4.547</v>
      </c>
      <c r="Q96" s="883">
        <f t="shared" si="58"/>
        <v>23.064</v>
      </c>
      <c r="R96" s="883">
        <f t="shared" si="58"/>
        <v>23.064</v>
      </c>
      <c r="S96" s="883">
        <f t="shared" si="58"/>
        <v>0</v>
      </c>
      <c r="T96" s="883">
        <f t="shared" si="58"/>
        <v>23.064</v>
      </c>
      <c r="U96" s="883">
        <f t="shared" si="58"/>
        <v>4.314</v>
      </c>
      <c r="V96" s="883">
        <f t="shared" si="58"/>
        <v>-18.75</v>
      </c>
      <c r="W96" s="883">
        <f t="shared" si="58"/>
        <v>15.962</v>
      </c>
      <c r="X96" s="883">
        <f t="shared" si="58"/>
        <v>8.861</v>
      </c>
      <c r="Y96" s="883">
        <f t="shared" si="58"/>
        <v>-7.101000000000001</v>
      </c>
      <c r="Z96" s="883">
        <f t="shared" si="58"/>
        <v>8.861</v>
      </c>
      <c r="AA96" s="883">
        <f t="shared" si="58"/>
        <v>4.314</v>
      </c>
      <c r="AB96" s="883">
        <f t="shared" si="58"/>
        <v>-4.547</v>
      </c>
      <c r="AC96" s="883">
        <f t="shared" si="58"/>
        <v>8.861</v>
      </c>
      <c r="AD96" s="883">
        <f t="shared" si="58"/>
        <v>8.861</v>
      </c>
      <c r="AE96" s="883">
        <f t="shared" si="58"/>
        <v>0</v>
      </c>
      <c r="AF96" s="883">
        <f t="shared" si="58"/>
        <v>15.962</v>
      </c>
      <c r="AG96" s="883">
        <f t="shared" si="58"/>
        <v>4.314</v>
      </c>
      <c r="AH96" s="883">
        <f t="shared" si="58"/>
        <v>-11.648</v>
      </c>
      <c r="AI96" s="883">
        <f t="shared" si="58"/>
        <v>23.064</v>
      </c>
      <c r="AJ96" s="883">
        <f t="shared" si="58"/>
        <v>23.064</v>
      </c>
      <c r="AK96" s="883">
        <f t="shared" si="58"/>
        <v>0</v>
      </c>
      <c r="AL96" s="883">
        <f t="shared" si="58"/>
        <v>23.064</v>
      </c>
      <c r="AM96" s="883">
        <f t="shared" si="58"/>
        <v>18.517</v>
      </c>
      <c r="AN96" s="883">
        <f t="shared" si="58"/>
        <v>-4.547</v>
      </c>
      <c r="AO96" s="883">
        <f t="shared" si="58"/>
        <v>23.064</v>
      </c>
      <c r="AP96" s="883">
        <f>AP15+AP35+AP55</f>
        <v>0</v>
      </c>
      <c r="AQ96" s="883">
        <f>AQ15+AQ35+AQ55</f>
        <v>-18.75</v>
      </c>
      <c r="AR96" s="1052">
        <f t="shared" si="52"/>
        <v>234.158</v>
      </c>
      <c r="AS96" s="883">
        <f>AS15+AS35+AS55</f>
        <v>112.5</v>
      </c>
      <c r="AT96" s="883">
        <f>AT15+AT35+AT55</f>
        <v>-69.88999999999999</v>
      </c>
      <c r="AU96" s="883">
        <f t="shared" si="53"/>
        <v>69.19200000000001</v>
      </c>
      <c r="AV96" s="883" t="e">
        <f aca="true" t="shared" si="59" ref="AV96:BI96">AV15+AV35+AV55+AV75</f>
        <v>#N/A</v>
      </c>
      <c r="AW96" s="883" t="e">
        <f t="shared" si="59"/>
        <v>#N/A</v>
      </c>
      <c r="AX96" s="883">
        <f t="shared" si="59"/>
        <v>62.089999999999996</v>
      </c>
      <c r="AY96" s="883" t="e">
        <f t="shared" si="59"/>
        <v>#N/A</v>
      </c>
      <c r="AZ96" s="883" t="e">
        <f t="shared" si="59"/>
        <v>#N/A</v>
      </c>
      <c r="BA96" s="883">
        <f t="shared" si="59"/>
        <v>33.684</v>
      </c>
      <c r="BB96" s="883" t="e">
        <f t="shared" si="59"/>
        <v>#N/A</v>
      </c>
      <c r="BC96" s="883" t="e">
        <f t="shared" si="59"/>
        <v>#N/A</v>
      </c>
      <c r="BD96" s="883">
        <f t="shared" si="59"/>
        <v>69.19200000000001</v>
      </c>
      <c r="BE96" s="883" t="e">
        <f t="shared" si="59"/>
        <v>#N/A</v>
      </c>
      <c r="BF96" s="883" t="e">
        <f t="shared" si="59"/>
        <v>#N/A</v>
      </c>
      <c r="BG96" s="883">
        <f t="shared" si="59"/>
        <v>57.355000000000004</v>
      </c>
      <c r="BH96" s="883">
        <f t="shared" si="59"/>
        <v>45.911</v>
      </c>
      <c r="BI96" s="883">
        <f t="shared" si="59"/>
        <v>103.266</v>
      </c>
      <c r="BJ96" s="1056" t="s">
        <v>1448</v>
      </c>
      <c r="BK96" s="853"/>
      <c r="BL96"/>
    </row>
    <row r="97" spans="1:64" ht="21.75" customHeight="1">
      <c r="A97" s="2104"/>
      <c r="B97" s="1048"/>
      <c r="C97" s="1048" t="s">
        <v>1446</v>
      </c>
      <c r="D97" s="1049" t="s">
        <v>1447</v>
      </c>
      <c r="E97" s="881"/>
      <c r="F97" s="881"/>
      <c r="G97" s="916" t="s">
        <v>1686</v>
      </c>
      <c r="H97" s="883"/>
      <c r="I97" s="884"/>
      <c r="J97" s="884"/>
      <c r="K97" s="883"/>
      <c r="L97" s="884"/>
      <c r="M97" s="884"/>
      <c r="N97" s="883"/>
      <c r="O97" s="884"/>
      <c r="P97" s="884"/>
      <c r="Q97" s="883"/>
      <c r="R97" s="884"/>
      <c r="S97" s="884"/>
      <c r="T97" s="883"/>
      <c r="U97" s="884"/>
      <c r="V97" s="884"/>
      <c r="W97" s="883"/>
      <c r="X97" s="884"/>
      <c r="Y97" s="884"/>
      <c r="Z97" s="883"/>
      <c r="AA97" s="884"/>
      <c r="AB97" s="884"/>
      <c r="AC97" s="883"/>
      <c r="AD97" s="884"/>
      <c r="AE97" s="884"/>
      <c r="AF97" s="883"/>
      <c r="AG97" s="884"/>
      <c r="AH97" s="884"/>
      <c r="AI97" s="883"/>
      <c r="AJ97" s="884"/>
      <c r="AK97" s="884"/>
      <c r="AL97" s="883"/>
      <c r="AM97" s="884"/>
      <c r="AN97" s="884"/>
      <c r="AO97" s="883"/>
      <c r="AP97" s="884"/>
      <c r="AQ97" s="884"/>
      <c r="AR97" s="1052">
        <f t="shared" si="52"/>
        <v>0</v>
      </c>
      <c r="AS97" s="1054"/>
      <c r="AT97" s="936"/>
      <c r="AU97" s="883">
        <f t="shared" si="53"/>
        <v>0</v>
      </c>
      <c r="AV97" s="883" t="e">
        <f aca="true" t="shared" si="60" ref="AV97:BI97">AV16+AV36+AV56+AV76</f>
        <v>#N/A</v>
      </c>
      <c r="AW97" s="883" t="e">
        <f t="shared" si="60"/>
        <v>#N/A</v>
      </c>
      <c r="AX97" s="883">
        <f t="shared" si="60"/>
        <v>0</v>
      </c>
      <c r="AY97" s="883" t="e">
        <f t="shared" si="60"/>
        <v>#N/A</v>
      </c>
      <c r="AZ97" s="883" t="e">
        <f t="shared" si="60"/>
        <v>#N/A</v>
      </c>
      <c r="BA97" s="883">
        <f t="shared" si="60"/>
        <v>0</v>
      </c>
      <c r="BB97" s="883" t="e">
        <f t="shared" si="60"/>
        <v>#N/A</v>
      </c>
      <c r="BC97" s="883" t="e">
        <f t="shared" si="60"/>
        <v>#N/A</v>
      </c>
      <c r="BD97" s="883">
        <f t="shared" si="60"/>
        <v>0</v>
      </c>
      <c r="BE97" s="883" t="e">
        <f t="shared" si="60"/>
        <v>#N/A</v>
      </c>
      <c r="BF97" s="883" t="e">
        <f t="shared" si="60"/>
        <v>#N/A</v>
      </c>
      <c r="BG97" s="883">
        <f t="shared" si="60"/>
        <v>0</v>
      </c>
      <c r="BH97" s="883">
        <f t="shared" si="60"/>
        <v>0</v>
      </c>
      <c r="BI97" s="883">
        <f t="shared" si="60"/>
        <v>0</v>
      </c>
      <c r="BJ97" s="893"/>
      <c r="BK97" s="853"/>
      <c r="BL97"/>
    </row>
    <row r="98" spans="1:64" ht="20.25" customHeight="1">
      <c r="A98" s="2104"/>
      <c r="B98" s="1048"/>
      <c r="C98" s="1048" t="s">
        <v>1446</v>
      </c>
      <c r="D98" s="1049" t="s">
        <v>1447</v>
      </c>
      <c r="E98" s="881" t="s">
        <v>1423</v>
      </c>
      <c r="F98" s="881" t="s">
        <v>387</v>
      </c>
      <c r="G98" s="942" t="s">
        <v>1424</v>
      </c>
      <c r="H98" s="883">
        <f aca="true" t="shared" si="61" ref="H98:H106">H17+H37+H57+H77</f>
        <v>14.203</v>
      </c>
      <c r="I98" s="883">
        <f aca="true" t="shared" si="62" ref="I98:AO98">I17+I37+I57+I77</f>
        <v>14.203</v>
      </c>
      <c r="J98" s="883">
        <f t="shared" si="62"/>
        <v>14.203</v>
      </c>
      <c r="K98" s="883">
        <f t="shared" si="62"/>
        <v>14.203</v>
      </c>
      <c r="L98" s="883">
        <f t="shared" si="62"/>
        <v>14.203</v>
      </c>
      <c r="M98" s="883">
        <f t="shared" si="62"/>
        <v>14.203</v>
      </c>
      <c r="N98" s="883">
        <f t="shared" si="62"/>
        <v>14.203</v>
      </c>
      <c r="O98" s="883">
        <f t="shared" si="62"/>
        <v>14.203</v>
      </c>
      <c r="P98" s="883">
        <f t="shared" si="62"/>
        <v>14.203</v>
      </c>
      <c r="Q98" s="883">
        <f t="shared" si="62"/>
        <v>14.203</v>
      </c>
      <c r="R98" s="883">
        <f t="shared" si="62"/>
        <v>14.203</v>
      </c>
      <c r="S98" s="883">
        <f t="shared" si="62"/>
        <v>14.203</v>
      </c>
      <c r="T98" s="883">
        <f t="shared" si="62"/>
        <v>14.203</v>
      </c>
      <c r="U98" s="883">
        <f t="shared" si="62"/>
        <v>0</v>
      </c>
      <c r="V98" s="883">
        <f t="shared" si="62"/>
        <v>-14.203</v>
      </c>
      <c r="W98" s="883">
        <f t="shared" si="62"/>
        <v>7.101000000000001</v>
      </c>
      <c r="X98" s="883">
        <f t="shared" si="62"/>
        <v>0</v>
      </c>
      <c r="Y98" s="883">
        <f t="shared" si="62"/>
        <v>-7.101000000000001</v>
      </c>
      <c r="Z98" s="883">
        <f t="shared" si="62"/>
        <v>0</v>
      </c>
      <c r="AA98" s="883">
        <f t="shared" si="62"/>
        <v>0</v>
      </c>
      <c r="AB98" s="883">
        <f t="shared" si="62"/>
        <v>0</v>
      </c>
      <c r="AC98" s="883">
        <f t="shared" si="62"/>
        <v>0</v>
      </c>
      <c r="AD98" s="883">
        <f t="shared" si="62"/>
        <v>0</v>
      </c>
      <c r="AE98" s="883">
        <f t="shared" si="62"/>
        <v>0</v>
      </c>
      <c r="AF98" s="883">
        <f t="shared" si="62"/>
        <v>7.101000000000001</v>
      </c>
      <c r="AG98" s="883">
        <f t="shared" si="62"/>
        <v>0</v>
      </c>
      <c r="AH98" s="883">
        <f t="shared" si="62"/>
        <v>-7.101000000000001</v>
      </c>
      <c r="AI98" s="883">
        <f t="shared" si="62"/>
        <v>14.203</v>
      </c>
      <c r="AJ98" s="883">
        <f t="shared" si="62"/>
        <v>14.203</v>
      </c>
      <c r="AK98" s="883">
        <f t="shared" si="62"/>
        <v>14.203</v>
      </c>
      <c r="AL98" s="883">
        <f t="shared" si="62"/>
        <v>14.203</v>
      </c>
      <c r="AM98" s="883">
        <f t="shared" si="62"/>
        <v>14.203</v>
      </c>
      <c r="AN98" s="883">
        <f t="shared" si="62"/>
        <v>14.203</v>
      </c>
      <c r="AO98" s="883">
        <f t="shared" si="62"/>
        <v>14.203</v>
      </c>
      <c r="AP98" s="883">
        <f aca="true" t="shared" si="63" ref="AP98:AQ106">AP17+AP37+AP57</f>
        <v>0</v>
      </c>
      <c r="AQ98" s="883">
        <f t="shared" si="63"/>
        <v>-8.481</v>
      </c>
      <c r="AR98" s="1052">
        <f t="shared" si="52"/>
        <v>127.82600000000001</v>
      </c>
      <c r="AS98" s="883">
        <f aca="true" t="shared" si="64" ref="AS98:AT106">AS17+AS37+AS57</f>
        <v>85.218</v>
      </c>
      <c r="AT98" s="883">
        <f t="shared" si="64"/>
        <v>-42.608000000000004</v>
      </c>
      <c r="AU98" s="883">
        <f t="shared" si="53"/>
        <v>42.608999999999995</v>
      </c>
      <c r="AV98" s="883" t="e">
        <f aca="true" t="shared" si="65" ref="AV98:BI98">AV17+AV37+AV57+AV77</f>
        <v>#N/A</v>
      </c>
      <c r="AW98" s="883" t="e">
        <f t="shared" si="65"/>
        <v>#N/A</v>
      </c>
      <c r="AX98" s="883">
        <f t="shared" si="65"/>
        <v>35.507</v>
      </c>
      <c r="AY98" s="883" t="e">
        <f t="shared" si="65"/>
        <v>#N/A</v>
      </c>
      <c r="AZ98" s="883" t="e">
        <f t="shared" si="65"/>
        <v>#N/A</v>
      </c>
      <c r="BA98" s="883">
        <f t="shared" si="65"/>
        <v>7.101000000000001</v>
      </c>
      <c r="BB98" s="883" t="e">
        <f t="shared" si="65"/>
        <v>#N/A</v>
      </c>
      <c r="BC98" s="883" t="e">
        <f t="shared" si="65"/>
        <v>#N/A</v>
      </c>
      <c r="BD98" s="883">
        <f t="shared" si="65"/>
        <v>42.608999999999995</v>
      </c>
      <c r="BE98" s="883" t="e">
        <f t="shared" si="65"/>
        <v>#N/A</v>
      </c>
      <c r="BF98" s="883" t="e">
        <f t="shared" si="65"/>
        <v>#N/A</v>
      </c>
      <c r="BG98" s="883">
        <f t="shared" si="65"/>
        <v>31.471000000000004</v>
      </c>
      <c r="BH98" s="883">
        <f t="shared" si="65"/>
        <v>20.027</v>
      </c>
      <c r="BI98" s="883">
        <f t="shared" si="65"/>
        <v>51.498000000000005</v>
      </c>
      <c r="BJ98" s="893" t="s">
        <v>1425</v>
      </c>
      <c r="BK98" s="853"/>
      <c r="BL98"/>
    </row>
    <row r="99" spans="1:64" ht="23.25" customHeight="1">
      <c r="A99" s="2104"/>
      <c r="B99" s="1048"/>
      <c r="C99" s="1048" t="s">
        <v>1446</v>
      </c>
      <c r="D99" s="1049" t="s">
        <v>1447</v>
      </c>
      <c r="E99" s="881" t="s">
        <v>1426</v>
      </c>
      <c r="F99" s="881" t="s">
        <v>387</v>
      </c>
      <c r="G99" s="942" t="s">
        <v>1427</v>
      </c>
      <c r="H99" s="883">
        <f t="shared" si="61"/>
        <v>8.861</v>
      </c>
      <c r="I99" s="883">
        <f aca="true" t="shared" si="66" ref="I99:AO99">I18+I38+I58+I78</f>
        <v>8.861</v>
      </c>
      <c r="J99" s="883">
        <f t="shared" si="66"/>
        <v>8.861</v>
      </c>
      <c r="K99" s="883">
        <f t="shared" si="66"/>
        <v>8.861</v>
      </c>
      <c r="L99" s="883">
        <f t="shared" si="66"/>
        <v>8.861</v>
      </c>
      <c r="M99" s="883">
        <f t="shared" si="66"/>
        <v>8.861</v>
      </c>
      <c r="N99" s="883">
        <f t="shared" si="66"/>
        <v>8.861</v>
      </c>
      <c r="O99" s="883">
        <f t="shared" si="66"/>
        <v>8.861</v>
      </c>
      <c r="P99" s="883">
        <f t="shared" si="66"/>
        <v>8.861</v>
      </c>
      <c r="Q99" s="883">
        <f t="shared" si="66"/>
        <v>8.861</v>
      </c>
      <c r="R99" s="883">
        <f t="shared" si="66"/>
        <v>8.861</v>
      </c>
      <c r="S99" s="883">
        <f t="shared" si="66"/>
        <v>8.861</v>
      </c>
      <c r="T99" s="883">
        <f t="shared" si="66"/>
        <v>8.861</v>
      </c>
      <c r="U99" s="883">
        <f t="shared" si="66"/>
        <v>8.861</v>
      </c>
      <c r="V99" s="883">
        <f t="shared" si="66"/>
        <v>8.861</v>
      </c>
      <c r="W99" s="883">
        <f t="shared" si="66"/>
        <v>8.861</v>
      </c>
      <c r="X99" s="883">
        <f t="shared" si="66"/>
        <v>8.861</v>
      </c>
      <c r="Y99" s="883">
        <f t="shared" si="66"/>
        <v>8.861</v>
      </c>
      <c r="Z99" s="883">
        <f t="shared" si="66"/>
        <v>8.861</v>
      </c>
      <c r="AA99" s="883">
        <f t="shared" si="66"/>
        <v>8.861</v>
      </c>
      <c r="AB99" s="883">
        <f t="shared" si="66"/>
        <v>8.861</v>
      </c>
      <c r="AC99" s="883">
        <f t="shared" si="66"/>
        <v>8.861</v>
      </c>
      <c r="AD99" s="883">
        <f t="shared" si="66"/>
        <v>8.861</v>
      </c>
      <c r="AE99" s="883">
        <f t="shared" si="66"/>
        <v>8.861</v>
      </c>
      <c r="AF99" s="883">
        <f t="shared" si="66"/>
        <v>8.861</v>
      </c>
      <c r="AG99" s="883">
        <f t="shared" si="66"/>
        <v>8.861</v>
      </c>
      <c r="AH99" s="883">
        <f t="shared" si="66"/>
        <v>8.861</v>
      </c>
      <c r="AI99" s="883">
        <f t="shared" si="66"/>
        <v>8.861</v>
      </c>
      <c r="AJ99" s="883">
        <f t="shared" si="66"/>
        <v>8.861</v>
      </c>
      <c r="AK99" s="883">
        <f t="shared" si="66"/>
        <v>8.861</v>
      </c>
      <c r="AL99" s="883">
        <f t="shared" si="66"/>
        <v>8.861</v>
      </c>
      <c r="AM99" s="883">
        <f t="shared" si="66"/>
        <v>8.861</v>
      </c>
      <c r="AN99" s="883">
        <f t="shared" si="66"/>
        <v>8.861</v>
      </c>
      <c r="AO99" s="883">
        <f t="shared" si="66"/>
        <v>8.861</v>
      </c>
      <c r="AP99" s="883">
        <f t="shared" si="63"/>
        <v>0</v>
      </c>
      <c r="AQ99" s="883">
        <f t="shared" si="63"/>
        <v>-4.547</v>
      </c>
      <c r="AR99" s="1052">
        <f t="shared" si="52"/>
        <v>106.332</v>
      </c>
      <c r="AS99" s="883">
        <f t="shared" si="64"/>
        <v>50.01699999999999</v>
      </c>
      <c r="AT99" s="883">
        <f t="shared" si="64"/>
        <v>-4.546999999999997</v>
      </c>
      <c r="AU99" s="883">
        <f t="shared" si="53"/>
        <v>26.583</v>
      </c>
      <c r="AV99" s="883" t="e">
        <f aca="true" t="shared" si="67" ref="AV99:BI99">AV18+AV38+AV58+AV78</f>
        <v>#N/A</v>
      </c>
      <c r="AW99" s="883" t="e">
        <f t="shared" si="67"/>
        <v>#N/A</v>
      </c>
      <c r="AX99" s="883">
        <f t="shared" si="67"/>
        <v>26.583</v>
      </c>
      <c r="AY99" s="883" t="e">
        <f t="shared" si="67"/>
        <v>#N/A</v>
      </c>
      <c r="AZ99" s="883" t="e">
        <f t="shared" si="67"/>
        <v>#N/A</v>
      </c>
      <c r="BA99" s="883">
        <f t="shared" si="67"/>
        <v>26.583</v>
      </c>
      <c r="BB99" s="883" t="e">
        <f t="shared" si="67"/>
        <v>#N/A</v>
      </c>
      <c r="BC99" s="883" t="e">
        <f t="shared" si="67"/>
        <v>#N/A</v>
      </c>
      <c r="BD99" s="883">
        <f t="shared" si="67"/>
        <v>26.583</v>
      </c>
      <c r="BE99" s="883" t="e">
        <f t="shared" si="67"/>
        <v>#N/A</v>
      </c>
      <c r="BF99" s="883" t="e">
        <f t="shared" si="67"/>
        <v>#N/A</v>
      </c>
      <c r="BG99" s="883">
        <f t="shared" si="67"/>
        <v>53.166</v>
      </c>
      <c r="BH99" s="883">
        <f t="shared" si="67"/>
        <v>53.166</v>
      </c>
      <c r="BI99" s="883">
        <f t="shared" si="67"/>
        <v>106.332</v>
      </c>
      <c r="BJ99" s="893"/>
      <c r="BK99" s="853"/>
      <c r="BL99"/>
    </row>
    <row r="100" spans="1:64" ht="21" customHeight="1">
      <c r="A100" s="2104"/>
      <c r="B100" s="1048"/>
      <c r="C100" s="1048" t="s">
        <v>1446</v>
      </c>
      <c r="D100" s="1049" t="s">
        <v>1447</v>
      </c>
      <c r="E100" s="881" t="s">
        <v>1173</v>
      </c>
      <c r="F100" s="881" t="s">
        <v>1428</v>
      </c>
      <c r="G100" s="882" t="s">
        <v>1429</v>
      </c>
      <c r="H100" s="883">
        <f t="shared" si="61"/>
        <v>289.74817270658264</v>
      </c>
      <c r="I100" s="883">
        <f aca="true" t="shared" si="68" ref="I100:AO100">I19+I39+I59+I79</f>
        <v>165.64453125</v>
      </c>
      <c r="J100" s="883">
        <f t="shared" si="68"/>
        <v>-124.10364145658262</v>
      </c>
      <c r="K100" s="883">
        <f t="shared" si="68"/>
        <v>289.74817270658264</v>
      </c>
      <c r="L100" s="883">
        <f t="shared" si="68"/>
        <v>165.64453125</v>
      </c>
      <c r="M100" s="883">
        <f t="shared" si="68"/>
        <v>-124.10364145658262</v>
      </c>
      <c r="N100" s="883">
        <f t="shared" si="68"/>
        <v>289.74817270658264</v>
      </c>
      <c r="O100" s="883">
        <f t="shared" si="68"/>
        <v>165.64453125</v>
      </c>
      <c r="P100" s="883">
        <f t="shared" si="68"/>
        <v>-124.10364145658262</v>
      </c>
      <c r="Q100" s="883">
        <f t="shared" si="68"/>
        <v>289.74817270658264</v>
      </c>
      <c r="R100" s="883">
        <f t="shared" si="68"/>
        <v>165.64453125</v>
      </c>
      <c r="S100" s="883">
        <f t="shared" si="68"/>
        <v>-124.10364145658262</v>
      </c>
      <c r="T100" s="883">
        <f t="shared" si="68"/>
        <v>289.74817270658264</v>
      </c>
      <c r="U100" s="883">
        <f t="shared" si="68"/>
        <v>0</v>
      </c>
      <c r="V100" s="883">
        <f t="shared" si="68"/>
        <v>-289.74817270658264</v>
      </c>
      <c r="W100" s="883">
        <f t="shared" si="68"/>
        <v>206.9161414565826</v>
      </c>
      <c r="X100" s="883">
        <f t="shared" si="68"/>
        <v>0</v>
      </c>
      <c r="Y100" s="883">
        <f t="shared" si="68"/>
        <v>-206.9161414565826</v>
      </c>
      <c r="Z100" s="883">
        <f t="shared" si="68"/>
        <v>124.10364145658262</v>
      </c>
      <c r="AA100" s="883">
        <f t="shared" si="68"/>
        <v>0</v>
      </c>
      <c r="AB100" s="883">
        <f t="shared" si="68"/>
        <v>-124.10364145658262</v>
      </c>
      <c r="AC100" s="883">
        <f t="shared" si="68"/>
        <v>124.10364145658262</v>
      </c>
      <c r="AD100" s="883">
        <f t="shared" si="68"/>
        <v>0</v>
      </c>
      <c r="AE100" s="883">
        <f t="shared" si="68"/>
        <v>-124.10364145658262</v>
      </c>
      <c r="AF100" s="883">
        <f t="shared" si="68"/>
        <v>206.9161414565826</v>
      </c>
      <c r="AG100" s="883">
        <f t="shared" si="68"/>
        <v>0</v>
      </c>
      <c r="AH100" s="883">
        <f t="shared" si="68"/>
        <v>-206.9161414565826</v>
      </c>
      <c r="AI100" s="883">
        <f t="shared" si="68"/>
        <v>289.74817270658264</v>
      </c>
      <c r="AJ100" s="883">
        <f t="shared" si="68"/>
        <v>165.64453125</v>
      </c>
      <c r="AK100" s="883">
        <f t="shared" si="68"/>
        <v>-124.10364145658262</v>
      </c>
      <c r="AL100" s="883">
        <f t="shared" si="68"/>
        <v>289.74817270658264</v>
      </c>
      <c r="AM100" s="883">
        <f t="shared" si="68"/>
        <v>165.64453125</v>
      </c>
      <c r="AN100" s="883">
        <f t="shared" si="68"/>
        <v>-124.10364145658262</v>
      </c>
      <c r="AO100" s="883">
        <f t="shared" si="68"/>
        <v>289.74817270658264</v>
      </c>
      <c r="AP100" s="883">
        <f t="shared" si="63"/>
        <v>0</v>
      </c>
      <c r="AQ100" s="883">
        <f t="shared" si="63"/>
        <v>-229.32800463935573</v>
      </c>
      <c r="AR100" s="1052">
        <f t="shared" si="52"/>
        <v>2980.0249474789916</v>
      </c>
      <c r="AS100" s="883">
        <f t="shared" si="64"/>
        <v>993.8671875</v>
      </c>
      <c r="AT100" s="883">
        <f t="shared" si="64"/>
        <v>-1261.115743172269</v>
      </c>
      <c r="AU100" s="883">
        <f t="shared" si="53"/>
        <v>869.2445181197478</v>
      </c>
      <c r="AV100" s="883" t="e">
        <f aca="true" t="shared" si="69" ref="AV100:BI100">AV19+AV39+AV59+AV79</f>
        <v>#N/A</v>
      </c>
      <c r="AW100" s="883" t="e">
        <f t="shared" si="69"/>
        <v>#N/A</v>
      </c>
      <c r="AX100" s="883">
        <f t="shared" si="69"/>
        <v>786.4124868697478</v>
      </c>
      <c r="AY100" s="883" t="e">
        <f t="shared" si="69"/>
        <v>#N/A</v>
      </c>
      <c r="AZ100" s="883" t="e">
        <f t="shared" si="69"/>
        <v>#N/A</v>
      </c>
      <c r="BA100" s="883">
        <f t="shared" si="69"/>
        <v>455.1234243697479</v>
      </c>
      <c r="BB100" s="883" t="e">
        <f t="shared" si="69"/>
        <v>#N/A</v>
      </c>
      <c r="BC100" s="883" t="e">
        <f t="shared" si="69"/>
        <v>#N/A</v>
      </c>
      <c r="BD100" s="883">
        <f t="shared" si="69"/>
        <v>869.2445181197478</v>
      </c>
      <c r="BE100" s="883" t="e">
        <f t="shared" si="69"/>
        <v>#N/A</v>
      </c>
      <c r="BF100" s="883" t="e">
        <f t="shared" si="69"/>
        <v>#N/A</v>
      </c>
      <c r="BG100" s="883">
        <f t="shared" si="69"/>
        <v>744.6218487394958</v>
      </c>
      <c r="BH100" s="883">
        <f t="shared" si="69"/>
        <v>744.6218487394958</v>
      </c>
      <c r="BI100" s="883">
        <f t="shared" si="69"/>
        <v>1489.2436974789916</v>
      </c>
      <c r="BJ100" s="893"/>
      <c r="BK100" s="853"/>
      <c r="BL100"/>
    </row>
    <row r="101" spans="1:64" ht="22.5" customHeight="1">
      <c r="A101" s="2104"/>
      <c r="B101" s="1048"/>
      <c r="C101" s="1048" t="s">
        <v>1446</v>
      </c>
      <c r="D101" s="1049" t="s">
        <v>1447</v>
      </c>
      <c r="E101" s="881"/>
      <c r="F101" s="881"/>
      <c r="G101" s="916" t="s">
        <v>1686</v>
      </c>
      <c r="H101" s="883">
        <f t="shared" si="61"/>
        <v>0</v>
      </c>
      <c r="I101" s="883">
        <f aca="true" t="shared" si="70" ref="I101:AO101">I20+I40+I60+I80</f>
        <v>0</v>
      </c>
      <c r="J101" s="883">
        <f t="shared" si="70"/>
        <v>0</v>
      </c>
      <c r="K101" s="883">
        <f t="shared" si="70"/>
        <v>0</v>
      </c>
      <c r="L101" s="883">
        <f t="shared" si="70"/>
        <v>0</v>
      </c>
      <c r="M101" s="883">
        <f t="shared" si="70"/>
        <v>0</v>
      </c>
      <c r="N101" s="883">
        <f t="shared" si="70"/>
        <v>0</v>
      </c>
      <c r="O101" s="883">
        <f t="shared" si="70"/>
        <v>0</v>
      </c>
      <c r="P101" s="883">
        <f t="shared" si="70"/>
        <v>0</v>
      </c>
      <c r="Q101" s="883">
        <f t="shared" si="70"/>
        <v>0</v>
      </c>
      <c r="R101" s="883">
        <f t="shared" si="70"/>
        <v>0</v>
      </c>
      <c r="S101" s="883">
        <f t="shared" si="70"/>
        <v>0</v>
      </c>
      <c r="T101" s="883">
        <f t="shared" si="70"/>
        <v>0</v>
      </c>
      <c r="U101" s="883">
        <f t="shared" si="70"/>
        <v>0</v>
      </c>
      <c r="V101" s="883">
        <f t="shared" si="70"/>
        <v>0</v>
      </c>
      <c r="W101" s="883">
        <f t="shared" si="70"/>
        <v>0</v>
      </c>
      <c r="X101" s="883">
        <f t="shared" si="70"/>
        <v>0</v>
      </c>
      <c r="Y101" s="883">
        <f t="shared" si="70"/>
        <v>0</v>
      </c>
      <c r="Z101" s="883">
        <f t="shared" si="70"/>
        <v>0</v>
      </c>
      <c r="AA101" s="883">
        <f t="shared" si="70"/>
        <v>0</v>
      </c>
      <c r="AB101" s="883">
        <f t="shared" si="70"/>
        <v>0</v>
      </c>
      <c r="AC101" s="883">
        <f t="shared" si="70"/>
        <v>0</v>
      </c>
      <c r="AD101" s="883">
        <f t="shared" si="70"/>
        <v>0</v>
      </c>
      <c r="AE101" s="883">
        <f t="shared" si="70"/>
        <v>0</v>
      </c>
      <c r="AF101" s="883">
        <f t="shared" si="70"/>
        <v>0</v>
      </c>
      <c r="AG101" s="883">
        <f t="shared" si="70"/>
        <v>0</v>
      </c>
      <c r="AH101" s="883">
        <f t="shared" si="70"/>
        <v>0</v>
      </c>
      <c r="AI101" s="883">
        <f t="shared" si="70"/>
        <v>0</v>
      </c>
      <c r="AJ101" s="883">
        <f t="shared" si="70"/>
        <v>0</v>
      </c>
      <c r="AK101" s="883">
        <f t="shared" si="70"/>
        <v>0</v>
      </c>
      <c r="AL101" s="883">
        <f t="shared" si="70"/>
        <v>0</v>
      </c>
      <c r="AM101" s="883">
        <f t="shared" si="70"/>
        <v>0</v>
      </c>
      <c r="AN101" s="883">
        <f t="shared" si="70"/>
        <v>0</v>
      </c>
      <c r="AO101" s="883">
        <f t="shared" si="70"/>
        <v>0</v>
      </c>
      <c r="AP101" s="883">
        <f t="shared" si="63"/>
        <v>0</v>
      </c>
      <c r="AQ101" s="883">
        <f t="shared" si="63"/>
        <v>0</v>
      </c>
      <c r="AR101" s="1052">
        <f t="shared" si="52"/>
        <v>0</v>
      </c>
      <c r="AS101" s="883">
        <f t="shared" si="64"/>
        <v>0</v>
      </c>
      <c r="AT101" s="883">
        <f t="shared" si="64"/>
        <v>0</v>
      </c>
      <c r="AU101" s="883">
        <f t="shared" si="53"/>
        <v>0</v>
      </c>
      <c r="AV101" s="883" t="e">
        <f aca="true" t="shared" si="71" ref="AV101:BI101">AV20+AV40+AV60+AV80</f>
        <v>#N/A</v>
      </c>
      <c r="AW101" s="883" t="e">
        <f t="shared" si="71"/>
        <v>#N/A</v>
      </c>
      <c r="AX101" s="883">
        <f t="shared" si="71"/>
        <v>0</v>
      </c>
      <c r="AY101" s="883" t="e">
        <f t="shared" si="71"/>
        <v>#N/A</v>
      </c>
      <c r="AZ101" s="883" t="e">
        <f t="shared" si="71"/>
        <v>#N/A</v>
      </c>
      <c r="BA101" s="883">
        <f t="shared" si="71"/>
        <v>0</v>
      </c>
      <c r="BB101" s="883" t="e">
        <f t="shared" si="71"/>
        <v>#N/A</v>
      </c>
      <c r="BC101" s="883" t="e">
        <f t="shared" si="71"/>
        <v>#N/A</v>
      </c>
      <c r="BD101" s="883">
        <f t="shared" si="71"/>
        <v>0</v>
      </c>
      <c r="BE101" s="883" t="e">
        <f t="shared" si="71"/>
        <v>#N/A</v>
      </c>
      <c r="BF101" s="883" t="e">
        <f t="shared" si="71"/>
        <v>#N/A</v>
      </c>
      <c r="BG101" s="883">
        <f t="shared" si="71"/>
        <v>0</v>
      </c>
      <c r="BH101" s="883">
        <f t="shared" si="71"/>
        <v>0</v>
      </c>
      <c r="BI101" s="883">
        <f t="shared" si="71"/>
        <v>0</v>
      </c>
      <c r="BJ101" s="893"/>
      <c r="BK101" s="853"/>
      <c r="BL101"/>
    </row>
    <row r="102" spans="1:64" ht="21" customHeight="1">
      <c r="A102" s="2104"/>
      <c r="B102" s="1048"/>
      <c r="C102" s="1048" t="s">
        <v>1446</v>
      </c>
      <c r="D102" s="1049" t="s">
        <v>1447</v>
      </c>
      <c r="E102" s="881" t="s">
        <v>1430</v>
      </c>
      <c r="F102" s="881" t="s">
        <v>1428</v>
      </c>
      <c r="G102" s="942" t="s">
        <v>1424</v>
      </c>
      <c r="H102" s="883">
        <f t="shared" si="61"/>
        <v>279.6081632681641</v>
      </c>
      <c r="I102" s="883">
        <f aca="true" t="shared" si="72" ref="I102:AO102">I21+I41+I61+I81</f>
        <v>279.6081632681641</v>
      </c>
      <c r="J102" s="883">
        <f t="shared" si="72"/>
        <v>113.96363201816409</v>
      </c>
      <c r="K102" s="883">
        <f t="shared" si="72"/>
        <v>279.6081632681641</v>
      </c>
      <c r="L102" s="883">
        <f t="shared" si="72"/>
        <v>279.6081632681641</v>
      </c>
      <c r="M102" s="883">
        <f t="shared" si="72"/>
        <v>113.96363201816409</v>
      </c>
      <c r="N102" s="883">
        <f t="shared" si="72"/>
        <v>279.6081632681641</v>
      </c>
      <c r="O102" s="883">
        <f t="shared" si="72"/>
        <v>279.6081632681641</v>
      </c>
      <c r="P102" s="883">
        <f t="shared" si="72"/>
        <v>113.96363201816409</v>
      </c>
      <c r="Q102" s="883">
        <f t="shared" si="72"/>
        <v>279.6081632681641</v>
      </c>
      <c r="R102" s="883">
        <f t="shared" si="72"/>
        <v>279.6081632681641</v>
      </c>
      <c r="S102" s="883">
        <f t="shared" si="72"/>
        <v>113.96363201816409</v>
      </c>
      <c r="T102" s="883">
        <f t="shared" si="72"/>
        <v>279.6081632681641</v>
      </c>
      <c r="U102" s="883">
        <f t="shared" si="72"/>
        <v>0</v>
      </c>
      <c r="V102" s="883">
        <f t="shared" si="72"/>
        <v>-279.6081632681641</v>
      </c>
      <c r="W102" s="883">
        <f t="shared" si="72"/>
        <v>139.79431600908205</v>
      </c>
      <c r="X102" s="883">
        <f t="shared" si="72"/>
        <v>0</v>
      </c>
      <c r="Y102" s="883">
        <f t="shared" si="72"/>
        <v>-139.79431600908205</v>
      </c>
      <c r="Z102" s="883">
        <f t="shared" si="72"/>
        <v>0</v>
      </c>
      <c r="AA102" s="883">
        <f t="shared" si="72"/>
        <v>0</v>
      </c>
      <c r="AB102" s="883">
        <f t="shared" si="72"/>
        <v>0</v>
      </c>
      <c r="AC102" s="883">
        <f t="shared" si="72"/>
        <v>0</v>
      </c>
      <c r="AD102" s="883">
        <f t="shared" si="72"/>
        <v>0</v>
      </c>
      <c r="AE102" s="883">
        <f t="shared" si="72"/>
        <v>0</v>
      </c>
      <c r="AF102" s="883">
        <f t="shared" si="72"/>
        <v>139.79431600908205</v>
      </c>
      <c r="AG102" s="883">
        <f t="shared" si="72"/>
        <v>0</v>
      </c>
      <c r="AH102" s="883">
        <f t="shared" si="72"/>
        <v>-139.79431600908205</v>
      </c>
      <c r="AI102" s="883">
        <f t="shared" si="72"/>
        <v>279.6081632681641</v>
      </c>
      <c r="AJ102" s="883">
        <f t="shared" si="72"/>
        <v>279.6081632681641</v>
      </c>
      <c r="AK102" s="883">
        <f t="shared" si="72"/>
        <v>113.96363201816409</v>
      </c>
      <c r="AL102" s="883">
        <f t="shared" si="72"/>
        <v>279.6081632681641</v>
      </c>
      <c r="AM102" s="883">
        <f t="shared" si="72"/>
        <v>279.6081632681641</v>
      </c>
      <c r="AN102" s="883">
        <f t="shared" si="72"/>
        <v>113.96363201816409</v>
      </c>
      <c r="AO102" s="883">
        <f t="shared" si="72"/>
        <v>279.6081632681641</v>
      </c>
      <c r="AP102" s="883">
        <f t="shared" si="63"/>
        <v>0</v>
      </c>
      <c r="AQ102" s="883">
        <f t="shared" si="63"/>
        <v>-165.64453125</v>
      </c>
      <c r="AR102" s="1052">
        <f t="shared" si="52"/>
        <v>2516.453938163477</v>
      </c>
      <c r="AS102" s="883">
        <f t="shared" si="64"/>
        <v>1677.6489796089845</v>
      </c>
      <c r="AT102" s="883">
        <f t="shared" si="64"/>
        <v>-838.8049585544923</v>
      </c>
      <c r="AU102" s="883">
        <f t="shared" si="53"/>
        <v>838.8244898044923</v>
      </c>
      <c r="AV102" s="883" t="e">
        <f aca="true" t="shared" si="73" ref="AV102:BI102">AV21+AV41+AV61+AV81</f>
        <v>#N/A</v>
      </c>
      <c r="AW102" s="883" t="e">
        <f t="shared" si="73"/>
        <v>#N/A</v>
      </c>
      <c r="AX102" s="883">
        <f t="shared" si="73"/>
        <v>699.0106425454103</v>
      </c>
      <c r="AY102" s="883" t="e">
        <f t="shared" si="73"/>
        <v>#N/A</v>
      </c>
      <c r="AZ102" s="883" t="e">
        <f t="shared" si="73"/>
        <v>#N/A</v>
      </c>
      <c r="BA102" s="883">
        <f t="shared" si="73"/>
        <v>139.79431600908205</v>
      </c>
      <c r="BB102" s="883" t="e">
        <f t="shared" si="73"/>
        <v>#N/A</v>
      </c>
      <c r="BC102" s="883" t="e">
        <f t="shared" si="73"/>
        <v>#N/A</v>
      </c>
      <c r="BD102" s="883">
        <f t="shared" si="73"/>
        <v>838.8244898044923</v>
      </c>
      <c r="BE102" s="883" t="e">
        <f t="shared" si="73"/>
        <v>#N/A</v>
      </c>
      <c r="BF102" s="883" t="e">
        <f t="shared" si="73"/>
        <v>#N/A</v>
      </c>
      <c r="BG102" s="883">
        <f t="shared" si="73"/>
        <v>626.7999760999026</v>
      </c>
      <c r="BH102" s="883">
        <f t="shared" si="73"/>
        <v>398.8727120635743</v>
      </c>
      <c r="BI102" s="883">
        <f t="shared" si="73"/>
        <v>1025.6726881634768</v>
      </c>
      <c r="BJ102" s="893" t="s">
        <v>1450</v>
      </c>
      <c r="BK102" s="853"/>
      <c r="BL102"/>
    </row>
    <row r="103" spans="1:64" ht="21" customHeight="1">
      <c r="A103" s="2104"/>
      <c r="B103" s="1048"/>
      <c r="C103" s="1048" t="s">
        <v>1446</v>
      </c>
      <c r="D103" s="1049" t="s">
        <v>1447</v>
      </c>
      <c r="E103" s="881" t="s">
        <v>1431</v>
      </c>
      <c r="F103" s="881" t="s">
        <v>1428</v>
      </c>
      <c r="G103" s="942" t="s">
        <v>1427</v>
      </c>
      <c r="H103" s="883">
        <f t="shared" si="61"/>
        <v>124.10364145658262</v>
      </c>
      <c r="I103" s="883">
        <f aca="true" t="shared" si="74" ref="I103:AO103">I22+I42+I62+I82</f>
        <v>0</v>
      </c>
      <c r="J103" s="883">
        <f t="shared" si="74"/>
        <v>-124.10364145658262</v>
      </c>
      <c r="K103" s="883">
        <f t="shared" si="74"/>
        <v>124.10364145658262</v>
      </c>
      <c r="L103" s="883">
        <f t="shared" si="74"/>
        <v>0</v>
      </c>
      <c r="M103" s="883">
        <f t="shared" si="74"/>
        <v>-124.10364145658262</v>
      </c>
      <c r="N103" s="883">
        <f t="shared" si="74"/>
        <v>124.10364145658262</v>
      </c>
      <c r="O103" s="883">
        <f t="shared" si="74"/>
        <v>0</v>
      </c>
      <c r="P103" s="883">
        <f t="shared" si="74"/>
        <v>-124.10364145658262</v>
      </c>
      <c r="Q103" s="883">
        <f t="shared" si="74"/>
        <v>124.10364145658262</v>
      </c>
      <c r="R103" s="883">
        <f t="shared" si="74"/>
        <v>0</v>
      </c>
      <c r="S103" s="883">
        <f t="shared" si="74"/>
        <v>-124.10364145658262</v>
      </c>
      <c r="T103" s="883">
        <f t="shared" si="74"/>
        <v>124.10364145658262</v>
      </c>
      <c r="U103" s="883">
        <f t="shared" si="74"/>
        <v>0</v>
      </c>
      <c r="V103" s="883">
        <f t="shared" si="74"/>
        <v>-124.10364145658262</v>
      </c>
      <c r="W103" s="883">
        <f t="shared" si="74"/>
        <v>124.10364145658262</v>
      </c>
      <c r="X103" s="883">
        <f t="shared" si="74"/>
        <v>0</v>
      </c>
      <c r="Y103" s="883">
        <f t="shared" si="74"/>
        <v>-124.10364145658262</v>
      </c>
      <c r="Z103" s="883">
        <f t="shared" si="74"/>
        <v>124.10364145658262</v>
      </c>
      <c r="AA103" s="883">
        <f t="shared" si="74"/>
        <v>0</v>
      </c>
      <c r="AB103" s="883">
        <f t="shared" si="74"/>
        <v>-124.10364145658262</v>
      </c>
      <c r="AC103" s="883">
        <f t="shared" si="74"/>
        <v>124.10364145658262</v>
      </c>
      <c r="AD103" s="883">
        <f t="shared" si="74"/>
        <v>0</v>
      </c>
      <c r="AE103" s="883">
        <f t="shared" si="74"/>
        <v>-124.10364145658262</v>
      </c>
      <c r="AF103" s="883">
        <f t="shared" si="74"/>
        <v>124.10364145658262</v>
      </c>
      <c r="AG103" s="883">
        <f t="shared" si="74"/>
        <v>0</v>
      </c>
      <c r="AH103" s="883">
        <f t="shared" si="74"/>
        <v>-124.10364145658262</v>
      </c>
      <c r="AI103" s="883">
        <f t="shared" si="74"/>
        <v>124.10364145658262</v>
      </c>
      <c r="AJ103" s="883">
        <f t="shared" si="74"/>
        <v>0</v>
      </c>
      <c r="AK103" s="883">
        <f t="shared" si="74"/>
        <v>-124.10364145658262</v>
      </c>
      <c r="AL103" s="883">
        <f t="shared" si="74"/>
        <v>124.10364145658262</v>
      </c>
      <c r="AM103" s="883">
        <f t="shared" si="74"/>
        <v>0</v>
      </c>
      <c r="AN103" s="883">
        <f t="shared" si="74"/>
        <v>-124.10364145658262</v>
      </c>
      <c r="AO103" s="883">
        <f t="shared" si="74"/>
        <v>124.10364145658262</v>
      </c>
      <c r="AP103" s="883">
        <f t="shared" si="63"/>
        <v>0</v>
      </c>
      <c r="AQ103" s="883">
        <f t="shared" si="63"/>
        <v>-63.68347338935573</v>
      </c>
      <c r="AR103" s="1052">
        <f t="shared" si="52"/>
        <v>1489.2436974789916</v>
      </c>
      <c r="AS103" s="883">
        <f t="shared" si="64"/>
        <v>0</v>
      </c>
      <c r="AT103" s="883">
        <f t="shared" si="64"/>
        <v>-764.2016806722689</v>
      </c>
      <c r="AU103" s="883">
        <f t="shared" si="53"/>
        <v>372.3109243697479</v>
      </c>
      <c r="AV103" s="883" t="e">
        <f aca="true" t="shared" si="75" ref="AV103:BI103">AV22+AV42+AV62+AV82</f>
        <v>#N/A</v>
      </c>
      <c r="AW103" s="883" t="e">
        <f t="shared" si="75"/>
        <v>#N/A</v>
      </c>
      <c r="AX103" s="883">
        <f t="shared" si="75"/>
        <v>372.3109243697479</v>
      </c>
      <c r="AY103" s="883" t="e">
        <f t="shared" si="75"/>
        <v>#N/A</v>
      </c>
      <c r="AZ103" s="883" t="e">
        <f t="shared" si="75"/>
        <v>#N/A</v>
      </c>
      <c r="BA103" s="883">
        <f t="shared" si="75"/>
        <v>372.3109243697479</v>
      </c>
      <c r="BB103" s="883" t="e">
        <f t="shared" si="75"/>
        <v>#N/A</v>
      </c>
      <c r="BC103" s="883" t="e">
        <f t="shared" si="75"/>
        <v>#N/A</v>
      </c>
      <c r="BD103" s="883">
        <f t="shared" si="75"/>
        <v>372.3109243697479</v>
      </c>
      <c r="BE103" s="883" t="e">
        <f t="shared" si="75"/>
        <v>#N/A</v>
      </c>
      <c r="BF103" s="883" t="e">
        <f t="shared" si="75"/>
        <v>#N/A</v>
      </c>
      <c r="BG103" s="883">
        <f t="shared" si="75"/>
        <v>744.6218487394958</v>
      </c>
      <c r="BH103" s="883">
        <f t="shared" si="75"/>
        <v>744.6218487394958</v>
      </c>
      <c r="BI103" s="883">
        <f t="shared" si="75"/>
        <v>1489.2436974789916</v>
      </c>
      <c r="BJ103" s="893"/>
      <c r="BK103" s="853"/>
      <c r="BL103"/>
    </row>
    <row r="104" spans="1:64" ht="21.75" customHeight="1">
      <c r="A104" s="2104"/>
      <c r="B104" s="970"/>
      <c r="C104" s="1048" t="s">
        <v>1446</v>
      </c>
      <c r="D104" s="1049" t="s">
        <v>1447</v>
      </c>
      <c r="E104" s="881" t="s">
        <v>1174</v>
      </c>
      <c r="F104" s="881" t="s">
        <v>1432</v>
      </c>
      <c r="G104" s="1055" t="s">
        <v>1433</v>
      </c>
      <c r="H104" s="883">
        <f t="shared" si="61"/>
        <v>7806</v>
      </c>
      <c r="I104" s="883">
        <f aca="true" t="shared" si="76" ref="I104:AO104">I23+I43+I63+I83</f>
        <v>0</v>
      </c>
      <c r="J104" s="883">
        <f t="shared" si="76"/>
        <v>-7806</v>
      </c>
      <c r="K104" s="883">
        <f t="shared" si="76"/>
        <v>7097</v>
      </c>
      <c r="L104" s="883">
        <f t="shared" si="76"/>
        <v>0</v>
      </c>
      <c r="M104" s="883">
        <f t="shared" si="76"/>
        <v>-7097</v>
      </c>
      <c r="N104" s="883">
        <f t="shared" si="76"/>
        <v>6431</v>
      </c>
      <c r="O104" s="883">
        <f t="shared" si="76"/>
        <v>0</v>
      </c>
      <c r="P104" s="883">
        <f t="shared" si="76"/>
        <v>-6431</v>
      </c>
      <c r="Q104" s="883">
        <f t="shared" si="76"/>
        <v>4869</v>
      </c>
      <c r="R104" s="883">
        <f t="shared" si="76"/>
        <v>0</v>
      </c>
      <c r="S104" s="883">
        <f t="shared" si="76"/>
        <v>-4869</v>
      </c>
      <c r="T104" s="883">
        <f t="shared" si="76"/>
        <v>4236</v>
      </c>
      <c r="U104" s="883">
        <f t="shared" si="76"/>
        <v>0</v>
      </c>
      <c r="V104" s="883">
        <f t="shared" si="76"/>
        <v>-4236</v>
      </c>
      <c r="W104" s="883">
        <f t="shared" si="76"/>
        <v>3258</v>
      </c>
      <c r="X104" s="883">
        <f t="shared" si="76"/>
        <v>0</v>
      </c>
      <c r="Y104" s="883">
        <f t="shared" si="76"/>
        <v>-3258</v>
      </c>
      <c r="Z104" s="883">
        <f t="shared" si="76"/>
        <v>730</v>
      </c>
      <c r="AA104" s="883">
        <f t="shared" si="76"/>
        <v>0</v>
      </c>
      <c r="AB104" s="883">
        <f t="shared" si="76"/>
        <v>-730</v>
      </c>
      <c r="AC104" s="883">
        <f t="shared" si="76"/>
        <v>450</v>
      </c>
      <c r="AD104" s="883">
        <f t="shared" si="76"/>
        <v>0</v>
      </c>
      <c r="AE104" s="883">
        <f t="shared" si="76"/>
        <v>-450</v>
      </c>
      <c r="AF104" s="883">
        <f t="shared" si="76"/>
        <v>4731</v>
      </c>
      <c r="AG104" s="883">
        <f t="shared" si="76"/>
        <v>0</v>
      </c>
      <c r="AH104" s="883">
        <f t="shared" si="76"/>
        <v>-4731</v>
      </c>
      <c r="AI104" s="883">
        <f t="shared" si="76"/>
        <v>5104</v>
      </c>
      <c r="AJ104" s="883">
        <f t="shared" si="76"/>
        <v>0</v>
      </c>
      <c r="AK104" s="883">
        <f t="shared" si="76"/>
        <v>-5104</v>
      </c>
      <c r="AL104" s="883">
        <f t="shared" si="76"/>
        <v>6346</v>
      </c>
      <c r="AM104" s="883">
        <f t="shared" si="76"/>
        <v>0</v>
      </c>
      <c r="AN104" s="883">
        <f t="shared" si="76"/>
        <v>-6346</v>
      </c>
      <c r="AO104" s="883">
        <f t="shared" si="76"/>
        <v>7253</v>
      </c>
      <c r="AP104" s="883">
        <f t="shared" si="63"/>
        <v>0</v>
      </c>
      <c r="AQ104" s="883">
        <f t="shared" si="63"/>
        <v>-4573</v>
      </c>
      <c r="AR104" s="1052">
        <f t="shared" si="52"/>
        <v>58311</v>
      </c>
      <c r="AS104" s="883">
        <f t="shared" si="64"/>
        <v>0</v>
      </c>
      <c r="AT104" s="883">
        <f t="shared" si="64"/>
        <v>-38721</v>
      </c>
      <c r="AU104" s="883">
        <f t="shared" si="53"/>
        <v>21334</v>
      </c>
      <c r="AV104" s="883" t="e">
        <f aca="true" t="shared" si="77" ref="AV104:BI104">AV23+AV43+AV63+AV83</f>
        <v>#N/A</v>
      </c>
      <c r="AW104" s="883" t="e">
        <f t="shared" si="77"/>
        <v>#N/A</v>
      </c>
      <c r="AX104" s="883">
        <f t="shared" si="77"/>
        <v>12363</v>
      </c>
      <c r="AY104" s="883" t="e">
        <f t="shared" si="77"/>
        <v>#N/A</v>
      </c>
      <c r="AZ104" s="883" t="e">
        <f t="shared" si="77"/>
        <v>#N/A</v>
      </c>
      <c r="BA104" s="883">
        <f t="shared" si="77"/>
        <v>5911</v>
      </c>
      <c r="BB104" s="883" t="e">
        <f t="shared" si="77"/>
        <v>#N/A</v>
      </c>
      <c r="BC104" s="883" t="e">
        <f t="shared" si="77"/>
        <v>#N/A</v>
      </c>
      <c r="BD104" s="883">
        <f t="shared" si="77"/>
        <v>18703</v>
      </c>
      <c r="BE104" s="883" t="e">
        <f t="shared" si="77"/>
        <v>#N/A</v>
      </c>
      <c r="BF104" s="883" t="e">
        <f t="shared" si="77"/>
        <v>#N/A</v>
      </c>
      <c r="BG104" s="883">
        <f t="shared" si="77"/>
        <v>33697</v>
      </c>
      <c r="BH104" s="883">
        <f t="shared" si="77"/>
        <v>24614</v>
      </c>
      <c r="BI104" s="883">
        <f t="shared" si="77"/>
        <v>58311</v>
      </c>
      <c r="BJ104" s="893"/>
      <c r="BK104" s="853"/>
      <c r="BL104"/>
    </row>
    <row r="105" spans="1:64" ht="15" customHeight="1">
      <c r="A105" s="2104"/>
      <c r="B105" s="970"/>
      <c r="C105" s="1048" t="s">
        <v>1446</v>
      </c>
      <c r="D105" s="1049" t="s">
        <v>1447</v>
      </c>
      <c r="E105" s="881" t="s">
        <v>1434</v>
      </c>
      <c r="F105" s="881" t="s">
        <v>1428</v>
      </c>
      <c r="G105" s="1057" t="s">
        <v>1435</v>
      </c>
      <c r="H105" s="883">
        <f t="shared" si="61"/>
        <v>404.20984406149717</v>
      </c>
      <c r="I105" s="883">
        <f aca="true" t="shared" si="78" ref="I105:AO105">I24+I44+I64+I84</f>
        <v>279.9084915291256</v>
      </c>
      <c r="J105" s="883">
        <f t="shared" si="78"/>
        <v>-10.09680939721617</v>
      </c>
      <c r="K105" s="883">
        <f t="shared" si="78"/>
        <v>404.20984406149717</v>
      </c>
      <c r="L105" s="883">
        <f t="shared" si="78"/>
        <v>279.9084915291256</v>
      </c>
      <c r="M105" s="883">
        <f t="shared" si="78"/>
        <v>-10.09680939721617</v>
      </c>
      <c r="N105" s="883">
        <f t="shared" si="78"/>
        <v>404.20984406149717</v>
      </c>
      <c r="O105" s="883">
        <f t="shared" si="78"/>
        <v>279.9084915291256</v>
      </c>
      <c r="P105" s="883">
        <f t="shared" si="78"/>
        <v>-10.09680939721617</v>
      </c>
      <c r="Q105" s="883">
        <f t="shared" si="78"/>
        <v>404.20984406149717</v>
      </c>
      <c r="R105" s="883">
        <f t="shared" si="78"/>
        <v>279.9084915291256</v>
      </c>
      <c r="S105" s="883">
        <f t="shared" si="78"/>
        <v>-10.09680939721617</v>
      </c>
      <c r="T105" s="883">
        <f t="shared" si="78"/>
        <v>404.20984406149717</v>
      </c>
      <c r="U105" s="883">
        <f t="shared" si="78"/>
        <v>0</v>
      </c>
      <c r="V105" s="883">
        <f t="shared" si="78"/>
        <v>-404.20984406149717</v>
      </c>
      <c r="W105" s="883">
        <f t="shared" si="78"/>
        <v>264.2458291689781</v>
      </c>
      <c r="X105" s="883">
        <f t="shared" si="78"/>
        <v>0</v>
      </c>
      <c r="Y105" s="883">
        <f t="shared" si="78"/>
        <v>-264.1769135224607</v>
      </c>
      <c r="Z105" s="883">
        <f t="shared" si="78"/>
        <v>124.30135253237154</v>
      </c>
      <c r="AA105" s="883">
        <f t="shared" si="78"/>
        <v>0</v>
      </c>
      <c r="AB105" s="883">
        <f t="shared" si="78"/>
        <v>-124.30135253237154</v>
      </c>
      <c r="AC105" s="883">
        <f t="shared" si="78"/>
        <v>124.30135253237154</v>
      </c>
      <c r="AD105" s="883">
        <f t="shared" si="78"/>
        <v>0</v>
      </c>
      <c r="AE105" s="883">
        <f t="shared" si="78"/>
        <v>-124.30135253237154</v>
      </c>
      <c r="AF105" s="883">
        <f t="shared" si="78"/>
        <v>264.2458291689781</v>
      </c>
      <c r="AG105" s="883">
        <f t="shared" si="78"/>
        <v>0</v>
      </c>
      <c r="AH105" s="883">
        <f t="shared" si="78"/>
        <v>-264.2458291689781</v>
      </c>
      <c r="AI105" s="883">
        <f t="shared" si="78"/>
        <v>404.20984406149717</v>
      </c>
      <c r="AJ105" s="883">
        <f t="shared" si="78"/>
        <v>279.9084915291256</v>
      </c>
      <c r="AK105" s="883">
        <f t="shared" si="78"/>
        <v>-10.09680939721617</v>
      </c>
      <c r="AL105" s="883">
        <f t="shared" si="78"/>
        <v>404.20984406149717</v>
      </c>
      <c r="AM105" s="883">
        <f t="shared" si="78"/>
        <v>279.9084915291256</v>
      </c>
      <c r="AN105" s="883">
        <f t="shared" si="78"/>
        <v>-10.09680939721617</v>
      </c>
      <c r="AO105" s="883">
        <f t="shared" si="78"/>
        <v>404.20984406149717</v>
      </c>
      <c r="AP105" s="1058">
        <f t="shared" si="63"/>
        <v>0</v>
      </c>
      <c r="AQ105" s="1058">
        <f t="shared" si="63"/>
        <v>0</v>
      </c>
      <c r="AR105" s="1052">
        <f t="shared" si="52"/>
        <v>4010.7731158946767</v>
      </c>
      <c r="AS105" s="883">
        <f t="shared" si="64"/>
        <v>1679.4509491747538</v>
      </c>
      <c r="AT105" s="883">
        <f t="shared" si="64"/>
        <v>-1604.8800687772973</v>
      </c>
      <c r="AU105" s="883">
        <f t="shared" si="53"/>
        <v>1212.6295321844914</v>
      </c>
      <c r="AV105" s="883" t="e">
        <f aca="true" t="shared" si="79" ref="AV105:BI105">AV24+AV44+AV64+AV84</f>
        <v>#N/A</v>
      </c>
      <c r="AW105" s="883" t="e">
        <f t="shared" si="79"/>
        <v>#N/A</v>
      </c>
      <c r="AX105" s="883">
        <f t="shared" si="79"/>
        <v>1072.6655172919723</v>
      </c>
      <c r="AY105" s="883" t="e">
        <f t="shared" si="79"/>
        <v>#N/A</v>
      </c>
      <c r="AZ105" s="883" t="e">
        <f t="shared" si="79"/>
        <v>#N/A</v>
      </c>
      <c r="BA105" s="883">
        <f t="shared" si="79"/>
        <v>512.8485342337211</v>
      </c>
      <c r="BB105" s="883" t="e">
        <f t="shared" si="79"/>
        <v>#N/A</v>
      </c>
      <c r="BC105" s="883" t="e">
        <f t="shared" si="79"/>
        <v>#N/A</v>
      </c>
      <c r="BD105" s="883">
        <f t="shared" si="79"/>
        <v>1212.6295321844914</v>
      </c>
      <c r="BE105" s="883" t="e">
        <f t="shared" si="79"/>
        <v>#N/A</v>
      </c>
      <c r="BF105" s="883" t="e">
        <f t="shared" si="79"/>
        <v>#N/A</v>
      </c>
      <c r="BG105" s="883">
        <f t="shared" si="79"/>
        <v>2285.295049476464</v>
      </c>
      <c r="BH105" s="883">
        <f t="shared" si="79"/>
        <v>1725.4780664182128</v>
      </c>
      <c r="BI105" s="883">
        <f t="shared" si="79"/>
        <v>4010.7731158946767</v>
      </c>
      <c r="BJ105" s="893" t="s">
        <v>1436</v>
      </c>
      <c r="BK105" s="853"/>
      <c r="BL105"/>
    </row>
    <row r="106" spans="1:64" ht="30" customHeight="1">
      <c r="A106" s="2105"/>
      <c r="B106" s="970"/>
      <c r="C106" s="1048" t="s">
        <v>1446</v>
      </c>
      <c r="D106" s="1049" t="s">
        <v>1447</v>
      </c>
      <c r="E106" s="881" t="s">
        <v>1437</v>
      </c>
      <c r="F106" s="881" t="s">
        <v>1428</v>
      </c>
      <c r="G106" s="960" t="s">
        <v>1438</v>
      </c>
      <c r="H106" s="883">
        <f t="shared" si="61"/>
        <v>0</v>
      </c>
      <c r="I106" s="883">
        <f aca="true" t="shared" si="80" ref="I106:AO106">I25+I45+I65+I85</f>
        <v>0</v>
      </c>
      <c r="J106" s="883">
        <f t="shared" si="80"/>
        <v>0</v>
      </c>
      <c r="K106" s="883">
        <f t="shared" si="80"/>
        <v>0</v>
      </c>
      <c r="L106" s="883">
        <f t="shared" si="80"/>
        <v>0</v>
      </c>
      <c r="M106" s="883">
        <f t="shared" si="80"/>
        <v>0</v>
      </c>
      <c r="N106" s="883">
        <f t="shared" si="80"/>
        <v>0</v>
      </c>
      <c r="O106" s="883">
        <f t="shared" si="80"/>
        <v>0</v>
      </c>
      <c r="P106" s="883">
        <f t="shared" si="80"/>
        <v>0</v>
      </c>
      <c r="Q106" s="883">
        <f t="shared" si="80"/>
        <v>0</v>
      </c>
      <c r="R106" s="883">
        <f t="shared" si="80"/>
        <v>0</v>
      </c>
      <c r="S106" s="883">
        <f t="shared" si="80"/>
        <v>0</v>
      </c>
      <c r="T106" s="883">
        <f t="shared" si="80"/>
        <v>0</v>
      </c>
      <c r="U106" s="883">
        <f t="shared" si="80"/>
        <v>0</v>
      </c>
      <c r="V106" s="883">
        <f t="shared" si="80"/>
        <v>0</v>
      </c>
      <c r="W106" s="883">
        <f t="shared" si="80"/>
        <v>0</v>
      </c>
      <c r="X106" s="883">
        <f t="shared" si="80"/>
        <v>0</v>
      </c>
      <c r="Y106" s="883">
        <f t="shared" si="80"/>
        <v>0</v>
      </c>
      <c r="Z106" s="883">
        <f t="shared" si="80"/>
        <v>0</v>
      </c>
      <c r="AA106" s="883">
        <f t="shared" si="80"/>
        <v>0</v>
      </c>
      <c r="AB106" s="883">
        <f t="shared" si="80"/>
        <v>0</v>
      </c>
      <c r="AC106" s="883">
        <f t="shared" si="80"/>
        <v>0</v>
      </c>
      <c r="AD106" s="883">
        <f t="shared" si="80"/>
        <v>0</v>
      </c>
      <c r="AE106" s="883">
        <f t="shared" si="80"/>
        <v>0</v>
      </c>
      <c r="AF106" s="883">
        <f t="shared" si="80"/>
        <v>0</v>
      </c>
      <c r="AG106" s="883">
        <f t="shared" si="80"/>
        <v>0</v>
      </c>
      <c r="AH106" s="883">
        <f t="shared" si="80"/>
        <v>0</v>
      </c>
      <c r="AI106" s="883">
        <f t="shared" si="80"/>
        <v>0</v>
      </c>
      <c r="AJ106" s="883">
        <f t="shared" si="80"/>
        <v>0</v>
      </c>
      <c r="AK106" s="883">
        <f t="shared" si="80"/>
        <v>0</v>
      </c>
      <c r="AL106" s="883">
        <f t="shared" si="80"/>
        <v>0</v>
      </c>
      <c r="AM106" s="883">
        <f t="shared" si="80"/>
        <v>0</v>
      </c>
      <c r="AN106" s="883">
        <f t="shared" si="80"/>
        <v>0</v>
      </c>
      <c r="AO106" s="883">
        <f t="shared" si="80"/>
        <v>0</v>
      </c>
      <c r="AP106" s="883">
        <f t="shared" si="63"/>
        <v>0</v>
      </c>
      <c r="AQ106" s="883">
        <f t="shared" si="63"/>
        <v>0</v>
      </c>
      <c r="AR106" s="1052">
        <f t="shared" si="52"/>
        <v>0</v>
      </c>
      <c r="AS106" s="883">
        <f t="shared" si="64"/>
        <v>0</v>
      </c>
      <c r="AT106" s="883">
        <f t="shared" si="64"/>
        <v>0</v>
      </c>
      <c r="AU106" s="883">
        <f t="shared" si="53"/>
        <v>0</v>
      </c>
      <c r="AV106" s="883" t="e">
        <f aca="true" t="shared" si="81" ref="AV106:BI106">AV25+AV45+AV65+AV85</f>
        <v>#N/A</v>
      </c>
      <c r="AW106" s="883" t="e">
        <f t="shared" si="81"/>
        <v>#N/A</v>
      </c>
      <c r="AX106" s="883">
        <f t="shared" si="81"/>
        <v>0</v>
      </c>
      <c r="AY106" s="883" t="e">
        <f t="shared" si="81"/>
        <v>#N/A</v>
      </c>
      <c r="AZ106" s="883" t="e">
        <f t="shared" si="81"/>
        <v>#N/A</v>
      </c>
      <c r="BA106" s="883">
        <f t="shared" si="81"/>
        <v>0</v>
      </c>
      <c r="BB106" s="883" t="e">
        <f t="shared" si="81"/>
        <v>#N/A</v>
      </c>
      <c r="BC106" s="883" t="e">
        <f t="shared" si="81"/>
        <v>#N/A</v>
      </c>
      <c r="BD106" s="883">
        <f t="shared" si="81"/>
        <v>0</v>
      </c>
      <c r="BE106" s="883" t="e">
        <f t="shared" si="81"/>
        <v>#N/A</v>
      </c>
      <c r="BF106" s="883" t="e">
        <f t="shared" si="81"/>
        <v>#N/A</v>
      </c>
      <c r="BG106" s="883">
        <f t="shared" si="81"/>
        <v>0</v>
      </c>
      <c r="BH106" s="883">
        <f t="shared" si="81"/>
        <v>0</v>
      </c>
      <c r="BI106" s="883">
        <f t="shared" si="81"/>
        <v>0</v>
      </c>
      <c r="BJ106" s="893"/>
      <c r="BK106" s="853"/>
      <c r="BL106"/>
    </row>
    <row r="107" spans="1:64" ht="24" customHeight="1" thickBot="1">
      <c r="A107" s="961" t="s">
        <v>1278</v>
      </c>
      <c r="B107" s="961" t="s">
        <v>1278</v>
      </c>
      <c r="C107" s="961" t="s">
        <v>1278</v>
      </c>
      <c r="D107" s="961" t="s">
        <v>1278</v>
      </c>
      <c r="E107" s="961" t="s">
        <v>1278</v>
      </c>
      <c r="F107" s="961" t="s">
        <v>1278</v>
      </c>
      <c r="G107" s="961" t="s">
        <v>1278</v>
      </c>
      <c r="H107" s="961" t="s">
        <v>1278</v>
      </c>
      <c r="I107" s="961" t="s">
        <v>1278</v>
      </c>
      <c r="J107" s="961" t="s">
        <v>1278</v>
      </c>
      <c r="K107" s="961" t="s">
        <v>1278</v>
      </c>
      <c r="L107" s="961" t="s">
        <v>1278</v>
      </c>
      <c r="M107" s="961" t="s">
        <v>1278</v>
      </c>
      <c r="N107" s="961" t="s">
        <v>1278</v>
      </c>
      <c r="O107" s="961" t="s">
        <v>1278</v>
      </c>
      <c r="P107" s="961" t="s">
        <v>1278</v>
      </c>
      <c r="Q107" s="961" t="s">
        <v>1278</v>
      </c>
      <c r="R107" s="961" t="s">
        <v>1278</v>
      </c>
      <c r="S107" s="961" t="s">
        <v>1278</v>
      </c>
      <c r="T107" s="961" t="s">
        <v>1278</v>
      </c>
      <c r="U107" s="961" t="s">
        <v>1278</v>
      </c>
      <c r="V107" s="961" t="s">
        <v>1278</v>
      </c>
      <c r="W107" s="961" t="s">
        <v>1278</v>
      </c>
      <c r="X107" s="961" t="s">
        <v>1278</v>
      </c>
      <c r="Y107" s="961" t="s">
        <v>1278</v>
      </c>
      <c r="Z107" s="961" t="s">
        <v>1278</v>
      </c>
      <c r="AA107" s="961" t="s">
        <v>1278</v>
      </c>
      <c r="AB107" s="961" t="s">
        <v>1278</v>
      </c>
      <c r="AC107" s="961" t="s">
        <v>1278</v>
      </c>
      <c r="AD107" s="961" t="s">
        <v>1278</v>
      </c>
      <c r="AE107" s="961" t="s">
        <v>1278</v>
      </c>
      <c r="AF107" s="961" t="s">
        <v>1278</v>
      </c>
      <c r="AG107" s="961" t="s">
        <v>1278</v>
      </c>
      <c r="AH107" s="961" t="s">
        <v>1278</v>
      </c>
      <c r="AI107" s="961" t="s">
        <v>1278</v>
      </c>
      <c r="AJ107" s="961" t="s">
        <v>1278</v>
      </c>
      <c r="AK107" s="961" t="s">
        <v>1278</v>
      </c>
      <c r="AL107" s="961" t="s">
        <v>1278</v>
      </c>
      <c r="AM107" s="961" t="s">
        <v>1278</v>
      </c>
      <c r="AN107" s="961" t="s">
        <v>1278</v>
      </c>
      <c r="AO107" s="961" t="s">
        <v>1278</v>
      </c>
      <c r="AP107" s="961" t="s">
        <v>1278</v>
      </c>
      <c r="AQ107" s="961" t="s">
        <v>1278</v>
      </c>
      <c r="AR107" s="963" t="s">
        <v>1278</v>
      </c>
      <c r="AS107" s="963" t="s">
        <v>1278</v>
      </c>
      <c r="AT107" s="961" t="s">
        <v>1278</v>
      </c>
      <c r="AU107" s="961" t="s">
        <v>1278</v>
      </c>
      <c r="AV107" s="961" t="s">
        <v>1278</v>
      </c>
      <c r="AW107" s="961" t="s">
        <v>1278</v>
      </c>
      <c r="AX107" s="961" t="s">
        <v>1278</v>
      </c>
      <c r="AY107" s="961" t="s">
        <v>1278</v>
      </c>
      <c r="AZ107" s="961" t="s">
        <v>1278</v>
      </c>
      <c r="BA107" s="961" t="s">
        <v>1278</v>
      </c>
      <c r="BB107" s="961" t="s">
        <v>1278</v>
      </c>
      <c r="BC107" s="961" t="s">
        <v>1278</v>
      </c>
      <c r="BD107" s="961" t="s">
        <v>1278</v>
      </c>
      <c r="BE107" s="961" t="s">
        <v>1278</v>
      </c>
      <c r="BF107" s="961" t="s">
        <v>1278</v>
      </c>
      <c r="BG107" s="961" t="s">
        <v>1278</v>
      </c>
      <c r="BH107" s="964" t="s">
        <v>1278</v>
      </c>
      <c r="BI107" s="1059" t="s">
        <v>1278</v>
      </c>
      <c r="BJ107" s="1041" t="s">
        <v>1278</v>
      </c>
      <c r="BK107" s="853"/>
      <c r="BL107"/>
    </row>
    <row r="108" spans="1:64" ht="23.25" customHeight="1">
      <c r="A108" s="853"/>
      <c r="B108" s="853"/>
      <c r="C108" s="853"/>
      <c r="D108" s="853"/>
      <c r="E108" s="853"/>
      <c r="F108" s="853"/>
      <c r="G108" s="853"/>
      <c r="H108" s="853"/>
      <c r="I108" s="853"/>
      <c r="J108" s="853"/>
      <c r="K108" s="853"/>
      <c r="L108" s="853"/>
      <c r="M108" s="853"/>
      <c r="N108" s="853"/>
      <c r="O108" s="853"/>
      <c r="P108" s="853"/>
      <c r="Q108" s="853"/>
      <c r="R108" s="853"/>
      <c r="S108" s="853"/>
      <c r="T108" s="853"/>
      <c r="U108" s="853"/>
      <c r="V108" s="853"/>
      <c r="W108" s="853"/>
      <c r="X108" s="853"/>
      <c r="Y108" s="853"/>
      <c r="Z108" s="853"/>
      <c r="AA108" s="853"/>
      <c r="AB108" s="853"/>
      <c r="AC108" s="853"/>
      <c r="AD108" s="853"/>
      <c r="AE108" s="853"/>
      <c r="AF108" s="853"/>
      <c r="AG108" s="853"/>
      <c r="AH108" s="853"/>
      <c r="AI108" s="853"/>
      <c r="AJ108" s="853"/>
      <c r="AK108" s="853"/>
      <c r="AL108" s="853"/>
      <c r="AM108" s="853"/>
      <c r="AN108" s="853"/>
      <c r="AO108" s="853"/>
      <c r="AP108" s="853"/>
      <c r="AQ108" s="853"/>
      <c r="AR108" s="853"/>
      <c r="AS108" s="853"/>
      <c r="AT108" s="853"/>
      <c r="AU108" s="853"/>
      <c r="AV108" s="853"/>
      <c r="AW108" s="853"/>
      <c r="AX108" s="853"/>
      <c r="AY108" s="853"/>
      <c r="AZ108" s="853"/>
      <c r="BA108" s="853"/>
      <c r="BB108" s="853"/>
      <c r="BC108" s="853"/>
      <c r="BD108" s="853"/>
      <c r="BE108" s="853"/>
      <c r="BF108" s="853"/>
      <c r="BG108" s="913"/>
      <c r="BH108" s="913"/>
      <c r="BI108" s="1060"/>
      <c r="BJ108" s="853"/>
      <c r="BK108" s="853"/>
      <c r="BL108"/>
    </row>
    <row r="109" spans="1:64" ht="21.75" customHeight="1">
      <c r="A109" s="853"/>
      <c r="B109" s="853"/>
      <c r="C109" s="853"/>
      <c r="D109" s="853"/>
      <c r="E109" s="853"/>
      <c r="F109" s="853"/>
      <c r="G109" s="853"/>
      <c r="H109" s="853"/>
      <c r="I109" s="853"/>
      <c r="J109" s="853"/>
      <c r="K109" s="853"/>
      <c r="L109" s="853"/>
      <c r="M109" s="853"/>
      <c r="N109" s="853"/>
      <c r="O109" s="853"/>
      <c r="P109" s="853"/>
      <c r="Q109" s="853"/>
      <c r="R109" s="853"/>
      <c r="S109" s="853"/>
      <c r="T109" s="853"/>
      <c r="U109" s="853"/>
      <c r="V109" s="853"/>
      <c r="W109" s="853"/>
      <c r="X109" s="853"/>
      <c r="Y109" s="853"/>
      <c r="Z109" s="853"/>
      <c r="AA109" s="853"/>
      <c r="AB109" s="853"/>
      <c r="AC109" s="853"/>
      <c r="AD109" s="853"/>
      <c r="AE109" s="853"/>
      <c r="AF109" s="853"/>
      <c r="AG109" s="853"/>
      <c r="AH109" s="853"/>
      <c r="AI109" s="853"/>
      <c r="AJ109" s="853"/>
      <c r="AK109" s="853"/>
      <c r="AL109" s="853"/>
      <c r="AM109" s="853"/>
      <c r="AN109" s="853"/>
      <c r="AO109" s="853"/>
      <c r="AP109" s="853"/>
      <c r="AQ109" s="853"/>
      <c r="AR109" s="853"/>
      <c r="AS109" s="853"/>
      <c r="AT109" s="853"/>
      <c r="AU109" s="853"/>
      <c r="AV109" s="853"/>
      <c r="AW109" s="853"/>
      <c r="AX109" s="853"/>
      <c r="AY109" s="853"/>
      <c r="AZ109" s="853"/>
      <c r="BA109" s="853"/>
      <c r="BB109" s="853"/>
      <c r="BC109" s="853"/>
      <c r="BD109" s="853"/>
      <c r="BE109" s="853"/>
      <c r="BF109" s="853"/>
      <c r="BG109" s="847"/>
      <c r="BH109" s="847"/>
      <c r="BI109" s="853"/>
      <c r="BJ109" s="853"/>
      <c r="BK109" s="853"/>
      <c r="BL109"/>
    </row>
    <row r="110" spans="1:64" ht="18.75" customHeight="1">
      <c r="A110" s="1061" t="s">
        <v>1155</v>
      </c>
      <c r="B110" s="853"/>
      <c r="C110" s="853"/>
      <c r="D110" s="853"/>
      <c r="E110" s="853"/>
      <c r="F110" s="853"/>
      <c r="G110" s="853"/>
      <c r="H110" s="853"/>
      <c r="I110" s="853"/>
      <c r="J110" s="853"/>
      <c r="K110" s="853"/>
      <c r="L110" s="853"/>
      <c r="M110" s="853"/>
      <c r="N110" s="853"/>
      <c r="O110" s="853"/>
      <c r="P110" s="853"/>
      <c r="Q110" s="853"/>
      <c r="R110" s="853"/>
      <c r="S110" s="853"/>
      <c r="T110" s="853"/>
      <c r="U110" s="853"/>
      <c r="V110" s="853"/>
      <c r="W110" s="853"/>
      <c r="X110" s="853"/>
      <c r="Y110" s="853"/>
      <c r="Z110" s="853"/>
      <c r="AA110" s="853"/>
      <c r="AB110" s="853"/>
      <c r="AC110" s="853"/>
      <c r="AD110" s="853"/>
      <c r="AE110" s="853"/>
      <c r="AF110" s="853"/>
      <c r="AG110" s="853"/>
      <c r="AH110" s="853"/>
      <c r="AI110" s="853"/>
      <c r="AJ110" s="853"/>
      <c r="AK110" s="853"/>
      <c r="AL110" s="853"/>
      <c r="AM110" s="853"/>
      <c r="AN110" s="853"/>
      <c r="AO110" s="853"/>
      <c r="AP110" s="853"/>
      <c r="AQ110" s="853"/>
      <c r="AR110" s="1062">
        <f>AR105-AR102</f>
        <v>1494.3191777312</v>
      </c>
      <c r="AS110" s="853"/>
      <c r="AT110" s="853"/>
      <c r="AU110" s="853"/>
      <c r="AV110" s="853"/>
      <c r="AW110" s="853"/>
      <c r="AX110" s="853"/>
      <c r="AY110" s="853"/>
      <c r="AZ110" s="853"/>
      <c r="BA110" s="853"/>
      <c r="BB110" s="853"/>
      <c r="BC110" s="853"/>
      <c r="BD110" s="853"/>
      <c r="BE110" s="853"/>
      <c r="BF110" s="853"/>
      <c r="BG110" s="847"/>
      <c r="BH110" s="847"/>
      <c r="BI110" s="853"/>
      <c r="BJ110" s="853"/>
      <c r="BK110" s="853"/>
      <c r="BL110"/>
    </row>
    <row r="111" spans="1:64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ht="16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64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1:64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4" ht="16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4" ht="17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4" ht="16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4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4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1:64" ht="17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64" ht="17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1:64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64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1:64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1:64" ht="20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64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1:64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64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64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64" ht="20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64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64" ht="15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64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64" ht="17.2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1:64" ht="18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1:64" ht="17.2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</row>
    <row r="145" spans="1:64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</row>
    <row r="146" spans="1:64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</row>
    <row r="147" spans="1:64" ht="17.2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</row>
    <row r="148" spans="1:64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</row>
    <row r="149" spans="1:64" ht="16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</row>
    <row r="150" spans="1:64" ht="23.2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</row>
    <row r="151" spans="1:64" ht="13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</row>
    <row r="152" spans="1:64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</row>
    <row r="153" spans="1:64" ht="17.2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</row>
    <row r="154" spans="1:64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</row>
    <row r="155" spans="1:64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1:64" ht="27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</row>
    <row r="157" spans="1:64" ht="24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</row>
    <row r="158" spans="1:64" ht="24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</row>
    <row r="159" spans="1:64" ht="16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</row>
    <row r="160" spans="1:64" ht="20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</row>
    <row r="161" spans="1:64" ht="16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</row>
    <row r="162" spans="1:64" ht="18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</row>
    <row r="163" spans="1:64" ht="18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</row>
    <row r="164" spans="1:64" ht="24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</row>
    <row r="165" spans="1:64" ht="1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</row>
    <row r="166" spans="1:64" ht="16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</row>
    <row r="167" spans="1:64" ht="21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</row>
    <row r="168" spans="1:64" ht="18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</row>
    <row r="169" spans="1:64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</row>
    <row r="170" spans="1:64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1:64" ht="21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</row>
    <row r="172" spans="1:64" ht="23.2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</row>
    <row r="173" spans="1:64" ht="17.2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</row>
    <row r="174" spans="1:64" ht="17.2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</row>
    <row r="175" spans="1:64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</row>
    <row r="176" spans="1:64" ht="16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</row>
    <row r="177" spans="1:64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</row>
    <row r="178" spans="1:64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</row>
    <row r="179" spans="1:64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</row>
    <row r="180" spans="1:64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</row>
    <row r="181" spans="1:64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</row>
    <row r="182" spans="1:67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1063"/>
      <c r="BN182" s="1063"/>
      <c r="BO182" s="1063"/>
    </row>
    <row r="183" spans="1:67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1063"/>
      <c r="BN183" s="1063"/>
      <c r="BO183" s="1063"/>
    </row>
    <row r="184" spans="1:67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1063"/>
      <c r="BN184" s="1063"/>
      <c r="BO184" s="1063"/>
    </row>
    <row r="185" spans="1:67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1063"/>
      <c r="BN185" s="1063"/>
      <c r="BO185" s="1063"/>
    </row>
    <row r="186" spans="1:67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1063"/>
      <c r="BN186" s="1063"/>
      <c r="BO186" s="1063"/>
    </row>
    <row r="187" spans="1:67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1063"/>
      <c r="BN187" s="1063"/>
      <c r="BO187" s="1063"/>
    </row>
    <row r="188" spans="1:256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1063"/>
      <c r="BN188" s="1063"/>
      <c r="BO188" s="1063"/>
      <c r="BP188" s="1064"/>
      <c r="BQ188" s="1064"/>
      <c r="BR188" s="1064"/>
      <c r="BS188" s="1064"/>
      <c r="BT188" s="1064"/>
      <c r="BU188" s="1064"/>
      <c r="BV188" s="1064"/>
      <c r="BW188" s="1064"/>
      <c r="BX188" s="1064"/>
      <c r="BY188" s="1064"/>
      <c r="BZ188" s="1064"/>
      <c r="CA188" s="1064"/>
      <c r="CB188" s="1064"/>
      <c r="CC188" s="1064"/>
      <c r="CD188" s="1064"/>
      <c r="CE188" s="1064"/>
      <c r="CF188" s="1064"/>
      <c r="CG188" s="1064"/>
      <c r="CH188" s="1064"/>
      <c r="CI188" s="1064"/>
      <c r="CJ188" s="1064"/>
      <c r="CK188" s="1064"/>
      <c r="CL188" s="1064"/>
      <c r="CM188" s="1064"/>
      <c r="CN188" s="1064"/>
      <c r="CO188" s="1064"/>
      <c r="CP188" s="1064"/>
      <c r="CQ188" s="1064"/>
      <c r="CR188" s="1064"/>
      <c r="CS188" s="1064"/>
      <c r="CT188" s="1064"/>
      <c r="CU188" s="1064"/>
      <c r="CV188" s="1064"/>
      <c r="CW188" s="1064"/>
      <c r="CX188" s="1064"/>
      <c r="CY188" s="1064"/>
      <c r="CZ188" s="1064"/>
      <c r="DA188" s="1064"/>
      <c r="DB188" s="1064"/>
      <c r="DC188" s="1064"/>
      <c r="DD188" s="1064"/>
      <c r="DE188" s="1064"/>
      <c r="DF188" s="1064"/>
      <c r="DG188" s="1064"/>
      <c r="DH188" s="1064"/>
      <c r="DI188" s="1064"/>
      <c r="DJ188" s="1064"/>
      <c r="DK188" s="1064"/>
      <c r="DL188" s="1064"/>
      <c r="DM188" s="1064"/>
      <c r="DN188" s="1064"/>
      <c r="DO188" s="1064"/>
      <c r="DP188" s="1064"/>
      <c r="DQ188" s="1064"/>
      <c r="DR188" s="1064"/>
      <c r="DS188" s="1064"/>
      <c r="DT188" s="1064"/>
      <c r="DU188" s="1064"/>
      <c r="DV188" s="1064"/>
      <c r="DW188" s="1064"/>
      <c r="DX188" s="1064"/>
      <c r="DY188" s="1064"/>
      <c r="DZ188" s="1064"/>
      <c r="EA188" s="1064"/>
      <c r="EB188" s="1064"/>
      <c r="EC188" s="1064"/>
      <c r="ED188" s="1064"/>
      <c r="EE188" s="1064"/>
      <c r="EF188" s="1064"/>
      <c r="EG188" s="1064"/>
      <c r="EH188" s="1064"/>
      <c r="EI188" s="1064"/>
      <c r="EJ188" s="1064"/>
      <c r="EK188" s="1064"/>
      <c r="EL188" s="1064"/>
      <c r="EM188" s="1064"/>
      <c r="EN188" s="1064"/>
      <c r="EO188" s="1064"/>
      <c r="EP188" s="1064"/>
      <c r="EQ188" s="1064"/>
      <c r="ER188" s="1064"/>
      <c r="ES188" s="1064"/>
      <c r="ET188" s="1064"/>
      <c r="EU188" s="1064"/>
      <c r="EV188" s="1064"/>
      <c r="EW188" s="1064"/>
      <c r="EX188" s="1064"/>
      <c r="EY188" s="1064"/>
      <c r="EZ188" s="1064"/>
      <c r="FA188" s="1064"/>
      <c r="FB188" s="1064"/>
      <c r="FC188" s="1064"/>
      <c r="FD188" s="1064"/>
      <c r="FE188" s="1064"/>
      <c r="FF188" s="1064"/>
      <c r="FG188" s="1064"/>
      <c r="FH188" s="1064"/>
      <c r="FI188" s="1064"/>
      <c r="FJ188" s="1064"/>
      <c r="FK188" s="1064"/>
      <c r="FL188" s="1064"/>
      <c r="FM188" s="1064"/>
      <c r="FN188" s="1064"/>
      <c r="FO188" s="1064"/>
      <c r="FP188" s="1064"/>
      <c r="FQ188" s="1064"/>
      <c r="FR188" s="1064"/>
      <c r="FS188" s="1064"/>
      <c r="FT188" s="1064"/>
      <c r="FU188" s="1064"/>
      <c r="FV188" s="1064"/>
      <c r="FW188" s="1064"/>
      <c r="FX188" s="1064"/>
      <c r="FY188" s="1064"/>
      <c r="FZ188" s="1064"/>
      <c r="GA188" s="1064"/>
      <c r="GB188" s="1064"/>
      <c r="GC188" s="1064"/>
      <c r="GD188" s="1064"/>
      <c r="GE188" s="1064"/>
      <c r="GF188" s="1064"/>
      <c r="GG188" s="1064"/>
      <c r="GH188" s="1064"/>
      <c r="GI188" s="1064"/>
      <c r="GJ188" s="1064"/>
      <c r="GK188" s="1064"/>
      <c r="GL188" s="1064"/>
      <c r="GM188" s="1064"/>
      <c r="GN188" s="1064"/>
      <c r="GO188" s="1064"/>
      <c r="GP188" s="1064"/>
      <c r="GQ188" s="1064"/>
      <c r="GR188" s="1064"/>
      <c r="GS188" s="1064"/>
      <c r="GT188" s="1064"/>
      <c r="GU188" s="1064"/>
      <c r="GV188" s="1064"/>
      <c r="GW188" s="1064"/>
      <c r="GX188" s="1064"/>
      <c r="GY188" s="1064"/>
      <c r="GZ188" s="1064"/>
      <c r="HA188" s="1064"/>
      <c r="HB188" s="1064"/>
      <c r="HC188" s="1064"/>
      <c r="HD188" s="1064"/>
      <c r="HE188" s="1064"/>
      <c r="HF188" s="1064"/>
      <c r="HG188" s="1064"/>
      <c r="HH188" s="1064"/>
      <c r="HI188" s="1064"/>
      <c r="HJ188" s="1064"/>
      <c r="HK188" s="1064"/>
      <c r="HL188" s="1064"/>
      <c r="HM188" s="1064"/>
      <c r="HN188" s="1064"/>
      <c r="HO188" s="1064"/>
      <c r="HP188" s="1064"/>
      <c r="HQ188" s="1064"/>
      <c r="HR188" s="1064"/>
      <c r="HS188" s="1064"/>
      <c r="HT188" s="1064"/>
      <c r="HU188" s="1064"/>
      <c r="HV188" s="1064"/>
      <c r="HW188" s="1064"/>
      <c r="HX188" s="1064"/>
      <c r="HY188" s="1064"/>
      <c r="HZ188" s="1064"/>
      <c r="IA188" s="1064"/>
      <c r="IB188" s="1064"/>
      <c r="IC188" s="1064"/>
      <c r="ID188" s="1064"/>
      <c r="IE188" s="1064"/>
      <c r="IF188" s="1064"/>
      <c r="IG188" s="1064"/>
      <c r="IH188" s="1064"/>
      <c r="II188" s="1064"/>
      <c r="IJ188" s="1064"/>
      <c r="IK188" s="1064"/>
      <c r="IL188" s="1064"/>
      <c r="IM188" s="1064"/>
      <c r="IN188" s="1064"/>
      <c r="IO188" s="1064"/>
      <c r="IP188" s="1064"/>
      <c r="IQ188" s="1064"/>
      <c r="IR188" s="1064"/>
      <c r="IS188" s="1064"/>
      <c r="IT188" s="1064"/>
      <c r="IU188" s="1064"/>
      <c r="IV188" s="1064"/>
    </row>
    <row r="189" spans="1:256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1063"/>
      <c r="BN189" s="1063"/>
      <c r="BO189" s="1063"/>
      <c r="BP189" s="1064"/>
      <c r="BQ189" s="1064"/>
      <c r="BR189" s="1064"/>
      <c r="BS189" s="1064"/>
      <c r="BT189" s="1064"/>
      <c r="BU189" s="1064"/>
      <c r="BV189" s="1064"/>
      <c r="BW189" s="1064"/>
      <c r="BX189" s="1064"/>
      <c r="BY189" s="1064"/>
      <c r="BZ189" s="1064"/>
      <c r="CA189" s="1064"/>
      <c r="CB189" s="1064"/>
      <c r="CC189" s="1064"/>
      <c r="CD189" s="1064"/>
      <c r="CE189" s="1064"/>
      <c r="CF189" s="1064"/>
      <c r="CG189" s="1064"/>
      <c r="CH189" s="1064"/>
      <c r="CI189" s="1064"/>
      <c r="CJ189" s="1064"/>
      <c r="CK189" s="1064"/>
      <c r="CL189" s="1064"/>
      <c r="CM189" s="1064"/>
      <c r="CN189" s="1064"/>
      <c r="CO189" s="1064"/>
      <c r="CP189" s="1064"/>
      <c r="CQ189" s="1064"/>
      <c r="CR189" s="1064"/>
      <c r="CS189" s="1064"/>
      <c r="CT189" s="1064"/>
      <c r="CU189" s="1064"/>
      <c r="CV189" s="1064"/>
      <c r="CW189" s="1064"/>
      <c r="CX189" s="1064"/>
      <c r="CY189" s="1064"/>
      <c r="CZ189" s="1064"/>
      <c r="DA189" s="1064"/>
      <c r="DB189" s="1064"/>
      <c r="DC189" s="1064"/>
      <c r="DD189" s="1064"/>
      <c r="DE189" s="1064"/>
      <c r="DF189" s="1064"/>
      <c r="DG189" s="1064"/>
      <c r="DH189" s="1064"/>
      <c r="DI189" s="1064"/>
      <c r="DJ189" s="1064"/>
      <c r="DK189" s="1064"/>
      <c r="DL189" s="1064"/>
      <c r="DM189" s="1064"/>
      <c r="DN189" s="1064"/>
      <c r="DO189" s="1064"/>
      <c r="DP189" s="1064"/>
      <c r="DQ189" s="1064"/>
      <c r="DR189" s="1064"/>
      <c r="DS189" s="1064"/>
      <c r="DT189" s="1064"/>
      <c r="DU189" s="1064"/>
      <c r="DV189" s="1064"/>
      <c r="DW189" s="1064"/>
      <c r="DX189" s="1064"/>
      <c r="DY189" s="1064"/>
      <c r="DZ189" s="1064"/>
      <c r="EA189" s="1064"/>
      <c r="EB189" s="1064"/>
      <c r="EC189" s="1064"/>
      <c r="ED189" s="1064"/>
      <c r="EE189" s="1064"/>
      <c r="EF189" s="1064"/>
      <c r="EG189" s="1064"/>
      <c r="EH189" s="1064"/>
      <c r="EI189" s="1064"/>
      <c r="EJ189" s="1064"/>
      <c r="EK189" s="1064"/>
      <c r="EL189" s="1064"/>
      <c r="EM189" s="1064"/>
      <c r="EN189" s="1064"/>
      <c r="EO189" s="1064"/>
      <c r="EP189" s="1064"/>
      <c r="EQ189" s="1064"/>
      <c r="ER189" s="1064"/>
      <c r="ES189" s="1064"/>
      <c r="ET189" s="1064"/>
      <c r="EU189" s="1064"/>
      <c r="EV189" s="1064"/>
      <c r="EW189" s="1064"/>
      <c r="EX189" s="1064"/>
      <c r="EY189" s="1064"/>
      <c r="EZ189" s="1064"/>
      <c r="FA189" s="1064"/>
      <c r="FB189" s="1064"/>
      <c r="FC189" s="1064"/>
      <c r="FD189" s="1064"/>
      <c r="FE189" s="1064"/>
      <c r="FF189" s="1064"/>
      <c r="FG189" s="1064"/>
      <c r="FH189" s="1064"/>
      <c r="FI189" s="1064"/>
      <c r="FJ189" s="1064"/>
      <c r="FK189" s="1064"/>
      <c r="FL189" s="1064"/>
      <c r="FM189" s="1064"/>
      <c r="FN189" s="1064"/>
      <c r="FO189" s="1064"/>
      <c r="FP189" s="1064"/>
      <c r="FQ189" s="1064"/>
      <c r="FR189" s="1064"/>
      <c r="FS189" s="1064"/>
      <c r="FT189" s="1064"/>
      <c r="FU189" s="1064"/>
      <c r="FV189" s="1064"/>
      <c r="FW189" s="1064"/>
      <c r="FX189" s="1064"/>
      <c r="FY189" s="1064"/>
      <c r="FZ189" s="1064"/>
      <c r="GA189" s="1064"/>
      <c r="GB189" s="1064"/>
      <c r="GC189" s="1064"/>
      <c r="GD189" s="1064"/>
      <c r="GE189" s="1064"/>
      <c r="GF189" s="1064"/>
      <c r="GG189" s="1064"/>
      <c r="GH189" s="1064"/>
      <c r="GI189" s="1064"/>
      <c r="GJ189" s="1064"/>
      <c r="GK189" s="1064"/>
      <c r="GL189" s="1064"/>
      <c r="GM189" s="1064"/>
      <c r="GN189" s="1064"/>
      <c r="GO189" s="1064"/>
      <c r="GP189" s="1064"/>
      <c r="GQ189" s="1064"/>
      <c r="GR189" s="1064"/>
      <c r="GS189" s="1064"/>
      <c r="GT189" s="1064"/>
      <c r="GU189" s="1064"/>
      <c r="GV189" s="1064"/>
      <c r="GW189" s="1064"/>
      <c r="GX189" s="1064"/>
      <c r="GY189" s="1064"/>
      <c r="GZ189" s="1064"/>
      <c r="HA189" s="1064"/>
      <c r="HB189" s="1064"/>
      <c r="HC189" s="1064"/>
      <c r="HD189" s="1064"/>
      <c r="HE189" s="1064"/>
      <c r="HF189" s="1064"/>
      <c r="HG189" s="1064"/>
      <c r="HH189" s="1064"/>
      <c r="HI189" s="1064"/>
      <c r="HJ189" s="1064"/>
      <c r="HK189" s="1064"/>
      <c r="HL189" s="1064"/>
      <c r="HM189" s="1064"/>
      <c r="HN189" s="1064"/>
      <c r="HO189" s="1064"/>
      <c r="HP189" s="1064"/>
      <c r="HQ189" s="1064"/>
      <c r="HR189" s="1064"/>
      <c r="HS189" s="1064"/>
      <c r="HT189" s="1064"/>
      <c r="HU189" s="1064"/>
      <c r="HV189" s="1064"/>
      <c r="HW189" s="1064"/>
      <c r="HX189" s="1064"/>
      <c r="HY189" s="1064"/>
      <c r="HZ189" s="1064"/>
      <c r="IA189" s="1064"/>
      <c r="IB189" s="1064"/>
      <c r="IC189" s="1064"/>
      <c r="ID189" s="1064"/>
      <c r="IE189" s="1064"/>
      <c r="IF189" s="1064"/>
      <c r="IG189" s="1064"/>
      <c r="IH189" s="1064"/>
      <c r="II189" s="1064"/>
      <c r="IJ189" s="1064"/>
      <c r="IK189" s="1064"/>
      <c r="IL189" s="1064"/>
      <c r="IM189" s="1064"/>
      <c r="IN189" s="1064"/>
      <c r="IO189" s="1064"/>
      <c r="IP189" s="1064"/>
      <c r="IQ189" s="1064"/>
      <c r="IR189" s="1064"/>
      <c r="IS189" s="1064"/>
      <c r="IT189" s="1064"/>
      <c r="IU189" s="1064"/>
      <c r="IV189" s="1064"/>
    </row>
    <row r="190" spans="1:256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1063"/>
      <c r="BN190" s="1063"/>
      <c r="BO190" s="1063"/>
      <c r="BP190" s="1064"/>
      <c r="BQ190" s="1064"/>
      <c r="BR190" s="1064"/>
      <c r="BS190" s="1064"/>
      <c r="BT190" s="1064"/>
      <c r="BU190" s="1064"/>
      <c r="BV190" s="1064"/>
      <c r="BW190" s="1064"/>
      <c r="BX190" s="1064"/>
      <c r="BY190" s="1064"/>
      <c r="BZ190" s="1064"/>
      <c r="CA190" s="1064"/>
      <c r="CB190" s="1064"/>
      <c r="CC190" s="1064"/>
      <c r="CD190" s="1064"/>
      <c r="CE190" s="1064"/>
      <c r="CF190" s="1064"/>
      <c r="CG190" s="1064"/>
      <c r="CH190" s="1064"/>
      <c r="CI190" s="1064"/>
      <c r="CJ190" s="1064"/>
      <c r="CK190" s="1064"/>
      <c r="CL190" s="1064"/>
      <c r="CM190" s="1064"/>
      <c r="CN190" s="1064"/>
      <c r="CO190" s="1064"/>
      <c r="CP190" s="1064"/>
      <c r="CQ190" s="1064"/>
      <c r="CR190" s="1064"/>
      <c r="CS190" s="1064"/>
      <c r="CT190" s="1064"/>
      <c r="CU190" s="1064"/>
      <c r="CV190" s="1064"/>
      <c r="CW190" s="1064"/>
      <c r="CX190" s="1064"/>
      <c r="CY190" s="1064"/>
      <c r="CZ190" s="1064"/>
      <c r="DA190" s="1064"/>
      <c r="DB190" s="1064"/>
      <c r="DC190" s="1064"/>
      <c r="DD190" s="1064"/>
      <c r="DE190" s="1064"/>
      <c r="DF190" s="1064"/>
      <c r="DG190" s="1064"/>
      <c r="DH190" s="1064"/>
      <c r="DI190" s="1064"/>
      <c r="DJ190" s="1064"/>
      <c r="DK190" s="1064"/>
      <c r="DL190" s="1064"/>
      <c r="DM190" s="1064"/>
      <c r="DN190" s="1064"/>
      <c r="DO190" s="1064"/>
      <c r="DP190" s="1064"/>
      <c r="DQ190" s="1064"/>
      <c r="DR190" s="1064"/>
      <c r="DS190" s="1064"/>
      <c r="DT190" s="1064"/>
      <c r="DU190" s="1064"/>
      <c r="DV190" s="1064"/>
      <c r="DW190" s="1064"/>
      <c r="DX190" s="1064"/>
      <c r="DY190" s="1064"/>
      <c r="DZ190" s="1064"/>
      <c r="EA190" s="1064"/>
      <c r="EB190" s="1064"/>
      <c r="EC190" s="1064"/>
      <c r="ED190" s="1064"/>
      <c r="EE190" s="1064"/>
      <c r="EF190" s="1064"/>
      <c r="EG190" s="1064"/>
      <c r="EH190" s="1064"/>
      <c r="EI190" s="1064"/>
      <c r="EJ190" s="1064"/>
      <c r="EK190" s="1064"/>
      <c r="EL190" s="1064"/>
      <c r="EM190" s="1064"/>
      <c r="EN190" s="1064"/>
      <c r="EO190" s="1064"/>
      <c r="EP190" s="1064"/>
      <c r="EQ190" s="1064"/>
      <c r="ER190" s="1064"/>
      <c r="ES190" s="1064"/>
      <c r="ET190" s="1064"/>
      <c r="EU190" s="1064"/>
      <c r="EV190" s="1064"/>
      <c r="EW190" s="1064"/>
      <c r="EX190" s="1064"/>
      <c r="EY190" s="1064"/>
      <c r="EZ190" s="1064"/>
      <c r="FA190" s="1064"/>
      <c r="FB190" s="1064"/>
      <c r="FC190" s="1064"/>
      <c r="FD190" s="1064"/>
      <c r="FE190" s="1064"/>
      <c r="FF190" s="1064"/>
      <c r="FG190" s="1064"/>
      <c r="FH190" s="1064"/>
      <c r="FI190" s="1064"/>
      <c r="FJ190" s="1064"/>
      <c r="FK190" s="1064"/>
      <c r="FL190" s="1064"/>
      <c r="FM190" s="1064"/>
      <c r="FN190" s="1064"/>
      <c r="FO190" s="1064"/>
      <c r="FP190" s="1064"/>
      <c r="FQ190" s="1064"/>
      <c r="FR190" s="1064"/>
      <c r="FS190" s="1064"/>
      <c r="FT190" s="1064"/>
      <c r="FU190" s="1064"/>
      <c r="FV190" s="1064"/>
      <c r="FW190" s="1064"/>
      <c r="FX190" s="1064"/>
      <c r="FY190" s="1064"/>
      <c r="FZ190" s="1064"/>
      <c r="GA190" s="1064"/>
      <c r="GB190" s="1064"/>
      <c r="GC190" s="1064"/>
      <c r="GD190" s="1064"/>
      <c r="GE190" s="1064"/>
      <c r="GF190" s="1064"/>
      <c r="GG190" s="1064"/>
      <c r="GH190" s="1064"/>
      <c r="GI190" s="1064"/>
      <c r="GJ190" s="1064"/>
      <c r="GK190" s="1064"/>
      <c r="GL190" s="1064"/>
      <c r="GM190" s="1064"/>
      <c r="GN190" s="1064"/>
      <c r="GO190" s="1064"/>
      <c r="GP190" s="1064"/>
      <c r="GQ190" s="1064"/>
      <c r="GR190" s="1064"/>
      <c r="GS190" s="1064"/>
      <c r="GT190" s="1064"/>
      <c r="GU190" s="1064"/>
      <c r="GV190" s="1064"/>
      <c r="GW190" s="1064"/>
      <c r="GX190" s="1064"/>
      <c r="GY190" s="1064"/>
      <c r="GZ190" s="1064"/>
      <c r="HA190" s="1064"/>
      <c r="HB190" s="1064"/>
      <c r="HC190" s="1064"/>
      <c r="HD190" s="1064"/>
      <c r="HE190" s="1064"/>
      <c r="HF190" s="1064"/>
      <c r="HG190" s="1064"/>
      <c r="HH190" s="1064"/>
      <c r="HI190" s="1064"/>
      <c r="HJ190" s="1064"/>
      <c r="HK190" s="1064"/>
      <c r="HL190" s="1064"/>
      <c r="HM190" s="1064"/>
      <c r="HN190" s="1064"/>
      <c r="HO190" s="1064"/>
      <c r="HP190" s="1064"/>
      <c r="HQ190" s="1064"/>
      <c r="HR190" s="1064"/>
      <c r="HS190" s="1064"/>
      <c r="HT190" s="1064"/>
      <c r="HU190" s="1064"/>
      <c r="HV190" s="1064"/>
      <c r="HW190" s="1064"/>
      <c r="HX190" s="1064"/>
      <c r="HY190" s="1064"/>
      <c r="HZ190" s="1064"/>
      <c r="IA190" s="1064"/>
      <c r="IB190" s="1064"/>
      <c r="IC190" s="1064"/>
      <c r="ID190" s="1064"/>
      <c r="IE190" s="1064"/>
      <c r="IF190" s="1064"/>
      <c r="IG190" s="1064"/>
      <c r="IH190" s="1064"/>
      <c r="II190" s="1064"/>
      <c r="IJ190" s="1064"/>
      <c r="IK190" s="1064"/>
      <c r="IL190" s="1064"/>
      <c r="IM190" s="1064"/>
      <c r="IN190" s="1064"/>
      <c r="IO190" s="1064"/>
      <c r="IP190" s="1064"/>
      <c r="IQ190" s="1064"/>
      <c r="IR190" s="1064"/>
      <c r="IS190" s="1064"/>
      <c r="IT190" s="1064"/>
      <c r="IU190" s="1064"/>
      <c r="IV190" s="1064"/>
    </row>
    <row r="191" spans="1:256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1063"/>
      <c r="BN191" s="1063"/>
      <c r="BO191" s="1063"/>
      <c r="BP191" s="1065"/>
      <c r="BQ191" s="1065"/>
      <c r="BR191" s="1065"/>
      <c r="BS191" s="1065"/>
      <c r="BT191" s="1065"/>
      <c r="BU191" s="1065"/>
      <c r="BV191" s="1065"/>
      <c r="BW191" s="1065"/>
      <c r="BX191" s="1065"/>
      <c r="BY191" s="1065"/>
      <c r="BZ191" s="1065"/>
      <c r="CA191" s="1065"/>
      <c r="CB191" s="1065"/>
      <c r="CC191" s="1065"/>
      <c r="CD191" s="1065"/>
      <c r="CE191" s="1065"/>
      <c r="CF191" s="1065"/>
      <c r="CG191" s="1065"/>
      <c r="CH191" s="1065"/>
      <c r="CI191" s="1065"/>
      <c r="CJ191" s="1065"/>
      <c r="CK191" s="1065"/>
      <c r="CL191" s="1065"/>
      <c r="CM191" s="1065"/>
      <c r="CN191" s="1065"/>
      <c r="CO191" s="1065"/>
      <c r="CP191" s="1065"/>
      <c r="CQ191" s="1065"/>
      <c r="CR191" s="1065"/>
      <c r="CS191" s="1065"/>
      <c r="CT191" s="1065"/>
      <c r="CU191" s="1065"/>
      <c r="CV191" s="1065"/>
      <c r="CW191" s="1065"/>
      <c r="CX191" s="1065"/>
      <c r="CY191" s="1065"/>
      <c r="CZ191" s="1065"/>
      <c r="DA191" s="1065"/>
      <c r="DB191" s="1065"/>
      <c r="DC191" s="1065"/>
      <c r="DD191" s="1065"/>
      <c r="DE191" s="1065"/>
      <c r="DF191" s="1065"/>
      <c r="DG191" s="1065"/>
      <c r="DH191" s="1065"/>
      <c r="DI191" s="1065"/>
      <c r="DJ191" s="1065"/>
      <c r="DK191" s="1065"/>
      <c r="DL191" s="1065"/>
      <c r="DM191" s="1065"/>
      <c r="DN191" s="1065"/>
      <c r="DO191" s="1065"/>
      <c r="DP191" s="1065"/>
      <c r="DQ191" s="1065"/>
      <c r="DR191" s="1065"/>
      <c r="DS191" s="1065"/>
      <c r="DT191" s="1065"/>
      <c r="DU191" s="1065"/>
      <c r="DV191" s="1065"/>
      <c r="DW191" s="1065"/>
      <c r="DX191" s="1065"/>
      <c r="DY191" s="1065"/>
      <c r="DZ191" s="1065"/>
      <c r="EA191" s="1065"/>
      <c r="EB191" s="1065"/>
      <c r="EC191" s="1065"/>
      <c r="ED191" s="1065"/>
      <c r="EE191" s="1065"/>
      <c r="EF191" s="1065"/>
      <c r="EG191" s="1065"/>
      <c r="EH191" s="1065"/>
      <c r="EI191" s="1065"/>
      <c r="EJ191" s="1065"/>
      <c r="EK191" s="1065"/>
      <c r="EL191" s="1065"/>
      <c r="EM191" s="1065"/>
      <c r="EN191" s="1065"/>
      <c r="EO191" s="1065"/>
      <c r="EP191" s="1065"/>
      <c r="EQ191" s="1065"/>
      <c r="ER191" s="1065"/>
      <c r="ES191" s="1065"/>
      <c r="ET191" s="1065"/>
      <c r="EU191" s="1065"/>
      <c r="EV191" s="1065"/>
      <c r="EW191" s="1065"/>
      <c r="EX191" s="1065"/>
      <c r="EY191" s="1065"/>
      <c r="EZ191" s="1065"/>
      <c r="FA191" s="1065"/>
      <c r="FB191" s="1065"/>
      <c r="FC191" s="1065"/>
      <c r="FD191" s="1065"/>
      <c r="FE191" s="1065"/>
      <c r="FF191" s="1065"/>
      <c r="FG191" s="1065"/>
      <c r="FH191" s="1065"/>
      <c r="FI191" s="1065"/>
      <c r="FJ191" s="1065"/>
      <c r="FK191" s="1065"/>
      <c r="FL191" s="1065"/>
      <c r="FM191" s="1065"/>
      <c r="FN191" s="1065"/>
      <c r="FO191" s="1065"/>
      <c r="FP191" s="1065"/>
      <c r="FQ191" s="1065"/>
      <c r="FR191" s="1065"/>
      <c r="FS191" s="1065"/>
      <c r="FT191" s="1065"/>
      <c r="FU191" s="1065"/>
      <c r="FV191" s="1065"/>
      <c r="FW191" s="1065"/>
      <c r="FX191" s="1065"/>
      <c r="FY191" s="1065"/>
      <c r="FZ191" s="1065"/>
      <c r="GA191" s="1065"/>
      <c r="GB191" s="1065"/>
      <c r="GC191" s="1065"/>
      <c r="GD191" s="1065"/>
      <c r="GE191" s="1065"/>
      <c r="GF191" s="1065"/>
      <c r="GG191" s="1065"/>
      <c r="GH191" s="1065"/>
      <c r="GI191" s="1065"/>
      <c r="GJ191" s="1065"/>
      <c r="GK191" s="1065"/>
      <c r="GL191" s="1065"/>
      <c r="GM191" s="1065"/>
      <c r="GN191" s="1065"/>
      <c r="GO191" s="1065"/>
      <c r="GP191" s="1065"/>
      <c r="GQ191" s="1065"/>
      <c r="GR191" s="1065"/>
      <c r="GS191" s="1065"/>
      <c r="GT191" s="1065"/>
      <c r="GU191" s="1065"/>
      <c r="GV191" s="1065"/>
      <c r="GW191" s="1065"/>
      <c r="GX191" s="1065"/>
      <c r="GY191" s="1065"/>
      <c r="GZ191" s="1065"/>
      <c r="HA191" s="1065"/>
      <c r="HB191" s="1065"/>
      <c r="HC191" s="1065"/>
      <c r="HD191" s="1065"/>
      <c r="HE191" s="1065"/>
      <c r="HF191" s="1065"/>
      <c r="HG191" s="1065"/>
      <c r="HH191" s="1065"/>
      <c r="HI191" s="1065"/>
      <c r="HJ191" s="1065"/>
      <c r="HK191" s="1065"/>
      <c r="HL191" s="1065"/>
      <c r="HM191" s="1065"/>
      <c r="HN191" s="1065"/>
      <c r="HO191" s="1065"/>
      <c r="HP191" s="1065"/>
      <c r="HQ191" s="1065"/>
      <c r="HR191" s="1065"/>
      <c r="HS191" s="1065"/>
      <c r="HT191" s="1065"/>
      <c r="HU191" s="1065"/>
      <c r="HV191" s="1065"/>
      <c r="HW191" s="1065"/>
      <c r="HX191" s="1065"/>
      <c r="HY191" s="1065"/>
      <c r="HZ191" s="1065"/>
      <c r="IA191" s="1065"/>
      <c r="IB191" s="1065"/>
      <c r="IC191" s="1065"/>
      <c r="ID191" s="1065"/>
      <c r="IE191" s="1065"/>
      <c r="IF191" s="1065"/>
      <c r="IG191" s="1065"/>
      <c r="IH191" s="1065"/>
      <c r="II191" s="1065"/>
      <c r="IJ191" s="1065"/>
      <c r="IK191" s="1065"/>
      <c r="IL191" s="1065"/>
      <c r="IM191" s="1065"/>
      <c r="IN191" s="1065"/>
      <c r="IO191" s="1065"/>
      <c r="IP191" s="1065"/>
      <c r="IQ191" s="1065"/>
      <c r="IR191" s="1065"/>
      <c r="IS191" s="1065"/>
      <c r="IT191" s="1065"/>
      <c r="IU191" s="1065"/>
      <c r="IV191" s="1065"/>
    </row>
    <row r="192" spans="1:256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1063"/>
      <c r="BN192" s="1063"/>
      <c r="BO192" s="1063"/>
      <c r="BP192" s="1065"/>
      <c r="BQ192" s="1065"/>
      <c r="BR192" s="1065"/>
      <c r="BS192" s="1065"/>
      <c r="BT192" s="1065"/>
      <c r="BU192" s="1065"/>
      <c r="BV192" s="1065"/>
      <c r="BW192" s="1065"/>
      <c r="BX192" s="1065"/>
      <c r="BY192" s="1065"/>
      <c r="BZ192" s="1065"/>
      <c r="CA192" s="1065"/>
      <c r="CB192" s="1065"/>
      <c r="CC192" s="1065"/>
      <c r="CD192" s="1065"/>
      <c r="CE192" s="1065"/>
      <c r="CF192" s="1065"/>
      <c r="CG192" s="1065"/>
      <c r="CH192" s="1065"/>
      <c r="CI192" s="1065"/>
      <c r="CJ192" s="1065"/>
      <c r="CK192" s="1065"/>
      <c r="CL192" s="1065"/>
      <c r="CM192" s="1065"/>
      <c r="CN192" s="1065"/>
      <c r="CO192" s="1065"/>
      <c r="CP192" s="1065"/>
      <c r="CQ192" s="1065"/>
      <c r="CR192" s="1065"/>
      <c r="CS192" s="1065"/>
      <c r="CT192" s="1065"/>
      <c r="CU192" s="1065"/>
      <c r="CV192" s="1065"/>
      <c r="CW192" s="1065"/>
      <c r="CX192" s="1065"/>
      <c r="CY192" s="1065"/>
      <c r="CZ192" s="1065"/>
      <c r="DA192" s="1065"/>
      <c r="DB192" s="1065"/>
      <c r="DC192" s="1065"/>
      <c r="DD192" s="1065"/>
      <c r="DE192" s="1065"/>
      <c r="DF192" s="1065"/>
      <c r="DG192" s="1065"/>
      <c r="DH192" s="1065"/>
      <c r="DI192" s="1065"/>
      <c r="DJ192" s="1065"/>
      <c r="DK192" s="1065"/>
      <c r="DL192" s="1065"/>
      <c r="DM192" s="1065"/>
      <c r="DN192" s="1065"/>
      <c r="DO192" s="1065"/>
      <c r="DP192" s="1065"/>
      <c r="DQ192" s="1065"/>
      <c r="DR192" s="1065"/>
      <c r="DS192" s="1065"/>
      <c r="DT192" s="1065"/>
      <c r="DU192" s="1065"/>
      <c r="DV192" s="1065"/>
      <c r="DW192" s="1065"/>
      <c r="DX192" s="1065"/>
      <c r="DY192" s="1065"/>
      <c r="DZ192" s="1065"/>
      <c r="EA192" s="1065"/>
      <c r="EB192" s="1065"/>
      <c r="EC192" s="1065"/>
      <c r="ED192" s="1065"/>
      <c r="EE192" s="1065"/>
      <c r="EF192" s="1065"/>
      <c r="EG192" s="1065"/>
      <c r="EH192" s="1065"/>
      <c r="EI192" s="1065"/>
      <c r="EJ192" s="1065"/>
      <c r="EK192" s="1065"/>
      <c r="EL192" s="1065"/>
      <c r="EM192" s="1065"/>
      <c r="EN192" s="1065"/>
      <c r="EO192" s="1065"/>
      <c r="EP192" s="1065"/>
      <c r="EQ192" s="1065"/>
      <c r="ER192" s="1065"/>
      <c r="ES192" s="1065"/>
      <c r="ET192" s="1065"/>
      <c r="EU192" s="1065"/>
      <c r="EV192" s="1065"/>
      <c r="EW192" s="1065"/>
      <c r="EX192" s="1065"/>
      <c r="EY192" s="1065"/>
      <c r="EZ192" s="1065"/>
      <c r="FA192" s="1065"/>
      <c r="FB192" s="1065"/>
      <c r="FC192" s="1065"/>
      <c r="FD192" s="1065"/>
      <c r="FE192" s="1065"/>
      <c r="FF192" s="1065"/>
      <c r="FG192" s="1065"/>
      <c r="FH192" s="1065"/>
      <c r="FI192" s="1065"/>
      <c r="FJ192" s="1065"/>
      <c r="FK192" s="1065"/>
      <c r="FL192" s="1065"/>
      <c r="FM192" s="1065"/>
      <c r="FN192" s="1065"/>
      <c r="FO192" s="1065"/>
      <c r="FP192" s="1065"/>
      <c r="FQ192" s="1065"/>
      <c r="FR192" s="1065"/>
      <c r="FS192" s="1065"/>
      <c r="FT192" s="1065"/>
      <c r="FU192" s="1065"/>
      <c r="FV192" s="1065"/>
      <c r="FW192" s="1065"/>
      <c r="FX192" s="1065"/>
      <c r="FY192" s="1065"/>
      <c r="FZ192" s="1065"/>
      <c r="GA192" s="1065"/>
      <c r="GB192" s="1065"/>
      <c r="GC192" s="1065"/>
      <c r="GD192" s="1065"/>
      <c r="GE192" s="1065"/>
      <c r="GF192" s="1065"/>
      <c r="GG192" s="1065"/>
      <c r="GH192" s="1065"/>
      <c r="GI192" s="1065"/>
      <c r="GJ192" s="1065"/>
      <c r="GK192" s="1065"/>
      <c r="GL192" s="1065"/>
      <c r="GM192" s="1065"/>
      <c r="GN192" s="1065"/>
      <c r="GO192" s="1065"/>
      <c r="GP192" s="1065"/>
      <c r="GQ192" s="1065"/>
      <c r="GR192" s="1065"/>
      <c r="GS192" s="1065"/>
      <c r="GT192" s="1065"/>
      <c r="GU192" s="1065"/>
      <c r="GV192" s="1065"/>
      <c r="GW192" s="1065"/>
      <c r="GX192" s="1065"/>
      <c r="GY192" s="1065"/>
      <c r="GZ192" s="1065"/>
      <c r="HA192" s="1065"/>
      <c r="HB192" s="1065"/>
      <c r="HC192" s="1065"/>
      <c r="HD192" s="1065"/>
      <c r="HE192" s="1065"/>
      <c r="HF192" s="1065"/>
      <c r="HG192" s="1065"/>
      <c r="HH192" s="1065"/>
      <c r="HI192" s="1065"/>
      <c r="HJ192" s="1065"/>
      <c r="HK192" s="1065"/>
      <c r="HL192" s="1065"/>
      <c r="HM192" s="1065"/>
      <c r="HN192" s="1065"/>
      <c r="HO192" s="1065"/>
      <c r="HP192" s="1065"/>
      <c r="HQ192" s="1065"/>
      <c r="HR192" s="1065"/>
      <c r="HS192" s="1065"/>
      <c r="HT192" s="1065"/>
      <c r="HU192" s="1065"/>
      <c r="HV192" s="1065"/>
      <c r="HW192" s="1065"/>
      <c r="HX192" s="1065"/>
      <c r="HY192" s="1065"/>
      <c r="HZ192" s="1065"/>
      <c r="IA192" s="1065"/>
      <c r="IB192" s="1065"/>
      <c r="IC192" s="1065"/>
      <c r="ID192" s="1065"/>
      <c r="IE192" s="1065"/>
      <c r="IF192" s="1065"/>
      <c r="IG192" s="1065"/>
      <c r="IH192" s="1065"/>
      <c r="II192" s="1065"/>
      <c r="IJ192" s="1065"/>
      <c r="IK192" s="1065"/>
      <c r="IL192" s="1065"/>
      <c r="IM192" s="1065"/>
      <c r="IN192" s="1065"/>
      <c r="IO192" s="1065"/>
      <c r="IP192" s="1065"/>
      <c r="IQ192" s="1065"/>
      <c r="IR192" s="1065"/>
      <c r="IS192" s="1065"/>
      <c r="IT192" s="1065"/>
      <c r="IU192" s="1065"/>
      <c r="IV192" s="1065"/>
    </row>
    <row r="193" spans="1:256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1063"/>
      <c r="BN193" s="1063"/>
      <c r="BO193" s="1063"/>
      <c r="BP193" s="1064"/>
      <c r="BQ193" s="1064"/>
      <c r="BR193" s="1064"/>
      <c r="BS193" s="1064"/>
      <c r="BT193" s="1064"/>
      <c r="BU193" s="1064"/>
      <c r="BV193" s="1064"/>
      <c r="BW193" s="1064"/>
      <c r="BX193" s="1064"/>
      <c r="BY193" s="1064"/>
      <c r="BZ193" s="1064"/>
      <c r="CA193" s="1064"/>
      <c r="CB193" s="1064"/>
      <c r="CC193" s="1064"/>
      <c r="CD193" s="1064"/>
      <c r="CE193" s="1064"/>
      <c r="CF193" s="1064"/>
      <c r="CG193" s="1064"/>
      <c r="CH193" s="1064"/>
      <c r="CI193" s="1064"/>
      <c r="CJ193" s="1064"/>
      <c r="CK193" s="1064"/>
      <c r="CL193" s="1064"/>
      <c r="CM193" s="1064"/>
      <c r="CN193" s="1064"/>
      <c r="CO193" s="1064"/>
      <c r="CP193" s="1064"/>
      <c r="CQ193" s="1064"/>
      <c r="CR193" s="1064"/>
      <c r="CS193" s="1064"/>
      <c r="CT193" s="1064"/>
      <c r="CU193" s="1064"/>
      <c r="CV193" s="1064"/>
      <c r="CW193" s="1064"/>
      <c r="CX193" s="1064"/>
      <c r="CY193" s="1064"/>
      <c r="CZ193" s="1064"/>
      <c r="DA193" s="1064"/>
      <c r="DB193" s="1064"/>
      <c r="DC193" s="1064"/>
      <c r="DD193" s="1064"/>
      <c r="DE193" s="1064"/>
      <c r="DF193" s="1064"/>
      <c r="DG193" s="1064"/>
      <c r="DH193" s="1064"/>
      <c r="DI193" s="1064"/>
      <c r="DJ193" s="1064"/>
      <c r="DK193" s="1064"/>
      <c r="DL193" s="1064"/>
      <c r="DM193" s="1064"/>
      <c r="DN193" s="1064"/>
      <c r="DO193" s="1064"/>
      <c r="DP193" s="1064"/>
      <c r="DQ193" s="1064"/>
      <c r="DR193" s="1064"/>
      <c r="DS193" s="1064"/>
      <c r="DT193" s="1064"/>
      <c r="DU193" s="1064"/>
      <c r="DV193" s="1064"/>
      <c r="DW193" s="1064"/>
      <c r="DX193" s="1064"/>
      <c r="DY193" s="1064"/>
      <c r="DZ193" s="1064"/>
      <c r="EA193" s="1064"/>
      <c r="EB193" s="1064"/>
      <c r="EC193" s="1064"/>
      <c r="ED193" s="1064"/>
      <c r="EE193" s="1064"/>
      <c r="EF193" s="1064"/>
      <c r="EG193" s="1064"/>
      <c r="EH193" s="1064"/>
      <c r="EI193" s="1064"/>
      <c r="EJ193" s="1064"/>
      <c r="EK193" s="1064"/>
      <c r="EL193" s="1064"/>
      <c r="EM193" s="1064"/>
      <c r="EN193" s="1064"/>
      <c r="EO193" s="1064"/>
      <c r="EP193" s="1064"/>
      <c r="EQ193" s="1064"/>
      <c r="ER193" s="1064"/>
      <c r="ES193" s="1064"/>
      <c r="ET193" s="1064"/>
      <c r="EU193" s="1064"/>
      <c r="EV193" s="1064"/>
      <c r="EW193" s="1064"/>
      <c r="EX193" s="1064"/>
      <c r="EY193" s="1064"/>
      <c r="EZ193" s="1064"/>
      <c r="FA193" s="1064"/>
      <c r="FB193" s="1064"/>
      <c r="FC193" s="1064"/>
      <c r="FD193" s="1064"/>
      <c r="FE193" s="1064"/>
      <c r="FF193" s="1064"/>
      <c r="FG193" s="1064"/>
      <c r="FH193" s="1064"/>
      <c r="FI193" s="1064"/>
      <c r="FJ193" s="1064"/>
      <c r="FK193" s="1064"/>
      <c r="FL193" s="1064"/>
      <c r="FM193" s="1064"/>
      <c r="FN193" s="1064"/>
      <c r="FO193" s="1064"/>
      <c r="FP193" s="1064"/>
      <c r="FQ193" s="1064"/>
      <c r="FR193" s="1064"/>
      <c r="FS193" s="1064"/>
      <c r="FT193" s="1064"/>
      <c r="FU193" s="1064"/>
      <c r="FV193" s="1064"/>
      <c r="FW193" s="1064"/>
      <c r="FX193" s="1064"/>
      <c r="FY193" s="1064"/>
      <c r="FZ193" s="1064"/>
      <c r="GA193" s="1064"/>
      <c r="GB193" s="1064"/>
      <c r="GC193" s="1064"/>
      <c r="GD193" s="1064"/>
      <c r="GE193" s="1064"/>
      <c r="GF193" s="1064"/>
      <c r="GG193" s="1064"/>
      <c r="GH193" s="1064"/>
      <c r="GI193" s="1064"/>
      <c r="GJ193" s="1064"/>
      <c r="GK193" s="1064"/>
      <c r="GL193" s="1064"/>
      <c r="GM193" s="1064"/>
      <c r="GN193" s="1064"/>
      <c r="GO193" s="1064"/>
      <c r="GP193" s="1064"/>
      <c r="GQ193" s="1064"/>
      <c r="GR193" s="1064"/>
      <c r="GS193" s="1064"/>
      <c r="GT193" s="1064"/>
      <c r="GU193" s="1064"/>
      <c r="GV193" s="1064"/>
      <c r="GW193" s="1064"/>
      <c r="GX193" s="1064"/>
      <c r="GY193" s="1064"/>
      <c r="GZ193" s="1064"/>
      <c r="HA193" s="1064"/>
      <c r="HB193" s="1064"/>
      <c r="HC193" s="1064"/>
      <c r="HD193" s="1064"/>
      <c r="HE193" s="1064"/>
      <c r="HF193" s="1064"/>
      <c r="HG193" s="1064"/>
      <c r="HH193" s="1064"/>
      <c r="HI193" s="1064"/>
      <c r="HJ193" s="1064"/>
      <c r="HK193" s="1064"/>
      <c r="HL193" s="1064"/>
      <c r="HM193" s="1064"/>
      <c r="HN193" s="1064"/>
      <c r="HO193" s="1064"/>
      <c r="HP193" s="1064"/>
      <c r="HQ193" s="1064"/>
      <c r="HR193" s="1064"/>
      <c r="HS193" s="1064"/>
      <c r="HT193" s="1064"/>
      <c r="HU193" s="1064"/>
      <c r="HV193" s="1064"/>
      <c r="HW193" s="1064"/>
      <c r="HX193" s="1064"/>
      <c r="HY193" s="1064"/>
      <c r="HZ193" s="1064"/>
      <c r="IA193" s="1064"/>
      <c r="IB193" s="1064"/>
      <c r="IC193" s="1064"/>
      <c r="ID193" s="1064"/>
      <c r="IE193" s="1064"/>
      <c r="IF193" s="1064"/>
      <c r="IG193" s="1064"/>
      <c r="IH193" s="1064"/>
      <c r="II193" s="1064"/>
      <c r="IJ193" s="1064"/>
      <c r="IK193" s="1064"/>
      <c r="IL193" s="1064"/>
      <c r="IM193" s="1064"/>
      <c r="IN193" s="1064"/>
      <c r="IO193" s="1064"/>
      <c r="IP193" s="1064"/>
      <c r="IQ193" s="1064"/>
      <c r="IR193" s="1064"/>
      <c r="IS193" s="1064"/>
      <c r="IT193" s="1064"/>
      <c r="IU193" s="1064"/>
      <c r="IV193" s="1064"/>
    </row>
    <row r="194" spans="1:256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1063"/>
      <c r="BN194" s="1063"/>
      <c r="BO194" s="1063"/>
      <c r="BP194" s="1064"/>
      <c r="BQ194" s="1064"/>
      <c r="BR194" s="1064"/>
      <c r="BS194" s="1064"/>
      <c r="BT194" s="1064"/>
      <c r="BU194" s="1064"/>
      <c r="BV194" s="1064"/>
      <c r="BW194" s="1064"/>
      <c r="BX194" s="1064"/>
      <c r="BY194" s="1064"/>
      <c r="BZ194" s="1064"/>
      <c r="CA194" s="1064"/>
      <c r="CB194" s="1064"/>
      <c r="CC194" s="1064"/>
      <c r="CD194" s="1064"/>
      <c r="CE194" s="1064"/>
      <c r="CF194" s="1064"/>
      <c r="CG194" s="1064"/>
      <c r="CH194" s="1064"/>
      <c r="CI194" s="1064"/>
      <c r="CJ194" s="1064"/>
      <c r="CK194" s="1064"/>
      <c r="CL194" s="1064"/>
      <c r="CM194" s="1064"/>
      <c r="CN194" s="1064"/>
      <c r="CO194" s="1064"/>
      <c r="CP194" s="1064"/>
      <c r="CQ194" s="1064"/>
      <c r="CR194" s="1064"/>
      <c r="CS194" s="1064"/>
      <c r="CT194" s="1064"/>
      <c r="CU194" s="1064"/>
      <c r="CV194" s="1064"/>
      <c r="CW194" s="1064"/>
      <c r="CX194" s="1064"/>
      <c r="CY194" s="1064"/>
      <c r="CZ194" s="1064"/>
      <c r="DA194" s="1064"/>
      <c r="DB194" s="1064"/>
      <c r="DC194" s="1064"/>
      <c r="DD194" s="1064"/>
      <c r="DE194" s="1064"/>
      <c r="DF194" s="1064"/>
      <c r="DG194" s="1064"/>
      <c r="DH194" s="1064"/>
      <c r="DI194" s="1064"/>
      <c r="DJ194" s="1064"/>
      <c r="DK194" s="1064"/>
      <c r="DL194" s="1064"/>
      <c r="DM194" s="1064"/>
      <c r="DN194" s="1064"/>
      <c r="DO194" s="1064"/>
      <c r="DP194" s="1064"/>
      <c r="DQ194" s="1064"/>
      <c r="DR194" s="1064"/>
      <c r="DS194" s="1064"/>
      <c r="DT194" s="1064"/>
      <c r="DU194" s="1064"/>
      <c r="DV194" s="1064"/>
      <c r="DW194" s="1064"/>
      <c r="DX194" s="1064"/>
      <c r="DY194" s="1064"/>
      <c r="DZ194" s="1064"/>
      <c r="EA194" s="1064"/>
      <c r="EB194" s="1064"/>
      <c r="EC194" s="1064"/>
      <c r="ED194" s="1064"/>
      <c r="EE194" s="1064"/>
      <c r="EF194" s="1064"/>
      <c r="EG194" s="1064"/>
      <c r="EH194" s="1064"/>
      <c r="EI194" s="1064"/>
      <c r="EJ194" s="1064"/>
      <c r="EK194" s="1064"/>
      <c r="EL194" s="1064"/>
      <c r="EM194" s="1064"/>
      <c r="EN194" s="1064"/>
      <c r="EO194" s="1064"/>
      <c r="EP194" s="1064"/>
      <c r="EQ194" s="1064"/>
      <c r="ER194" s="1064"/>
      <c r="ES194" s="1064"/>
      <c r="ET194" s="1064"/>
      <c r="EU194" s="1064"/>
      <c r="EV194" s="1064"/>
      <c r="EW194" s="1064"/>
      <c r="EX194" s="1064"/>
      <c r="EY194" s="1064"/>
      <c r="EZ194" s="1064"/>
      <c r="FA194" s="1064"/>
      <c r="FB194" s="1064"/>
      <c r="FC194" s="1064"/>
      <c r="FD194" s="1064"/>
      <c r="FE194" s="1064"/>
      <c r="FF194" s="1064"/>
      <c r="FG194" s="1064"/>
      <c r="FH194" s="1064"/>
      <c r="FI194" s="1064"/>
      <c r="FJ194" s="1064"/>
      <c r="FK194" s="1064"/>
      <c r="FL194" s="1064"/>
      <c r="FM194" s="1064"/>
      <c r="FN194" s="1064"/>
      <c r="FO194" s="1064"/>
      <c r="FP194" s="1064"/>
      <c r="FQ194" s="1064"/>
      <c r="FR194" s="1064"/>
      <c r="FS194" s="1064"/>
      <c r="FT194" s="1064"/>
      <c r="FU194" s="1064"/>
      <c r="FV194" s="1064"/>
      <c r="FW194" s="1064"/>
      <c r="FX194" s="1064"/>
      <c r="FY194" s="1064"/>
      <c r="FZ194" s="1064"/>
      <c r="GA194" s="1064"/>
      <c r="GB194" s="1064"/>
      <c r="GC194" s="1064"/>
      <c r="GD194" s="1064"/>
      <c r="GE194" s="1064"/>
      <c r="GF194" s="1064"/>
      <c r="GG194" s="1064"/>
      <c r="GH194" s="1064"/>
      <c r="GI194" s="1064"/>
      <c r="GJ194" s="1064"/>
      <c r="GK194" s="1064"/>
      <c r="GL194" s="1064"/>
      <c r="GM194" s="1064"/>
      <c r="GN194" s="1064"/>
      <c r="GO194" s="1064"/>
      <c r="GP194" s="1064"/>
      <c r="GQ194" s="1064"/>
      <c r="GR194" s="1064"/>
      <c r="GS194" s="1064"/>
      <c r="GT194" s="1064"/>
      <c r="GU194" s="1064"/>
      <c r="GV194" s="1064"/>
      <c r="GW194" s="1064"/>
      <c r="GX194" s="1064"/>
      <c r="GY194" s="1064"/>
      <c r="GZ194" s="1064"/>
      <c r="HA194" s="1064"/>
      <c r="HB194" s="1064"/>
      <c r="HC194" s="1064"/>
      <c r="HD194" s="1064"/>
      <c r="HE194" s="1064"/>
      <c r="HF194" s="1064"/>
      <c r="HG194" s="1064"/>
      <c r="HH194" s="1064"/>
      <c r="HI194" s="1064"/>
      <c r="HJ194" s="1064"/>
      <c r="HK194" s="1064"/>
      <c r="HL194" s="1064"/>
      <c r="HM194" s="1064"/>
      <c r="HN194" s="1064"/>
      <c r="HO194" s="1064"/>
      <c r="HP194" s="1064"/>
      <c r="HQ194" s="1064"/>
      <c r="HR194" s="1064"/>
      <c r="HS194" s="1064"/>
      <c r="HT194" s="1064"/>
      <c r="HU194" s="1064"/>
      <c r="HV194" s="1064"/>
      <c r="HW194" s="1064"/>
      <c r="HX194" s="1064"/>
      <c r="HY194" s="1064"/>
      <c r="HZ194" s="1064"/>
      <c r="IA194" s="1064"/>
      <c r="IB194" s="1064"/>
      <c r="IC194" s="1064"/>
      <c r="ID194" s="1064"/>
      <c r="IE194" s="1064"/>
      <c r="IF194" s="1064"/>
      <c r="IG194" s="1064"/>
      <c r="IH194" s="1064"/>
      <c r="II194" s="1064"/>
      <c r="IJ194" s="1064"/>
      <c r="IK194" s="1064"/>
      <c r="IL194" s="1064"/>
      <c r="IM194" s="1064"/>
      <c r="IN194" s="1064"/>
      <c r="IO194" s="1064"/>
      <c r="IP194" s="1064"/>
      <c r="IQ194" s="1064"/>
      <c r="IR194" s="1064"/>
      <c r="IS194" s="1064"/>
      <c r="IT194" s="1064"/>
      <c r="IU194" s="1064"/>
      <c r="IV194" s="1064"/>
    </row>
    <row r="195" spans="1:256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1066"/>
      <c r="BN195" s="1066"/>
      <c r="BO195" s="1066"/>
      <c r="BP195" s="1067"/>
      <c r="BQ195" s="1067"/>
      <c r="BR195" s="1067"/>
      <c r="BS195" s="1067"/>
      <c r="BT195" s="1067"/>
      <c r="BU195" s="1067"/>
      <c r="BV195" s="1067"/>
      <c r="BW195" s="1067"/>
      <c r="BX195" s="1067"/>
      <c r="BY195" s="1067"/>
      <c r="BZ195" s="1067"/>
      <c r="CA195" s="1067"/>
      <c r="CB195" s="1067"/>
      <c r="CC195" s="1067"/>
      <c r="CD195" s="1067"/>
      <c r="CE195" s="1067"/>
      <c r="CF195" s="1067"/>
      <c r="CG195" s="1067"/>
      <c r="CH195" s="1067"/>
      <c r="CI195" s="1067"/>
      <c r="CJ195" s="1067"/>
      <c r="CK195" s="1067"/>
      <c r="CL195" s="1067"/>
      <c r="CM195" s="1067"/>
      <c r="CN195" s="1067"/>
      <c r="CO195" s="1067"/>
      <c r="CP195" s="1067"/>
      <c r="CQ195" s="1067"/>
      <c r="CR195" s="1067"/>
      <c r="CS195" s="1067"/>
      <c r="CT195" s="1067"/>
      <c r="CU195" s="1067"/>
      <c r="CV195" s="1067"/>
      <c r="CW195" s="1067"/>
      <c r="CX195" s="1067"/>
      <c r="CY195" s="1067"/>
      <c r="CZ195" s="1067"/>
      <c r="DA195" s="1067"/>
      <c r="DB195" s="1067"/>
      <c r="DC195" s="1067"/>
      <c r="DD195" s="1067"/>
      <c r="DE195" s="1067"/>
      <c r="DF195" s="1067"/>
      <c r="DG195" s="1067"/>
      <c r="DH195" s="1067"/>
      <c r="DI195" s="1067"/>
      <c r="DJ195" s="1067"/>
      <c r="DK195" s="1067"/>
      <c r="DL195" s="1067"/>
      <c r="DM195" s="1067"/>
      <c r="DN195" s="1067"/>
      <c r="DO195" s="1067"/>
      <c r="DP195" s="1067"/>
      <c r="DQ195" s="1067"/>
      <c r="DR195" s="1067"/>
      <c r="DS195" s="1067"/>
      <c r="DT195" s="1067"/>
      <c r="DU195" s="1067"/>
      <c r="DV195" s="1067"/>
      <c r="DW195" s="1067"/>
      <c r="DX195" s="1067"/>
      <c r="DY195" s="1067"/>
      <c r="DZ195" s="1067"/>
      <c r="EA195" s="1067"/>
      <c r="EB195" s="1067"/>
      <c r="EC195" s="1067"/>
      <c r="ED195" s="1067"/>
      <c r="EE195" s="1067"/>
      <c r="EF195" s="1067"/>
      <c r="EG195" s="1067"/>
      <c r="EH195" s="1067"/>
      <c r="EI195" s="1067"/>
      <c r="EJ195" s="1067"/>
      <c r="EK195" s="1067"/>
      <c r="EL195" s="1067"/>
      <c r="EM195" s="1067"/>
      <c r="EN195" s="1067"/>
      <c r="EO195" s="1067"/>
      <c r="EP195" s="1067"/>
      <c r="EQ195" s="1067"/>
      <c r="ER195" s="1067"/>
      <c r="ES195" s="1067"/>
      <c r="ET195" s="1067"/>
      <c r="EU195" s="1067"/>
      <c r="EV195" s="1067"/>
      <c r="EW195" s="1067"/>
      <c r="EX195" s="1067"/>
      <c r="EY195" s="1067"/>
      <c r="EZ195" s="1067"/>
      <c r="FA195" s="1067"/>
      <c r="FB195" s="1067"/>
      <c r="FC195" s="1067"/>
      <c r="FD195" s="1067"/>
      <c r="FE195" s="1067"/>
      <c r="FF195" s="1067"/>
      <c r="FG195" s="1067"/>
      <c r="FH195" s="1067"/>
      <c r="FI195" s="1067"/>
      <c r="FJ195" s="1067"/>
      <c r="FK195" s="1067"/>
      <c r="FL195" s="1067"/>
      <c r="FM195" s="1067"/>
      <c r="FN195" s="1067"/>
      <c r="FO195" s="1067"/>
      <c r="FP195" s="1067"/>
      <c r="FQ195" s="1067"/>
      <c r="FR195" s="1067"/>
      <c r="FS195" s="1067"/>
      <c r="FT195" s="1067"/>
      <c r="FU195" s="1067"/>
      <c r="FV195" s="1067"/>
      <c r="FW195" s="1067"/>
      <c r="FX195" s="1067"/>
      <c r="FY195" s="1067"/>
      <c r="FZ195" s="1067"/>
      <c r="GA195" s="1067"/>
      <c r="GB195" s="1067"/>
      <c r="GC195" s="1067"/>
      <c r="GD195" s="1067"/>
      <c r="GE195" s="1067"/>
      <c r="GF195" s="1067"/>
      <c r="GG195" s="1067"/>
      <c r="GH195" s="1067"/>
      <c r="GI195" s="1067"/>
      <c r="GJ195" s="1067"/>
      <c r="GK195" s="1067"/>
      <c r="GL195" s="1067"/>
      <c r="GM195" s="1067"/>
      <c r="GN195" s="1067"/>
      <c r="GO195" s="1067"/>
      <c r="GP195" s="1067"/>
      <c r="GQ195" s="1067"/>
      <c r="GR195" s="1067"/>
      <c r="GS195" s="1067"/>
      <c r="GT195" s="1067"/>
      <c r="GU195" s="1067"/>
      <c r="GV195" s="1067"/>
      <c r="GW195" s="1067"/>
      <c r="GX195" s="1067"/>
      <c r="GY195" s="1067"/>
      <c r="GZ195" s="1067"/>
      <c r="HA195" s="1067"/>
      <c r="HB195" s="1067"/>
      <c r="HC195" s="1067"/>
      <c r="HD195" s="1067"/>
      <c r="HE195" s="1067"/>
      <c r="HF195" s="1067"/>
      <c r="HG195" s="1067"/>
      <c r="HH195" s="1067"/>
      <c r="HI195" s="1067"/>
      <c r="HJ195" s="1067"/>
      <c r="HK195" s="1067"/>
      <c r="HL195" s="1067"/>
      <c r="HM195" s="1067"/>
      <c r="HN195" s="1067"/>
      <c r="HO195" s="1067"/>
      <c r="HP195" s="1067"/>
      <c r="HQ195" s="1067"/>
      <c r="HR195" s="1067"/>
      <c r="HS195" s="1067"/>
      <c r="HT195" s="1067"/>
      <c r="HU195" s="1067"/>
      <c r="HV195" s="1067"/>
      <c r="HW195" s="1067"/>
      <c r="HX195" s="1067"/>
      <c r="HY195" s="1067"/>
      <c r="HZ195" s="1067"/>
      <c r="IA195" s="1067"/>
      <c r="IB195" s="1067"/>
      <c r="IC195" s="1067"/>
      <c r="ID195" s="1067"/>
      <c r="IE195" s="1067"/>
      <c r="IF195" s="1067"/>
      <c r="IG195" s="1067"/>
      <c r="IH195" s="1067"/>
      <c r="II195" s="1067"/>
      <c r="IJ195" s="1067"/>
      <c r="IK195" s="1067"/>
      <c r="IL195" s="1067"/>
      <c r="IM195" s="1067"/>
      <c r="IN195" s="1067"/>
      <c r="IO195" s="1067"/>
      <c r="IP195" s="1067"/>
      <c r="IQ195" s="1067"/>
      <c r="IR195" s="1067"/>
      <c r="IS195" s="1067"/>
      <c r="IT195" s="1067"/>
      <c r="IU195" s="1067"/>
      <c r="IV195" s="1067"/>
    </row>
    <row r="196" spans="1:256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1066"/>
      <c r="BN196" s="1066"/>
      <c r="BO196" s="1066"/>
      <c r="BP196" s="1067"/>
      <c r="BQ196" s="1067"/>
      <c r="BR196" s="1067"/>
      <c r="BS196" s="1067"/>
      <c r="BT196" s="1067"/>
      <c r="BU196" s="1067"/>
      <c r="BV196" s="1067"/>
      <c r="BW196" s="1067"/>
      <c r="BX196" s="1067"/>
      <c r="BY196" s="1067"/>
      <c r="BZ196" s="1067"/>
      <c r="CA196" s="1067"/>
      <c r="CB196" s="1067"/>
      <c r="CC196" s="1067"/>
      <c r="CD196" s="1067"/>
      <c r="CE196" s="1067"/>
      <c r="CF196" s="1067"/>
      <c r="CG196" s="1067"/>
      <c r="CH196" s="1067"/>
      <c r="CI196" s="1067"/>
      <c r="CJ196" s="1067"/>
      <c r="CK196" s="1067"/>
      <c r="CL196" s="1067"/>
      <c r="CM196" s="1067"/>
      <c r="CN196" s="1067"/>
      <c r="CO196" s="1067"/>
      <c r="CP196" s="1067"/>
      <c r="CQ196" s="1067"/>
      <c r="CR196" s="1067"/>
      <c r="CS196" s="1067"/>
      <c r="CT196" s="1067"/>
      <c r="CU196" s="1067"/>
      <c r="CV196" s="1067"/>
      <c r="CW196" s="1067"/>
      <c r="CX196" s="1067"/>
      <c r="CY196" s="1067"/>
      <c r="CZ196" s="1067"/>
      <c r="DA196" s="1067"/>
      <c r="DB196" s="1067"/>
      <c r="DC196" s="1067"/>
      <c r="DD196" s="1067"/>
      <c r="DE196" s="1067"/>
      <c r="DF196" s="1067"/>
      <c r="DG196" s="1067"/>
      <c r="DH196" s="1067"/>
      <c r="DI196" s="1067"/>
      <c r="DJ196" s="1067"/>
      <c r="DK196" s="1067"/>
      <c r="DL196" s="1067"/>
      <c r="DM196" s="1067"/>
      <c r="DN196" s="1067"/>
      <c r="DO196" s="1067"/>
      <c r="DP196" s="1067"/>
      <c r="DQ196" s="1067"/>
      <c r="DR196" s="1067"/>
      <c r="DS196" s="1067"/>
      <c r="DT196" s="1067"/>
      <c r="DU196" s="1067"/>
      <c r="DV196" s="1067"/>
      <c r="DW196" s="1067"/>
      <c r="DX196" s="1067"/>
      <c r="DY196" s="1067"/>
      <c r="DZ196" s="1067"/>
      <c r="EA196" s="1067"/>
      <c r="EB196" s="1067"/>
      <c r="EC196" s="1067"/>
      <c r="ED196" s="1067"/>
      <c r="EE196" s="1067"/>
      <c r="EF196" s="1067"/>
      <c r="EG196" s="1067"/>
      <c r="EH196" s="1067"/>
      <c r="EI196" s="1067"/>
      <c r="EJ196" s="1067"/>
      <c r="EK196" s="1067"/>
      <c r="EL196" s="1067"/>
      <c r="EM196" s="1067"/>
      <c r="EN196" s="1067"/>
      <c r="EO196" s="1067"/>
      <c r="EP196" s="1067"/>
      <c r="EQ196" s="1067"/>
      <c r="ER196" s="1067"/>
      <c r="ES196" s="1067"/>
      <c r="ET196" s="1067"/>
      <c r="EU196" s="1067"/>
      <c r="EV196" s="1067"/>
      <c r="EW196" s="1067"/>
      <c r="EX196" s="1067"/>
      <c r="EY196" s="1067"/>
      <c r="EZ196" s="1067"/>
      <c r="FA196" s="1067"/>
      <c r="FB196" s="1067"/>
      <c r="FC196" s="1067"/>
      <c r="FD196" s="1067"/>
      <c r="FE196" s="1067"/>
      <c r="FF196" s="1067"/>
      <c r="FG196" s="1067"/>
      <c r="FH196" s="1067"/>
      <c r="FI196" s="1067"/>
      <c r="FJ196" s="1067"/>
      <c r="FK196" s="1067"/>
      <c r="FL196" s="1067"/>
      <c r="FM196" s="1067"/>
      <c r="FN196" s="1067"/>
      <c r="FO196" s="1067"/>
      <c r="FP196" s="1067"/>
      <c r="FQ196" s="1067"/>
      <c r="FR196" s="1067"/>
      <c r="FS196" s="1067"/>
      <c r="FT196" s="1067"/>
      <c r="FU196" s="1067"/>
      <c r="FV196" s="1067"/>
      <c r="FW196" s="1067"/>
      <c r="FX196" s="1067"/>
      <c r="FY196" s="1067"/>
      <c r="FZ196" s="1067"/>
      <c r="GA196" s="1067"/>
      <c r="GB196" s="1067"/>
      <c r="GC196" s="1067"/>
      <c r="GD196" s="1067"/>
      <c r="GE196" s="1067"/>
      <c r="GF196" s="1067"/>
      <c r="GG196" s="1067"/>
      <c r="GH196" s="1067"/>
      <c r="GI196" s="1067"/>
      <c r="GJ196" s="1067"/>
      <c r="GK196" s="1067"/>
      <c r="GL196" s="1067"/>
      <c r="GM196" s="1067"/>
      <c r="GN196" s="1067"/>
      <c r="GO196" s="1067"/>
      <c r="GP196" s="1067"/>
      <c r="GQ196" s="1067"/>
      <c r="GR196" s="1067"/>
      <c r="GS196" s="1067"/>
      <c r="GT196" s="1067"/>
      <c r="GU196" s="1067"/>
      <c r="GV196" s="1067"/>
      <c r="GW196" s="1067"/>
      <c r="GX196" s="1067"/>
      <c r="GY196" s="1067"/>
      <c r="GZ196" s="1067"/>
      <c r="HA196" s="1067"/>
      <c r="HB196" s="1067"/>
      <c r="HC196" s="1067"/>
      <c r="HD196" s="1067"/>
      <c r="HE196" s="1067"/>
      <c r="HF196" s="1067"/>
      <c r="HG196" s="1067"/>
      <c r="HH196" s="1067"/>
      <c r="HI196" s="1067"/>
      <c r="HJ196" s="1067"/>
      <c r="HK196" s="1067"/>
      <c r="HL196" s="1067"/>
      <c r="HM196" s="1067"/>
      <c r="HN196" s="1067"/>
      <c r="HO196" s="1067"/>
      <c r="HP196" s="1067"/>
      <c r="HQ196" s="1067"/>
      <c r="HR196" s="1067"/>
      <c r="HS196" s="1067"/>
      <c r="HT196" s="1067"/>
      <c r="HU196" s="1067"/>
      <c r="HV196" s="1067"/>
      <c r="HW196" s="1067"/>
      <c r="HX196" s="1067"/>
      <c r="HY196" s="1067"/>
      <c r="HZ196" s="1067"/>
      <c r="IA196" s="1067"/>
      <c r="IB196" s="1067"/>
      <c r="IC196" s="1067"/>
      <c r="ID196" s="1067"/>
      <c r="IE196" s="1067"/>
      <c r="IF196" s="1067"/>
      <c r="IG196" s="1067"/>
      <c r="IH196" s="1067"/>
      <c r="II196" s="1067"/>
      <c r="IJ196" s="1067"/>
      <c r="IK196" s="1067"/>
      <c r="IL196" s="1067"/>
      <c r="IM196" s="1067"/>
      <c r="IN196" s="1067"/>
      <c r="IO196" s="1067"/>
      <c r="IP196" s="1067"/>
      <c r="IQ196" s="1067"/>
      <c r="IR196" s="1067"/>
      <c r="IS196" s="1067"/>
      <c r="IT196" s="1067"/>
      <c r="IU196" s="1067"/>
      <c r="IV196" s="1067"/>
    </row>
    <row r="197" spans="1:256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1066"/>
      <c r="BN197" s="1066"/>
      <c r="BO197" s="1066"/>
      <c r="BP197" s="1067"/>
      <c r="BQ197" s="1067"/>
      <c r="BR197" s="1067"/>
      <c r="BS197" s="1067"/>
      <c r="BT197" s="1067"/>
      <c r="BU197" s="1067"/>
      <c r="BV197" s="1067"/>
      <c r="BW197" s="1067"/>
      <c r="BX197" s="1067"/>
      <c r="BY197" s="1067"/>
      <c r="BZ197" s="1067"/>
      <c r="CA197" s="1067"/>
      <c r="CB197" s="1067"/>
      <c r="CC197" s="1067"/>
      <c r="CD197" s="1067"/>
      <c r="CE197" s="1067"/>
      <c r="CF197" s="1067"/>
      <c r="CG197" s="1067"/>
      <c r="CH197" s="1067"/>
      <c r="CI197" s="1067"/>
      <c r="CJ197" s="1067"/>
      <c r="CK197" s="1067"/>
      <c r="CL197" s="1067"/>
      <c r="CM197" s="1067"/>
      <c r="CN197" s="1067"/>
      <c r="CO197" s="1067"/>
      <c r="CP197" s="1067"/>
      <c r="CQ197" s="1067"/>
      <c r="CR197" s="1067"/>
      <c r="CS197" s="1067"/>
      <c r="CT197" s="1067"/>
      <c r="CU197" s="1067"/>
      <c r="CV197" s="1067"/>
      <c r="CW197" s="1067"/>
      <c r="CX197" s="1067"/>
      <c r="CY197" s="1067"/>
      <c r="CZ197" s="1067"/>
      <c r="DA197" s="1067"/>
      <c r="DB197" s="1067"/>
      <c r="DC197" s="1067"/>
      <c r="DD197" s="1067"/>
      <c r="DE197" s="1067"/>
      <c r="DF197" s="1067"/>
      <c r="DG197" s="1067"/>
      <c r="DH197" s="1067"/>
      <c r="DI197" s="1067"/>
      <c r="DJ197" s="1067"/>
      <c r="DK197" s="1067"/>
      <c r="DL197" s="1067"/>
      <c r="DM197" s="1067"/>
      <c r="DN197" s="1067"/>
      <c r="DO197" s="1067"/>
      <c r="DP197" s="1067"/>
      <c r="DQ197" s="1067"/>
      <c r="DR197" s="1067"/>
      <c r="DS197" s="1067"/>
      <c r="DT197" s="1067"/>
      <c r="DU197" s="1067"/>
      <c r="DV197" s="1067"/>
      <c r="DW197" s="1067"/>
      <c r="DX197" s="1067"/>
      <c r="DY197" s="1067"/>
      <c r="DZ197" s="1067"/>
      <c r="EA197" s="1067"/>
      <c r="EB197" s="1067"/>
      <c r="EC197" s="1067"/>
      <c r="ED197" s="1067"/>
      <c r="EE197" s="1067"/>
      <c r="EF197" s="1067"/>
      <c r="EG197" s="1067"/>
      <c r="EH197" s="1067"/>
      <c r="EI197" s="1067"/>
      <c r="EJ197" s="1067"/>
      <c r="EK197" s="1067"/>
      <c r="EL197" s="1067"/>
      <c r="EM197" s="1067"/>
      <c r="EN197" s="1067"/>
      <c r="EO197" s="1067"/>
      <c r="EP197" s="1067"/>
      <c r="EQ197" s="1067"/>
      <c r="ER197" s="1067"/>
      <c r="ES197" s="1067"/>
      <c r="ET197" s="1067"/>
      <c r="EU197" s="1067"/>
      <c r="EV197" s="1067"/>
      <c r="EW197" s="1067"/>
      <c r="EX197" s="1067"/>
      <c r="EY197" s="1067"/>
      <c r="EZ197" s="1067"/>
      <c r="FA197" s="1067"/>
      <c r="FB197" s="1067"/>
      <c r="FC197" s="1067"/>
      <c r="FD197" s="1067"/>
      <c r="FE197" s="1067"/>
      <c r="FF197" s="1067"/>
      <c r="FG197" s="1067"/>
      <c r="FH197" s="1067"/>
      <c r="FI197" s="1067"/>
      <c r="FJ197" s="1067"/>
      <c r="FK197" s="1067"/>
      <c r="FL197" s="1067"/>
      <c r="FM197" s="1067"/>
      <c r="FN197" s="1067"/>
      <c r="FO197" s="1067"/>
      <c r="FP197" s="1067"/>
      <c r="FQ197" s="1067"/>
      <c r="FR197" s="1067"/>
      <c r="FS197" s="1067"/>
      <c r="FT197" s="1067"/>
      <c r="FU197" s="1067"/>
      <c r="FV197" s="1067"/>
      <c r="FW197" s="1067"/>
      <c r="FX197" s="1067"/>
      <c r="FY197" s="1067"/>
      <c r="FZ197" s="1067"/>
      <c r="GA197" s="1067"/>
      <c r="GB197" s="1067"/>
      <c r="GC197" s="1067"/>
      <c r="GD197" s="1067"/>
      <c r="GE197" s="1067"/>
      <c r="GF197" s="1067"/>
      <c r="GG197" s="1067"/>
      <c r="GH197" s="1067"/>
      <c r="GI197" s="1067"/>
      <c r="GJ197" s="1067"/>
      <c r="GK197" s="1067"/>
      <c r="GL197" s="1067"/>
      <c r="GM197" s="1067"/>
      <c r="GN197" s="1067"/>
      <c r="GO197" s="1067"/>
      <c r="GP197" s="1067"/>
      <c r="GQ197" s="1067"/>
      <c r="GR197" s="1067"/>
      <c r="GS197" s="1067"/>
      <c r="GT197" s="1067"/>
      <c r="GU197" s="1067"/>
      <c r="GV197" s="1067"/>
      <c r="GW197" s="1067"/>
      <c r="GX197" s="1067"/>
      <c r="GY197" s="1067"/>
      <c r="GZ197" s="1067"/>
      <c r="HA197" s="1067"/>
      <c r="HB197" s="1067"/>
      <c r="HC197" s="1067"/>
      <c r="HD197" s="1067"/>
      <c r="HE197" s="1067"/>
      <c r="HF197" s="1067"/>
      <c r="HG197" s="1067"/>
      <c r="HH197" s="1067"/>
      <c r="HI197" s="1067"/>
      <c r="HJ197" s="1067"/>
      <c r="HK197" s="1067"/>
      <c r="HL197" s="1067"/>
      <c r="HM197" s="1067"/>
      <c r="HN197" s="1067"/>
      <c r="HO197" s="1067"/>
      <c r="HP197" s="1067"/>
      <c r="HQ197" s="1067"/>
      <c r="HR197" s="1067"/>
      <c r="HS197" s="1067"/>
      <c r="HT197" s="1067"/>
      <c r="HU197" s="1067"/>
      <c r="HV197" s="1067"/>
      <c r="HW197" s="1067"/>
      <c r="HX197" s="1067"/>
      <c r="HY197" s="1067"/>
      <c r="HZ197" s="1067"/>
      <c r="IA197" s="1067"/>
      <c r="IB197" s="1067"/>
      <c r="IC197" s="1067"/>
      <c r="ID197" s="1067"/>
      <c r="IE197" s="1067"/>
      <c r="IF197" s="1067"/>
      <c r="IG197" s="1067"/>
      <c r="IH197" s="1067"/>
      <c r="II197" s="1067"/>
      <c r="IJ197" s="1067"/>
      <c r="IK197" s="1067"/>
      <c r="IL197" s="1067"/>
      <c r="IM197" s="1067"/>
      <c r="IN197" s="1067"/>
      <c r="IO197" s="1067"/>
      <c r="IP197" s="1067"/>
      <c r="IQ197" s="1067"/>
      <c r="IR197" s="1067"/>
      <c r="IS197" s="1067"/>
      <c r="IT197" s="1067"/>
      <c r="IU197" s="1067"/>
      <c r="IV197" s="1067"/>
    </row>
    <row r="198" spans="1:256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1066"/>
      <c r="BN198" s="1066"/>
      <c r="BO198" s="1066"/>
      <c r="BP198" s="1067"/>
      <c r="BQ198" s="1067"/>
      <c r="BR198" s="1067"/>
      <c r="BS198" s="1067"/>
      <c r="BT198" s="1067"/>
      <c r="BU198" s="1067"/>
      <c r="BV198" s="1067"/>
      <c r="BW198" s="1067"/>
      <c r="BX198" s="1067"/>
      <c r="BY198" s="1067"/>
      <c r="BZ198" s="1067"/>
      <c r="CA198" s="1067"/>
      <c r="CB198" s="1067"/>
      <c r="CC198" s="1067"/>
      <c r="CD198" s="1067"/>
      <c r="CE198" s="1067"/>
      <c r="CF198" s="1067"/>
      <c r="CG198" s="1067"/>
      <c r="CH198" s="1067"/>
      <c r="CI198" s="1067"/>
      <c r="CJ198" s="1067"/>
      <c r="CK198" s="1067"/>
      <c r="CL198" s="1067"/>
      <c r="CM198" s="1067"/>
      <c r="CN198" s="1067"/>
      <c r="CO198" s="1067"/>
      <c r="CP198" s="1067"/>
      <c r="CQ198" s="1067"/>
      <c r="CR198" s="1067"/>
      <c r="CS198" s="1067"/>
      <c r="CT198" s="1067"/>
      <c r="CU198" s="1067"/>
      <c r="CV198" s="1067"/>
      <c r="CW198" s="1067"/>
      <c r="CX198" s="1067"/>
      <c r="CY198" s="1067"/>
      <c r="CZ198" s="1067"/>
      <c r="DA198" s="1067"/>
      <c r="DB198" s="1067"/>
      <c r="DC198" s="1067"/>
      <c r="DD198" s="1067"/>
      <c r="DE198" s="1067"/>
      <c r="DF198" s="1067"/>
      <c r="DG198" s="1067"/>
      <c r="DH198" s="1067"/>
      <c r="DI198" s="1067"/>
      <c r="DJ198" s="1067"/>
      <c r="DK198" s="1067"/>
      <c r="DL198" s="1067"/>
      <c r="DM198" s="1067"/>
      <c r="DN198" s="1067"/>
      <c r="DO198" s="1067"/>
      <c r="DP198" s="1067"/>
      <c r="DQ198" s="1067"/>
      <c r="DR198" s="1067"/>
      <c r="DS198" s="1067"/>
      <c r="DT198" s="1067"/>
      <c r="DU198" s="1067"/>
      <c r="DV198" s="1067"/>
      <c r="DW198" s="1067"/>
      <c r="DX198" s="1067"/>
      <c r="DY198" s="1067"/>
      <c r="DZ198" s="1067"/>
      <c r="EA198" s="1067"/>
      <c r="EB198" s="1067"/>
      <c r="EC198" s="1067"/>
      <c r="ED198" s="1067"/>
      <c r="EE198" s="1067"/>
      <c r="EF198" s="1067"/>
      <c r="EG198" s="1067"/>
      <c r="EH198" s="1067"/>
      <c r="EI198" s="1067"/>
      <c r="EJ198" s="1067"/>
      <c r="EK198" s="1067"/>
      <c r="EL198" s="1067"/>
      <c r="EM198" s="1067"/>
      <c r="EN198" s="1067"/>
      <c r="EO198" s="1067"/>
      <c r="EP198" s="1067"/>
      <c r="EQ198" s="1067"/>
      <c r="ER198" s="1067"/>
      <c r="ES198" s="1067"/>
      <c r="ET198" s="1067"/>
      <c r="EU198" s="1067"/>
      <c r="EV198" s="1067"/>
      <c r="EW198" s="1067"/>
      <c r="EX198" s="1067"/>
      <c r="EY198" s="1067"/>
      <c r="EZ198" s="1067"/>
      <c r="FA198" s="1067"/>
      <c r="FB198" s="1067"/>
      <c r="FC198" s="1067"/>
      <c r="FD198" s="1067"/>
      <c r="FE198" s="1067"/>
      <c r="FF198" s="1067"/>
      <c r="FG198" s="1067"/>
      <c r="FH198" s="1067"/>
      <c r="FI198" s="1067"/>
      <c r="FJ198" s="1067"/>
      <c r="FK198" s="1067"/>
      <c r="FL198" s="1067"/>
      <c r="FM198" s="1067"/>
      <c r="FN198" s="1067"/>
      <c r="FO198" s="1067"/>
      <c r="FP198" s="1067"/>
      <c r="FQ198" s="1067"/>
      <c r="FR198" s="1067"/>
      <c r="FS198" s="1067"/>
      <c r="FT198" s="1067"/>
      <c r="FU198" s="1067"/>
      <c r="FV198" s="1067"/>
      <c r="FW198" s="1067"/>
      <c r="FX198" s="1067"/>
      <c r="FY198" s="1067"/>
      <c r="FZ198" s="1067"/>
      <c r="GA198" s="1067"/>
      <c r="GB198" s="1067"/>
      <c r="GC198" s="1067"/>
      <c r="GD198" s="1067"/>
      <c r="GE198" s="1067"/>
      <c r="GF198" s="1067"/>
      <c r="GG198" s="1067"/>
      <c r="GH198" s="1067"/>
      <c r="GI198" s="1067"/>
      <c r="GJ198" s="1067"/>
      <c r="GK198" s="1067"/>
      <c r="GL198" s="1067"/>
      <c r="GM198" s="1067"/>
      <c r="GN198" s="1067"/>
      <c r="GO198" s="1067"/>
      <c r="GP198" s="1067"/>
      <c r="GQ198" s="1067"/>
      <c r="GR198" s="1067"/>
      <c r="GS198" s="1067"/>
      <c r="GT198" s="1067"/>
      <c r="GU198" s="1067"/>
      <c r="GV198" s="1067"/>
      <c r="GW198" s="1067"/>
      <c r="GX198" s="1067"/>
      <c r="GY198" s="1067"/>
      <c r="GZ198" s="1067"/>
      <c r="HA198" s="1067"/>
      <c r="HB198" s="1067"/>
      <c r="HC198" s="1067"/>
      <c r="HD198" s="1067"/>
      <c r="HE198" s="1067"/>
      <c r="HF198" s="1067"/>
      <c r="HG198" s="1067"/>
      <c r="HH198" s="1067"/>
      <c r="HI198" s="1067"/>
      <c r="HJ198" s="1067"/>
      <c r="HK198" s="1067"/>
      <c r="HL198" s="1067"/>
      <c r="HM198" s="1067"/>
      <c r="HN198" s="1067"/>
      <c r="HO198" s="1067"/>
      <c r="HP198" s="1067"/>
      <c r="HQ198" s="1067"/>
      <c r="HR198" s="1067"/>
      <c r="HS198" s="1067"/>
      <c r="HT198" s="1067"/>
      <c r="HU198" s="1067"/>
      <c r="HV198" s="1067"/>
      <c r="HW198" s="1067"/>
      <c r="HX198" s="1067"/>
      <c r="HY198" s="1067"/>
      <c r="HZ198" s="1067"/>
      <c r="IA198" s="1067"/>
      <c r="IB198" s="1067"/>
      <c r="IC198" s="1067"/>
      <c r="ID198" s="1067"/>
      <c r="IE198" s="1067"/>
      <c r="IF198" s="1067"/>
      <c r="IG198" s="1067"/>
      <c r="IH198" s="1067"/>
      <c r="II198" s="1067"/>
      <c r="IJ198" s="1067"/>
      <c r="IK198" s="1067"/>
      <c r="IL198" s="1067"/>
      <c r="IM198" s="1067"/>
      <c r="IN198" s="1067"/>
      <c r="IO198" s="1067"/>
      <c r="IP198" s="1067"/>
      <c r="IQ198" s="1067"/>
      <c r="IR198" s="1067"/>
      <c r="IS198" s="1067"/>
      <c r="IT198" s="1067"/>
      <c r="IU198" s="1067"/>
      <c r="IV198" s="1067"/>
    </row>
    <row r="199" spans="1:256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1066"/>
      <c r="BN199" s="1066"/>
      <c r="BO199" s="1066"/>
      <c r="BP199" s="1067"/>
      <c r="BQ199" s="1067"/>
      <c r="BR199" s="1067"/>
      <c r="BS199" s="1067"/>
      <c r="BT199" s="1067"/>
      <c r="BU199" s="1067"/>
      <c r="BV199" s="1067"/>
      <c r="BW199" s="1067"/>
      <c r="BX199" s="1067"/>
      <c r="BY199" s="1067"/>
      <c r="BZ199" s="1067"/>
      <c r="CA199" s="1067"/>
      <c r="CB199" s="1067"/>
      <c r="CC199" s="1067"/>
      <c r="CD199" s="1067"/>
      <c r="CE199" s="1067"/>
      <c r="CF199" s="1067"/>
      <c r="CG199" s="1067"/>
      <c r="CH199" s="1067"/>
      <c r="CI199" s="1067"/>
      <c r="CJ199" s="1067"/>
      <c r="CK199" s="1067"/>
      <c r="CL199" s="1067"/>
      <c r="CM199" s="1067"/>
      <c r="CN199" s="1067"/>
      <c r="CO199" s="1067"/>
      <c r="CP199" s="1067"/>
      <c r="CQ199" s="1067"/>
      <c r="CR199" s="1067"/>
      <c r="CS199" s="1067"/>
      <c r="CT199" s="1067"/>
      <c r="CU199" s="1067"/>
      <c r="CV199" s="1067"/>
      <c r="CW199" s="1067"/>
      <c r="CX199" s="1067"/>
      <c r="CY199" s="1067"/>
      <c r="CZ199" s="1067"/>
      <c r="DA199" s="1067"/>
      <c r="DB199" s="1067"/>
      <c r="DC199" s="1067"/>
      <c r="DD199" s="1067"/>
      <c r="DE199" s="1067"/>
      <c r="DF199" s="1067"/>
      <c r="DG199" s="1067"/>
      <c r="DH199" s="1067"/>
      <c r="DI199" s="1067"/>
      <c r="DJ199" s="1067"/>
      <c r="DK199" s="1067"/>
      <c r="DL199" s="1067"/>
      <c r="DM199" s="1067"/>
      <c r="DN199" s="1067"/>
      <c r="DO199" s="1067"/>
      <c r="DP199" s="1067"/>
      <c r="DQ199" s="1067"/>
      <c r="DR199" s="1067"/>
      <c r="DS199" s="1067"/>
      <c r="DT199" s="1067"/>
      <c r="DU199" s="1067"/>
      <c r="DV199" s="1067"/>
      <c r="DW199" s="1067"/>
      <c r="DX199" s="1067"/>
      <c r="DY199" s="1067"/>
      <c r="DZ199" s="1067"/>
      <c r="EA199" s="1067"/>
      <c r="EB199" s="1067"/>
      <c r="EC199" s="1067"/>
      <c r="ED199" s="1067"/>
      <c r="EE199" s="1067"/>
      <c r="EF199" s="1067"/>
      <c r="EG199" s="1067"/>
      <c r="EH199" s="1067"/>
      <c r="EI199" s="1067"/>
      <c r="EJ199" s="1067"/>
      <c r="EK199" s="1067"/>
      <c r="EL199" s="1067"/>
      <c r="EM199" s="1067"/>
      <c r="EN199" s="1067"/>
      <c r="EO199" s="1067"/>
      <c r="EP199" s="1067"/>
      <c r="EQ199" s="1067"/>
      <c r="ER199" s="1067"/>
      <c r="ES199" s="1067"/>
      <c r="ET199" s="1067"/>
      <c r="EU199" s="1067"/>
      <c r="EV199" s="1067"/>
      <c r="EW199" s="1067"/>
      <c r="EX199" s="1067"/>
      <c r="EY199" s="1067"/>
      <c r="EZ199" s="1067"/>
      <c r="FA199" s="1067"/>
      <c r="FB199" s="1067"/>
      <c r="FC199" s="1067"/>
      <c r="FD199" s="1067"/>
      <c r="FE199" s="1067"/>
      <c r="FF199" s="1067"/>
      <c r="FG199" s="1067"/>
      <c r="FH199" s="1067"/>
      <c r="FI199" s="1067"/>
      <c r="FJ199" s="1067"/>
      <c r="FK199" s="1067"/>
      <c r="FL199" s="1067"/>
      <c r="FM199" s="1067"/>
      <c r="FN199" s="1067"/>
      <c r="FO199" s="1067"/>
      <c r="FP199" s="1067"/>
      <c r="FQ199" s="1067"/>
      <c r="FR199" s="1067"/>
      <c r="FS199" s="1067"/>
      <c r="FT199" s="1067"/>
      <c r="FU199" s="1067"/>
      <c r="FV199" s="1067"/>
      <c r="FW199" s="1067"/>
      <c r="FX199" s="1067"/>
      <c r="FY199" s="1067"/>
      <c r="FZ199" s="1067"/>
      <c r="GA199" s="1067"/>
      <c r="GB199" s="1067"/>
      <c r="GC199" s="1067"/>
      <c r="GD199" s="1067"/>
      <c r="GE199" s="1067"/>
      <c r="GF199" s="1067"/>
      <c r="GG199" s="1067"/>
      <c r="GH199" s="1067"/>
      <c r="GI199" s="1067"/>
      <c r="GJ199" s="1067"/>
      <c r="GK199" s="1067"/>
      <c r="GL199" s="1067"/>
      <c r="GM199" s="1067"/>
      <c r="GN199" s="1067"/>
      <c r="GO199" s="1067"/>
      <c r="GP199" s="1067"/>
      <c r="GQ199" s="1067"/>
      <c r="GR199" s="1067"/>
      <c r="GS199" s="1067"/>
      <c r="GT199" s="1067"/>
      <c r="GU199" s="1067"/>
      <c r="GV199" s="1067"/>
      <c r="GW199" s="1067"/>
      <c r="GX199" s="1067"/>
      <c r="GY199" s="1067"/>
      <c r="GZ199" s="1067"/>
      <c r="HA199" s="1067"/>
      <c r="HB199" s="1067"/>
      <c r="HC199" s="1067"/>
      <c r="HD199" s="1067"/>
      <c r="HE199" s="1067"/>
      <c r="HF199" s="1067"/>
      <c r="HG199" s="1067"/>
      <c r="HH199" s="1067"/>
      <c r="HI199" s="1067"/>
      <c r="HJ199" s="1067"/>
      <c r="HK199" s="1067"/>
      <c r="HL199" s="1067"/>
      <c r="HM199" s="1067"/>
      <c r="HN199" s="1067"/>
      <c r="HO199" s="1067"/>
      <c r="HP199" s="1067"/>
      <c r="HQ199" s="1067"/>
      <c r="HR199" s="1067"/>
      <c r="HS199" s="1067"/>
      <c r="HT199" s="1067"/>
      <c r="HU199" s="1067"/>
      <c r="HV199" s="1067"/>
      <c r="HW199" s="1067"/>
      <c r="HX199" s="1067"/>
      <c r="HY199" s="1067"/>
      <c r="HZ199" s="1067"/>
      <c r="IA199" s="1067"/>
      <c r="IB199" s="1067"/>
      <c r="IC199" s="1067"/>
      <c r="ID199" s="1067"/>
      <c r="IE199" s="1067"/>
      <c r="IF199" s="1067"/>
      <c r="IG199" s="1067"/>
      <c r="IH199" s="1067"/>
      <c r="II199" s="1067"/>
      <c r="IJ199" s="1067"/>
      <c r="IK199" s="1067"/>
      <c r="IL199" s="1067"/>
      <c r="IM199" s="1067"/>
      <c r="IN199" s="1067"/>
      <c r="IO199" s="1067"/>
      <c r="IP199" s="1067"/>
      <c r="IQ199" s="1067"/>
      <c r="IR199" s="1067"/>
      <c r="IS199" s="1067"/>
      <c r="IT199" s="1067"/>
      <c r="IU199" s="1067"/>
      <c r="IV199" s="1067"/>
    </row>
    <row r="200" spans="1:256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1066"/>
      <c r="BN200" s="1066"/>
      <c r="BO200" s="1066"/>
      <c r="BP200" s="1067"/>
      <c r="BQ200" s="1067"/>
      <c r="BR200" s="1067"/>
      <c r="BS200" s="1067"/>
      <c r="BT200" s="1067"/>
      <c r="BU200" s="1067"/>
      <c r="BV200" s="1067"/>
      <c r="BW200" s="1067"/>
      <c r="BX200" s="1067"/>
      <c r="BY200" s="1067"/>
      <c r="BZ200" s="1067"/>
      <c r="CA200" s="1067"/>
      <c r="CB200" s="1067"/>
      <c r="CC200" s="1067"/>
      <c r="CD200" s="1067"/>
      <c r="CE200" s="1067"/>
      <c r="CF200" s="1067"/>
      <c r="CG200" s="1067"/>
      <c r="CH200" s="1067"/>
      <c r="CI200" s="1067"/>
      <c r="CJ200" s="1067"/>
      <c r="CK200" s="1067"/>
      <c r="CL200" s="1067"/>
      <c r="CM200" s="1067"/>
      <c r="CN200" s="1067"/>
      <c r="CO200" s="1067"/>
      <c r="CP200" s="1067"/>
      <c r="CQ200" s="1067"/>
      <c r="CR200" s="1067"/>
      <c r="CS200" s="1067"/>
      <c r="CT200" s="1067"/>
      <c r="CU200" s="1067"/>
      <c r="CV200" s="1067"/>
      <c r="CW200" s="1067"/>
      <c r="CX200" s="1067"/>
      <c r="CY200" s="1067"/>
      <c r="CZ200" s="1067"/>
      <c r="DA200" s="1067"/>
      <c r="DB200" s="1067"/>
      <c r="DC200" s="1067"/>
      <c r="DD200" s="1067"/>
      <c r="DE200" s="1067"/>
      <c r="DF200" s="1067"/>
      <c r="DG200" s="1067"/>
      <c r="DH200" s="1067"/>
      <c r="DI200" s="1067"/>
      <c r="DJ200" s="1067"/>
      <c r="DK200" s="1067"/>
      <c r="DL200" s="1067"/>
      <c r="DM200" s="1067"/>
      <c r="DN200" s="1067"/>
      <c r="DO200" s="1067"/>
      <c r="DP200" s="1067"/>
      <c r="DQ200" s="1067"/>
      <c r="DR200" s="1067"/>
      <c r="DS200" s="1067"/>
      <c r="DT200" s="1067"/>
      <c r="DU200" s="1067"/>
      <c r="DV200" s="1067"/>
      <c r="DW200" s="1067"/>
      <c r="DX200" s="1067"/>
      <c r="DY200" s="1067"/>
      <c r="DZ200" s="1067"/>
      <c r="EA200" s="1067"/>
      <c r="EB200" s="1067"/>
      <c r="EC200" s="1067"/>
      <c r="ED200" s="1067"/>
      <c r="EE200" s="1067"/>
      <c r="EF200" s="1067"/>
      <c r="EG200" s="1067"/>
      <c r="EH200" s="1067"/>
      <c r="EI200" s="1067"/>
      <c r="EJ200" s="1067"/>
      <c r="EK200" s="1067"/>
      <c r="EL200" s="1067"/>
      <c r="EM200" s="1067"/>
      <c r="EN200" s="1067"/>
      <c r="EO200" s="1067"/>
      <c r="EP200" s="1067"/>
      <c r="EQ200" s="1067"/>
      <c r="ER200" s="1067"/>
      <c r="ES200" s="1067"/>
      <c r="ET200" s="1067"/>
      <c r="EU200" s="1067"/>
      <c r="EV200" s="1067"/>
      <c r="EW200" s="1067"/>
      <c r="EX200" s="1067"/>
      <c r="EY200" s="1067"/>
      <c r="EZ200" s="1067"/>
      <c r="FA200" s="1067"/>
      <c r="FB200" s="1067"/>
      <c r="FC200" s="1067"/>
      <c r="FD200" s="1067"/>
      <c r="FE200" s="1067"/>
      <c r="FF200" s="1067"/>
      <c r="FG200" s="1067"/>
      <c r="FH200" s="1067"/>
      <c r="FI200" s="1067"/>
      <c r="FJ200" s="1067"/>
      <c r="FK200" s="1067"/>
      <c r="FL200" s="1067"/>
      <c r="FM200" s="1067"/>
      <c r="FN200" s="1067"/>
      <c r="FO200" s="1067"/>
      <c r="FP200" s="1067"/>
      <c r="FQ200" s="1067"/>
      <c r="FR200" s="1067"/>
      <c r="FS200" s="1067"/>
      <c r="FT200" s="1067"/>
      <c r="FU200" s="1067"/>
      <c r="FV200" s="1067"/>
      <c r="FW200" s="1067"/>
      <c r="FX200" s="1067"/>
      <c r="FY200" s="1067"/>
      <c r="FZ200" s="1067"/>
      <c r="GA200" s="1067"/>
      <c r="GB200" s="1067"/>
      <c r="GC200" s="1067"/>
      <c r="GD200" s="1067"/>
      <c r="GE200" s="1067"/>
      <c r="GF200" s="1067"/>
      <c r="GG200" s="1067"/>
      <c r="GH200" s="1067"/>
      <c r="GI200" s="1067"/>
      <c r="GJ200" s="1067"/>
      <c r="GK200" s="1067"/>
      <c r="GL200" s="1067"/>
      <c r="GM200" s="1067"/>
      <c r="GN200" s="1067"/>
      <c r="GO200" s="1067"/>
      <c r="GP200" s="1067"/>
      <c r="GQ200" s="1067"/>
      <c r="GR200" s="1067"/>
      <c r="GS200" s="1067"/>
      <c r="GT200" s="1067"/>
      <c r="GU200" s="1067"/>
      <c r="GV200" s="1067"/>
      <c r="GW200" s="1067"/>
      <c r="GX200" s="1067"/>
      <c r="GY200" s="1067"/>
      <c r="GZ200" s="1067"/>
      <c r="HA200" s="1067"/>
      <c r="HB200" s="1067"/>
      <c r="HC200" s="1067"/>
      <c r="HD200" s="1067"/>
      <c r="HE200" s="1067"/>
      <c r="HF200" s="1067"/>
      <c r="HG200" s="1067"/>
      <c r="HH200" s="1067"/>
      <c r="HI200" s="1067"/>
      <c r="HJ200" s="1067"/>
      <c r="HK200" s="1067"/>
      <c r="HL200" s="1067"/>
      <c r="HM200" s="1067"/>
      <c r="HN200" s="1067"/>
      <c r="HO200" s="1067"/>
      <c r="HP200" s="1067"/>
      <c r="HQ200" s="1067"/>
      <c r="HR200" s="1067"/>
      <c r="HS200" s="1067"/>
      <c r="HT200" s="1067"/>
      <c r="HU200" s="1067"/>
      <c r="HV200" s="1067"/>
      <c r="HW200" s="1067"/>
      <c r="HX200" s="1067"/>
      <c r="HY200" s="1067"/>
      <c r="HZ200" s="1067"/>
      <c r="IA200" s="1067"/>
      <c r="IB200" s="1067"/>
      <c r="IC200" s="1067"/>
      <c r="ID200" s="1067"/>
      <c r="IE200" s="1067"/>
      <c r="IF200" s="1067"/>
      <c r="IG200" s="1067"/>
      <c r="IH200" s="1067"/>
      <c r="II200" s="1067"/>
      <c r="IJ200" s="1067"/>
      <c r="IK200" s="1067"/>
      <c r="IL200" s="1067"/>
      <c r="IM200" s="1067"/>
      <c r="IN200" s="1067"/>
      <c r="IO200" s="1067"/>
      <c r="IP200" s="1067"/>
      <c r="IQ200" s="1067"/>
      <c r="IR200" s="1067"/>
      <c r="IS200" s="1067"/>
      <c r="IT200" s="1067"/>
      <c r="IU200" s="1067"/>
      <c r="IV200" s="1067"/>
    </row>
    <row r="201" spans="1:256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1068"/>
      <c r="BN201" s="1066"/>
      <c r="BO201" s="1066"/>
      <c r="BP201" s="1067"/>
      <c r="BQ201" s="1067"/>
      <c r="BR201" s="1067"/>
      <c r="BS201" s="1067"/>
      <c r="BT201" s="1067"/>
      <c r="BU201" s="1067"/>
      <c r="BV201" s="1067"/>
      <c r="BW201" s="1067"/>
      <c r="BX201" s="1067"/>
      <c r="BY201" s="1067"/>
      <c r="BZ201" s="1067"/>
      <c r="CA201" s="1067"/>
      <c r="CB201" s="1067"/>
      <c r="CC201" s="1067"/>
      <c r="CD201" s="1067"/>
      <c r="CE201" s="1067"/>
      <c r="CF201" s="1067"/>
      <c r="CG201" s="1067"/>
      <c r="CH201" s="1067"/>
      <c r="CI201" s="1067"/>
      <c r="CJ201" s="1067"/>
      <c r="CK201" s="1067"/>
      <c r="CL201" s="1067"/>
      <c r="CM201" s="1067"/>
      <c r="CN201" s="1067"/>
      <c r="CO201" s="1067"/>
      <c r="CP201" s="1067"/>
      <c r="CQ201" s="1067"/>
      <c r="CR201" s="1067"/>
      <c r="CS201" s="1067"/>
      <c r="CT201" s="1067"/>
      <c r="CU201" s="1067"/>
      <c r="CV201" s="1067"/>
      <c r="CW201" s="1067"/>
      <c r="CX201" s="1067"/>
      <c r="CY201" s="1067"/>
      <c r="CZ201" s="1067"/>
      <c r="DA201" s="1067"/>
      <c r="DB201" s="1067"/>
      <c r="DC201" s="1067"/>
      <c r="DD201" s="1067"/>
      <c r="DE201" s="1067"/>
      <c r="DF201" s="1067"/>
      <c r="DG201" s="1067"/>
      <c r="DH201" s="1067"/>
      <c r="DI201" s="1067"/>
      <c r="DJ201" s="1067"/>
      <c r="DK201" s="1067"/>
      <c r="DL201" s="1067"/>
      <c r="DM201" s="1067"/>
      <c r="DN201" s="1067"/>
      <c r="DO201" s="1067"/>
      <c r="DP201" s="1067"/>
      <c r="DQ201" s="1067"/>
      <c r="DR201" s="1067"/>
      <c r="DS201" s="1067"/>
      <c r="DT201" s="1067"/>
      <c r="DU201" s="1067"/>
      <c r="DV201" s="1067"/>
      <c r="DW201" s="1067"/>
      <c r="DX201" s="1067"/>
      <c r="DY201" s="1067"/>
      <c r="DZ201" s="1067"/>
      <c r="EA201" s="1067"/>
      <c r="EB201" s="1067"/>
      <c r="EC201" s="1067"/>
      <c r="ED201" s="1067"/>
      <c r="EE201" s="1067"/>
      <c r="EF201" s="1067"/>
      <c r="EG201" s="1067"/>
      <c r="EH201" s="1067"/>
      <c r="EI201" s="1067"/>
      <c r="EJ201" s="1067"/>
      <c r="EK201" s="1067"/>
      <c r="EL201" s="1067"/>
      <c r="EM201" s="1067"/>
      <c r="EN201" s="1067"/>
      <c r="EO201" s="1067"/>
      <c r="EP201" s="1067"/>
      <c r="EQ201" s="1067"/>
      <c r="ER201" s="1067"/>
      <c r="ES201" s="1067"/>
      <c r="ET201" s="1067"/>
      <c r="EU201" s="1067"/>
      <c r="EV201" s="1067"/>
      <c r="EW201" s="1067"/>
      <c r="EX201" s="1067"/>
      <c r="EY201" s="1067"/>
      <c r="EZ201" s="1067"/>
      <c r="FA201" s="1067"/>
      <c r="FB201" s="1067"/>
      <c r="FC201" s="1067"/>
      <c r="FD201" s="1067"/>
      <c r="FE201" s="1067"/>
      <c r="FF201" s="1067"/>
      <c r="FG201" s="1067"/>
      <c r="FH201" s="1067"/>
      <c r="FI201" s="1067"/>
      <c r="FJ201" s="1067"/>
      <c r="FK201" s="1067"/>
      <c r="FL201" s="1067"/>
      <c r="FM201" s="1067"/>
      <c r="FN201" s="1067"/>
      <c r="FO201" s="1067"/>
      <c r="FP201" s="1067"/>
      <c r="FQ201" s="1067"/>
      <c r="FR201" s="1067"/>
      <c r="FS201" s="1067"/>
      <c r="FT201" s="1067"/>
      <c r="FU201" s="1067"/>
      <c r="FV201" s="1067"/>
      <c r="FW201" s="1067"/>
      <c r="FX201" s="1067"/>
      <c r="FY201" s="1067"/>
      <c r="FZ201" s="1067"/>
      <c r="GA201" s="1067"/>
      <c r="GB201" s="1067"/>
      <c r="GC201" s="1067"/>
      <c r="GD201" s="1067"/>
      <c r="GE201" s="1067"/>
      <c r="GF201" s="1067"/>
      <c r="GG201" s="1067"/>
      <c r="GH201" s="1067"/>
      <c r="GI201" s="1067"/>
      <c r="GJ201" s="1067"/>
      <c r="GK201" s="1067"/>
      <c r="GL201" s="1067"/>
      <c r="GM201" s="1067"/>
      <c r="GN201" s="1067"/>
      <c r="GO201" s="1067"/>
      <c r="GP201" s="1067"/>
      <c r="GQ201" s="1067"/>
      <c r="GR201" s="1067"/>
      <c r="GS201" s="1067"/>
      <c r="GT201" s="1067"/>
      <c r="GU201" s="1067"/>
      <c r="GV201" s="1067"/>
      <c r="GW201" s="1067"/>
      <c r="GX201" s="1067"/>
      <c r="GY201" s="1067"/>
      <c r="GZ201" s="1067"/>
      <c r="HA201" s="1067"/>
      <c r="HB201" s="1067"/>
      <c r="HC201" s="1067"/>
      <c r="HD201" s="1067"/>
      <c r="HE201" s="1067"/>
      <c r="HF201" s="1067"/>
      <c r="HG201" s="1067"/>
      <c r="HH201" s="1067"/>
      <c r="HI201" s="1067"/>
      <c r="HJ201" s="1067"/>
      <c r="HK201" s="1067"/>
      <c r="HL201" s="1067"/>
      <c r="HM201" s="1067"/>
      <c r="HN201" s="1067"/>
      <c r="HO201" s="1067"/>
      <c r="HP201" s="1067"/>
      <c r="HQ201" s="1067"/>
      <c r="HR201" s="1067"/>
      <c r="HS201" s="1067"/>
      <c r="HT201" s="1067"/>
      <c r="HU201" s="1067"/>
      <c r="HV201" s="1067"/>
      <c r="HW201" s="1067"/>
      <c r="HX201" s="1067"/>
      <c r="HY201" s="1067"/>
      <c r="HZ201" s="1067"/>
      <c r="IA201" s="1067"/>
      <c r="IB201" s="1067"/>
      <c r="IC201" s="1067"/>
      <c r="ID201" s="1067"/>
      <c r="IE201" s="1067"/>
      <c r="IF201" s="1067"/>
      <c r="IG201" s="1067"/>
      <c r="IH201" s="1067"/>
      <c r="II201" s="1067"/>
      <c r="IJ201" s="1067"/>
      <c r="IK201" s="1067"/>
      <c r="IL201" s="1067"/>
      <c r="IM201" s="1067"/>
      <c r="IN201" s="1067"/>
      <c r="IO201" s="1067"/>
      <c r="IP201" s="1067"/>
      <c r="IQ201" s="1067"/>
      <c r="IR201" s="1067"/>
      <c r="IS201" s="1067"/>
      <c r="IT201" s="1067"/>
      <c r="IU201" s="1067"/>
      <c r="IV201" s="1067"/>
    </row>
    <row r="202" spans="1:256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1069"/>
      <c r="BN202" s="1066"/>
      <c r="BO202" s="1066"/>
      <c r="BP202" s="1067"/>
      <c r="BQ202" s="1067"/>
      <c r="BR202" s="1067"/>
      <c r="BS202" s="1067"/>
      <c r="BT202" s="1067"/>
      <c r="BU202" s="1067"/>
      <c r="BV202" s="1067"/>
      <c r="BW202" s="1067"/>
      <c r="BX202" s="1067"/>
      <c r="BY202" s="1067"/>
      <c r="BZ202" s="1067"/>
      <c r="CA202" s="1067"/>
      <c r="CB202" s="1067"/>
      <c r="CC202" s="1067"/>
      <c r="CD202" s="1067"/>
      <c r="CE202" s="1067"/>
      <c r="CF202" s="1067"/>
      <c r="CG202" s="1067"/>
      <c r="CH202" s="1067"/>
      <c r="CI202" s="1067"/>
      <c r="CJ202" s="1067"/>
      <c r="CK202" s="1067"/>
      <c r="CL202" s="1067"/>
      <c r="CM202" s="1067"/>
      <c r="CN202" s="1067"/>
      <c r="CO202" s="1067"/>
      <c r="CP202" s="1067"/>
      <c r="CQ202" s="1067"/>
      <c r="CR202" s="1067"/>
      <c r="CS202" s="1067"/>
      <c r="CT202" s="1067"/>
      <c r="CU202" s="1067"/>
      <c r="CV202" s="1067"/>
      <c r="CW202" s="1067"/>
      <c r="CX202" s="1067"/>
      <c r="CY202" s="1067"/>
      <c r="CZ202" s="1067"/>
      <c r="DA202" s="1067"/>
      <c r="DB202" s="1067"/>
      <c r="DC202" s="1067"/>
      <c r="DD202" s="1067"/>
      <c r="DE202" s="1067"/>
      <c r="DF202" s="1067"/>
      <c r="DG202" s="1067"/>
      <c r="DH202" s="1067"/>
      <c r="DI202" s="1067"/>
      <c r="DJ202" s="1067"/>
      <c r="DK202" s="1067"/>
      <c r="DL202" s="1067"/>
      <c r="DM202" s="1067"/>
      <c r="DN202" s="1067"/>
      <c r="DO202" s="1067"/>
      <c r="DP202" s="1067"/>
      <c r="DQ202" s="1067"/>
      <c r="DR202" s="1067"/>
      <c r="DS202" s="1067"/>
      <c r="DT202" s="1067"/>
      <c r="DU202" s="1067"/>
      <c r="DV202" s="1067"/>
      <c r="DW202" s="1067"/>
      <c r="DX202" s="1067"/>
      <c r="DY202" s="1067"/>
      <c r="DZ202" s="1067"/>
      <c r="EA202" s="1067"/>
      <c r="EB202" s="1067"/>
      <c r="EC202" s="1067"/>
      <c r="ED202" s="1067"/>
      <c r="EE202" s="1067"/>
      <c r="EF202" s="1067"/>
      <c r="EG202" s="1067"/>
      <c r="EH202" s="1067"/>
      <c r="EI202" s="1067"/>
      <c r="EJ202" s="1067"/>
      <c r="EK202" s="1067"/>
      <c r="EL202" s="1067"/>
      <c r="EM202" s="1067"/>
      <c r="EN202" s="1067"/>
      <c r="EO202" s="1067"/>
      <c r="EP202" s="1067"/>
      <c r="EQ202" s="1067"/>
      <c r="ER202" s="1067"/>
      <c r="ES202" s="1067"/>
      <c r="ET202" s="1067"/>
      <c r="EU202" s="1067"/>
      <c r="EV202" s="1067"/>
      <c r="EW202" s="1067"/>
      <c r="EX202" s="1067"/>
      <c r="EY202" s="1067"/>
      <c r="EZ202" s="1067"/>
      <c r="FA202" s="1067"/>
      <c r="FB202" s="1067"/>
      <c r="FC202" s="1067"/>
      <c r="FD202" s="1067"/>
      <c r="FE202" s="1067"/>
      <c r="FF202" s="1067"/>
      <c r="FG202" s="1067"/>
      <c r="FH202" s="1067"/>
      <c r="FI202" s="1067"/>
      <c r="FJ202" s="1067"/>
      <c r="FK202" s="1067"/>
      <c r="FL202" s="1067"/>
      <c r="FM202" s="1067"/>
      <c r="FN202" s="1067"/>
      <c r="FO202" s="1067"/>
      <c r="FP202" s="1067"/>
      <c r="FQ202" s="1067"/>
      <c r="FR202" s="1067"/>
      <c r="FS202" s="1067"/>
      <c r="FT202" s="1067"/>
      <c r="FU202" s="1067"/>
      <c r="FV202" s="1067"/>
      <c r="FW202" s="1067"/>
      <c r="FX202" s="1067"/>
      <c r="FY202" s="1067"/>
      <c r="FZ202" s="1067"/>
      <c r="GA202" s="1067"/>
      <c r="GB202" s="1067"/>
      <c r="GC202" s="1067"/>
      <c r="GD202" s="1067"/>
      <c r="GE202" s="1067"/>
      <c r="GF202" s="1067"/>
      <c r="GG202" s="1067"/>
      <c r="GH202" s="1067"/>
      <c r="GI202" s="1067"/>
      <c r="GJ202" s="1067"/>
      <c r="GK202" s="1067"/>
      <c r="GL202" s="1067"/>
      <c r="GM202" s="1067"/>
      <c r="GN202" s="1067"/>
      <c r="GO202" s="1067"/>
      <c r="GP202" s="1067"/>
      <c r="GQ202" s="1067"/>
      <c r="GR202" s="1067"/>
      <c r="GS202" s="1067"/>
      <c r="GT202" s="1067"/>
      <c r="GU202" s="1067"/>
      <c r="GV202" s="1067"/>
      <c r="GW202" s="1067"/>
      <c r="GX202" s="1067"/>
      <c r="GY202" s="1067"/>
      <c r="GZ202" s="1067"/>
      <c r="HA202" s="1067"/>
      <c r="HB202" s="1067"/>
      <c r="HC202" s="1067"/>
      <c r="HD202" s="1067"/>
      <c r="HE202" s="1067"/>
      <c r="HF202" s="1067"/>
      <c r="HG202" s="1067"/>
      <c r="HH202" s="1067"/>
      <c r="HI202" s="1067"/>
      <c r="HJ202" s="1067"/>
      <c r="HK202" s="1067"/>
      <c r="HL202" s="1067"/>
      <c r="HM202" s="1067"/>
      <c r="HN202" s="1067"/>
      <c r="HO202" s="1067"/>
      <c r="HP202" s="1067"/>
      <c r="HQ202" s="1067"/>
      <c r="HR202" s="1067"/>
      <c r="HS202" s="1067"/>
      <c r="HT202" s="1067"/>
      <c r="HU202" s="1067"/>
      <c r="HV202" s="1067"/>
      <c r="HW202" s="1067"/>
      <c r="HX202" s="1067"/>
      <c r="HY202" s="1067"/>
      <c r="HZ202" s="1067"/>
      <c r="IA202" s="1067"/>
      <c r="IB202" s="1067"/>
      <c r="IC202" s="1067"/>
      <c r="ID202" s="1067"/>
      <c r="IE202" s="1067"/>
      <c r="IF202" s="1067"/>
      <c r="IG202" s="1067"/>
      <c r="IH202" s="1067"/>
      <c r="II202" s="1067"/>
      <c r="IJ202" s="1067"/>
      <c r="IK202" s="1067"/>
      <c r="IL202" s="1067"/>
      <c r="IM202" s="1067"/>
      <c r="IN202" s="1067"/>
      <c r="IO202" s="1067"/>
      <c r="IP202" s="1067"/>
      <c r="IQ202" s="1067"/>
      <c r="IR202" s="1067"/>
      <c r="IS202" s="1067"/>
      <c r="IT202" s="1067"/>
      <c r="IU202" s="1067"/>
      <c r="IV202" s="1067"/>
    </row>
    <row r="203" spans="1:256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1066"/>
      <c r="BN203" s="1066"/>
      <c r="BO203" s="1066"/>
      <c r="BP203" s="1067"/>
      <c r="BQ203" s="1067"/>
      <c r="BR203" s="1067"/>
      <c r="BS203" s="1067"/>
      <c r="BT203" s="1067"/>
      <c r="BU203" s="1067"/>
      <c r="BV203" s="1067"/>
      <c r="BW203" s="1067"/>
      <c r="BX203" s="1067"/>
      <c r="BY203" s="1067"/>
      <c r="BZ203" s="1067"/>
      <c r="CA203" s="1067"/>
      <c r="CB203" s="1067"/>
      <c r="CC203" s="1067"/>
      <c r="CD203" s="1067"/>
      <c r="CE203" s="1067"/>
      <c r="CF203" s="1067"/>
      <c r="CG203" s="1067"/>
      <c r="CH203" s="1067"/>
      <c r="CI203" s="1067"/>
      <c r="CJ203" s="1067"/>
      <c r="CK203" s="1067"/>
      <c r="CL203" s="1067"/>
      <c r="CM203" s="1067"/>
      <c r="CN203" s="1067"/>
      <c r="CO203" s="1067"/>
      <c r="CP203" s="1067"/>
      <c r="CQ203" s="1067"/>
      <c r="CR203" s="1067"/>
      <c r="CS203" s="1067"/>
      <c r="CT203" s="1067"/>
      <c r="CU203" s="1067"/>
      <c r="CV203" s="1067"/>
      <c r="CW203" s="1067"/>
      <c r="CX203" s="1067"/>
      <c r="CY203" s="1067"/>
      <c r="CZ203" s="1067"/>
      <c r="DA203" s="1067"/>
      <c r="DB203" s="1067"/>
      <c r="DC203" s="1067"/>
      <c r="DD203" s="1067"/>
      <c r="DE203" s="1067"/>
      <c r="DF203" s="1067"/>
      <c r="DG203" s="1067"/>
      <c r="DH203" s="1067"/>
      <c r="DI203" s="1067"/>
      <c r="DJ203" s="1067"/>
      <c r="DK203" s="1067"/>
      <c r="DL203" s="1067"/>
      <c r="DM203" s="1067"/>
      <c r="DN203" s="1067"/>
      <c r="DO203" s="1067"/>
      <c r="DP203" s="1067"/>
      <c r="DQ203" s="1067"/>
      <c r="DR203" s="1067"/>
      <c r="DS203" s="1067"/>
      <c r="DT203" s="1067"/>
      <c r="DU203" s="1067"/>
      <c r="DV203" s="1067"/>
      <c r="DW203" s="1067"/>
      <c r="DX203" s="1067"/>
      <c r="DY203" s="1067"/>
      <c r="DZ203" s="1067"/>
      <c r="EA203" s="1067"/>
      <c r="EB203" s="1067"/>
      <c r="EC203" s="1067"/>
      <c r="ED203" s="1067"/>
      <c r="EE203" s="1067"/>
      <c r="EF203" s="1067"/>
      <c r="EG203" s="1067"/>
      <c r="EH203" s="1067"/>
      <c r="EI203" s="1067"/>
      <c r="EJ203" s="1067"/>
      <c r="EK203" s="1067"/>
      <c r="EL203" s="1067"/>
      <c r="EM203" s="1067"/>
      <c r="EN203" s="1067"/>
      <c r="EO203" s="1067"/>
      <c r="EP203" s="1067"/>
      <c r="EQ203" s="1067"/>
      <c r="ER203" s="1067"/>
      <c r="ES203" s="1067"/>
      <c r="ET203" s="1067"/>
      <c r="EU203" s="1067"/>
      <c r="EV203" s="1067"/>
      <c r="EW203" s="1067"/>
      <c r="EX203" s="1067"/>
      <c r="EY203" s="1067"/>
      <c r="EZ203" s="1067"/>
      <c r="FA203" s="1067"/>
      <c r="FB203" s="1067"/>
      <c r="FC203" s="1067"/>
      <c r="FD203" s="1067"/>
      <c r="FE203" s="1067"/>
      <c r="FF203" s="1067"/>
      <c r="FG203" s="1067"/>
      <c r="FH203" s="1067"/>
      <c r="FI203" s="1067"/>
      <c r="FJ203" s="1067"/>
      <c r="FK203" s="1067"/>
      <c r="FL203" s="1067"/>
      <c r="FM203" s="1067"/>
      <c r="FN203" s="1067"/>
      <c r="FO203" s="1067"/>
      <c r="FP203" s="1067"/>
      <c r="FQ203" s="1067"/>
      <c r="FR203" s="1067"/>
      <c r="FS203" s="1067"/>
      <c r="FT203" s="1067"/>
      <c r="FU203" s="1067"/>
      <c r="FV203" s="1067"/>
      <c r="FW203" s="1067"/>
      <c r="FX203" s="1067"/>
      <c r="FY203" s="1067"/>
      <c r="FZ203" s="1067"/>
      <c r="GA203" s="1067"/>
      <c r="GB203" s="1067"/>
      <c r="GC203" s="1067"/>
      <c r="GD203" s="1067"/>
      <c r="GE203" s="1067"/>
      <c r="GF203" s="1067"/>
      <c r="GG203" s="1067"/>
      <c r="GH203" s="1067"/>
      <c r="GI203" s="1067"/>
      <c r="GJ203" s="1067"/>
      <c r="GK203" s="1067"/>
      <c r="GL203" s="1067"/>
      <c r="GM203" s="1067"/>
      <c r="GN203" s="1067"/>
      <c r="GO203" s="1067"/>
      <c r="GP203" s="1067"/>
      <c r="GQ203" s="1067"/>
      <c r="GR203" s="1067"/>
      <c r="GS203" s="1067"/>
      <c r="GT203" s="1067"/>
      <c r="GU203" s="1067"/>
      <c r="GV203" s="1067"/>
      <c r="GW203" s="1067"/>
      <c r="GX203" s="1067"/>
      <c r="GY203" s="1067"/>
      <c r="GZ203" s="1067"/>
      <c r="HA203" s="1067"/>
      <c r="HB203" s="1067"/>
      <c r="HC203" s="1067"/>
      <c r="HD203" s="1067"/>
      <c r="HE203" s="1067"/>
      <c r="HF203" s="1067"/>
      <c r="HG203" s="1067"/>
      <c r="HH203" s="1067"/>
      <c r="HI203" s="1067"/>
      <c r="HJ203" s="1067"/>
      <c r="HK203" s="1067"/>
      <c r="HL203" s="1067"/>
      <c r="HM203" s="1067"/>
      <c r="HN203" s="1067"/>
      <c r="HO203" s="1067"/>
      <c r="HP203" s="1067"/>
      <c r="HQ203" s="1067"/>
      <c r="HR203" s="1067"/>
      <c r="HS203" s="1067"/>
      <c r="HT203" s="1067"/>
      <c r="HU203" s="1067"/>
      <c r="HV203" s="1067"/>
      <c r="HW203" s="1067"/>
      <c r="HX203" s="1067"/>
      <c r="HY203" s="1067"/>
      <c r="HZ203" s="1067"/>
      <c r="IA203" s="1067"/>
      <c r="IB203" s="1067"/>
      <c r="IC203" s="1067"/>
      <c r="ID203" s="1067"/>
      <c r="IE203" s="1067"/>
      <c r="IF203" s="1067"/>
      <c r="IG203" s="1067"/>
      <c r="IH203" s="1067"/>
      <c r="II203" s="1067"/>
      <c r="IJ203" s="1067"/>
      <c r="IK203" s="1067"/>
      <c r="IL203" s="1067"/>
      <c r="IM203" s="1067"/>
      <c r="IN203" s="1067"/>
      <c r="IO203" s="1067"/>
      <c r="IP203" s="1067"/>
      <c r="IQ203" s="1067"/>
      <c r="IR203" s="1067"/>
      <c r="IS203" s="1067"/>
      <c r="IT203" s="1067"/>
      <c r="IU203" s="1067"/>
      <c r="IV203" s="1067"/>
    </row>
    <row r="204" spans="1:256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1066"/>
      <c r="BN204" s="1066"/>
      <c r="BO204" s="1066"/>
      <c r="BP204" s="1067"/>
      <c r="BQ204" s="1067"/>
      <c r="BR204" s="1067"/>
      <c r="BS204" s="1067"/>
      <c r="BT204" s="1067"/>
      <c r="BU204" s="1067"/>
      <c r="BV204" s="1067"/>
      <c r="BW204" s="1067"/>
      <c r="BX204" s="1067"/>
      <c r="BY204" s="1067"/>
      <c r="BZ204" s="1067"/>
      <c r="CA204" s="1067"/>
      <c r="CB204" s="1067"/>
      <c r="CC204" s="1067"/>
      <c r="CD204" s="1067"/>
      <c r="CE204" s="1067"/>
      <c r="CF204" s="1067"/>
      <c r="CG204" s="1067"/>
      <c r="CH204" s="1067"/>
      <c r="CI204" s="1067"/>
      <c r="CJ204" s="1067"/>
      <c r="CK204" s="1067"/>
      <c r="CL204" s="1067"/>
      <c r="CM204" s="1067"/>
      <c r="CN204" s="1067"/>
      <c r="CO204" s="1067"/>
      <c r="CP204" s="1067"/>
      <c r="CQ204" s="1067"/>
      <c r="CR204" s="1067"/>
      <c r="CS204" s="1067"/>
      <c r="CT204" s="1067"/>
      <c r="CU204" s="1067"/>
      <c r="CV204" s="1067"/>
      <c r="CW204" s="1067"/>
      <c r="CX204" s="1067"/>
      <c r="CY204" s="1067"/>
      <c r="CZ204" s="1067"/>
      <c r="DA204" s="1067"/>
      <c r="DB204" s="1067"/>
      <c r="DC204" s="1067"/>
      <c r="DD204" s="1067"/>
      <c r="DE204" s="1067"/>
      <c r="DF204" s="1067"/>
      <c r="DG204" s="1067"/>
      <c r="DH204" s="1067"/>
      <c r="DI204" s="1067"/>
      <c r="DJ204" s="1067"/>
      <c r="DK204" s="1067"/>
      <c r="DL204" s="1067"/>
      <c r="DM204" s="1067"/>
      <c r="DN204" s="1067"/>
      <c r="DO204" s="1067"/>
      <c r="DP204" s="1067"/>
      <c r="DQ204" s="1067"/>
      <c r="DR204" s="1067"/>
      <c r="DS204" s="1067"/>
      <c r="DT204" s="1067"/>
      <c r="DU204" s="1067"/>
      <c r="DV204" s="1067"/>
      <c r="DW204" s="1067"/>
      <c r="DX204" s="1067"/>
      <c r="DY204" s="1067"/>
      <c r="DZ204" s="1067"/>
      <c r="EA204" s="1067"/>
      <c r="EB204" s="1067"/>
      <c r="EC204" s="1067"/>
      <c r="ED204" s="1067"/>
      <c r="EE204" s="1067"/>
      <c r="EF204" s="1067"/>
      <c r="EG204" s="1067"/>
      <c r="EH204" s="1067"/>
      <c r="EI204" s="1067"/>
      <c r="EJ204" s="1067"/>
      <c r="EK204" s="1067"/>
      <c r="EL204" s="1067"/>
      <c r="EM204" s="1067"/>
      <c r="EN204" s="1067"/>
      <c r="EO204" s="1067"/>
      <c r="EP204" s="1067"/>
      <c r="EQ204" s="1067"/>
      <c r="ER204" s="1067"/>
      <c r="ES204" s="1067"/>
      <c r="ET204" s="1067"/>
      <c r="EU204" s="1067"/>
      <c r="EV204" s="1067"/>
      <c r="EW204" s="1067"/>
      <c r="EX204" s="1067"/>
      <c r="EY204" s="1067"/>
      <c r="EZ204" s="1067"/>
      <c r="FA204" s="1067"/>
      <c r="FB204" s="1067"/>
      <c r="FC204" s="1067"/>
      <c r="FD204" s="1067"/>
      <c r="FE204" s="1067"/>
      <c r="FF204" s="1067"/>
      <c r="FG204" s="1067"/>
      <c r="FH204" s="1067"/>
      <c r="FI204" s="1067"/>
      <c r="FJ204" s="1067"/>
      <c r="FK204" s="1067"/>
      <c r="FL204" s="1067"/>
      <c r="FM204" s="1067"/>
      <c r="FN204" s="1067"/>
      <c r="FO204" s="1067"/>
      <c r="FP204" s="1067"/>
      <c r="FQ204" s="1067"/>
      <c r="FR204" s="1067"/>
      <c r="FS204" s="1067"/>
      <c r="FT204" s="1067"/>
      <c r="FU204" s="1067"/>
      <c r="FV204" s="1067"/>
      <c r="FW204" s="1067"/>
      <c r="FX204" s="1067"/>
      <c r="FY204" s="1067"/>
      <c r="FZ204" s="1067"/>
      <c r="GA204" s="1067"/>
      <c r="GB204" s="1067"/>
      <c r="GC204" s="1067"/>
      <c r="GD204" s="1067"/>
      <c r="GE204" s="1067"/>
      <c r="GF204" s="1067"/>
      <c r="GG204" s="1067"/>
      <c r="GH204" s="1067"/>
      <c r="GI204" s="1067"/>
      <c r="GJ204" s="1067"/>
      <c r="GK204" s="1067"/>
      <c r="GL204" s="1067"/>
      <c r="GM204" s="1067"/>
      <c r="GN204" s="1067"/>
      <c r="GO204" s="1067"/>
      <c r="GP204" s="1067"/>
      <c r="GQ204" s="1067"/>
      <c r="GR204" s="1067"/>
      <c r="GS204" s="1067"/>
      <c r="GT204" s="1067"/>
      <c r="GU204" s="1067"/>
      <c r="GV204" s="1067"/>
      <c r="GW204" s="1067"/>
      <c r="GX204" s="1067"/>
      <c r="GY204" s="1067"/>
      <c r="GZ204" s="1067"/>
      <c r="HA204" s="1067"/>
      <c r="HB204" s="1067"/>
      <c r="HC204" s="1067"/>
      <c r="HD204" s="1067"/>
      <c r="HE204" s="1067"/>
      <c r="HF204" s="1067"/>
      <c r="HG204" s="1067"/>
      <c r="HH204" s="1067"/>
      <c r="HI204" s="1067"/>
      <c r="HJ204" s="1067"/>
      <c r="HK204" s="1067"/>
      <c r="HL204" s="1067"/>
      <c r="HM204" s="1067"/>
      <c r="HN204" s="1067"/>
      <c r="HO204" s="1067"/>
      <c r="HP204" s="1067"/>
      <c r="HQ204" s="1067"/>
      <c r="HR204" s="1067"/>
      <c r="HS204" s="1067"/>
      <c r="HT204" s="1067"/>
      <c r="HU204" s="1067"/>
      <c r="HV204" s="1067"/>
      <c r="HW204" s="1067"/>
      <c r="HX204" s="1067"/>
      <c r="HY204" s="1067"/>
      <c r="HZ204" s="1067"/>
      <c r="IA204" s="1067"/>
      <c r="IB204" s="1067"/>
      <c r="IC204" s="1067"/>
      <c r="ID204" s="1067"/>
      <c r="IE204" s="1067"/>
      <c r="IF204" s="1067"/>
      <c r="IG204" s="1067"/>
      <c r="IH204" s="1067"/>
      <c r="II204" s="1067"/>
      <c r="IJ204" s="1067"/>
      <c r="IK204" s="1067"/>
      <c r="IL204" s="1067"/>
      <c r="IM204" s="1067"/>
      <c r="IN204" s="1067"/>
      <c r="IO204" s="1067"/>
      <c r="IP204" s="1067"/>
      <c r="IQ204" s="1067"/>
      <c r="IR204" s="1067"/>
      <c r="IS204" s="1067"/>
      <c r="IT204" s="1067"/>
      <c r="IU204" s="1067"/>
      <c r="IV204" s="1067"/>
    </row>
    <row r="205" spans="1:256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1066"/>
      <c r="BN205" s="1066"/>
      <c r="BO205" s="1066"/>
      <c r="BP205" s="1067"/>
      <c r="BQ205" s="1067"/>
      <c r="BR205" s="1067"/>
      <c r="BS205" s="1067"/>
      <c r="BT205" s="1067"/>
      <c r="BU205" s="1067"/>
      <c r="BV205" s="1067"/>
      <c r="BW205" s="1067"/>
      <c r="BX205" s="1067"/>
      <c r="BY205" s="1067"/>
      <c r="BZ205" s="1067"/>
      <c r="CA205" s="1067"/>
      <c r="CB205" s="1067"/>
      <c r="CC205" s="1067"/>
      <c r="CD205" s="1067"/>
      <c r="CE205" s="1067"/>
      <c r="CF205" s="1067"/>
      <c r="CG205" s="1067"/>
      <c r="CH205" s="1067"/>
      <c r="CI205" s="1067"/>
      <c r="CJ205" s="1067"/>
      <c r="CK205" s="1067"/>
      <c r="CL205" s="1067"/>
      <c r="CM205" s="1067"/>
      <c r="CN205" s="1067"/>
      <c r="CO205" s="1067"/>
      <c r="CP205" s="1067"/>
      <c r="CQ205" s="1067"/>
      <c r="CR205" s="1067"/>
      <c r="CS205" s="1067"/>
      <c r="CT205" s="1067"/>
      <c r="CU205" s="1067"/>
      <c r="CV205" s="1067"/>
      <c r="CW205" s="1067"/>
      <c r="CX205" s="1067"/>
      <c r="CY205" s="1067"/>
      <c r="CZ205" s="1067"/>
      <c r="DA205" s="1067"/>
      <c r="DB205" s="1067"/>
      <c r="DC205" s="1067"/>
      <c r="DD205" s="1067"/>
      <c r="DE205" s="1067"/>
      <c r="DF205" s="1067"/>
      <c r="DG205" s="1067"/>
      <c r="DH205" s="1067"/>
      <c r="DI205" s="1067"/>
      <c r="DJ205" s="1067"/>
      <c r="DK205" s="1067"/>
      <c r="DL205" s="1067"/>
      <c r="DM205" s="1067"/>
      <c r="DN205" s="1067"/>
      <c r="DO205" s="1067"/>
      <c r="DP205" s="1067"/>
      <c r="DQ205" s="1067"/>
      <c r="DR205" s="1067"/>
      <c r="DS205" s="1067"/>
      <c r="DT205" s="1067"/>
      <c r="DU205" s="1067"/>
      <c r="DV205" s="1067"/>
      <c r="DW205" s="1067"/>
      <c r="DX205" s="1067"/>
      <c r="DY205" s="1067"/>
      <c r="DZ205" s="1067"/>
      <c r="EA205" s="1067"/>
      <c r="EB205" s="1067"/>
      <c r="EC205" s="1067"/>
      <c r="ED205" s="1067"/>
      <c r="EE205" s="1067"/>
      <c r="EF205" s="1067"/>
      <c r="EG205" s="1067"/>
      <c r="EH205" s="1067"/>
      <c r="EI205" s="1067"/>
      <c r="EJ205" s="1067"/>
      <c r="EK205" s="1067"/>
      <c r="EL205" s="1067"/>
      <c r="EM205" s="1067"/>
      <c r="EN205" s="1067"/>
      <c r="EO205" s="1067"/>
      <c r="EP205" s="1067"/>
      <c r="EQ205" s="1067"/>
      <c r="ER205" s="1067"/>
      <c r="ES205" s="1067"/>
      <c r="ET205" s="1067"/>
      <c r="EU205" s="1067"/>
      <c r="EV205" s="1067"/>
      <c r="EW205" s="1067"/>
      <c r="EX205" s="1067"/>
      <c r="EY205" s="1067"/>
      <c r="EZ205" s="1067"/>
      <c r="FA205" s="1067"/>
      <c r="FB205" s="1067"/>
      <c r="FC205" s="1067"/>
      <c r="FD205" s="1067"/>
      <c r="FE205" s="1067"/>
      <c r="FF205" s="1067"/>
      <c r="FG205" s="1067"/>
      <c r="FH205" s="1067"/>
      <c r="FI205" s="1067"/>
      <c r="FJ205" s="1067"/>
      <c r="FK205" s="1067"/>
      <c r="FL205" s="1067"/>
      <c r="FM205" s="1067"/>
      <c r="FN205" s="1067"/>
      <c r="FO205" s="1067"/>
      <c r="FP205" s="1067"/>
      <c r="FQ205" s="1067"/>
      <c r="FR205" s="1067"/>
      <c r="FS205" s="1067"/>
      <c r="FT205" s="1067"/>
      <c r="FU205" s="1067"/>
      <c r="FV205" s="1067"/>
      <c r="FW205" s="1067"/>
      <c r="FX205" s="1067"/>
      <c r="FY205" s="1067"/>
      <c r="FZ205" s="1067"/>
      <c r="GA205" s="1067"/>
      <c r="GB205" s="1067"/>
      <c r="GC205" s="1067"/>
      <c r="GD205" s="1067"/>
      <c r="GE205" s="1067"/>
      <c r="GF205" s="1067"/>
      <c r="GG205" s="1067"/>
      <c r="GH205" s="1067"/>
      <c r="GI205" s="1067"/>
      <c r="GJ205" s="1067"/>
      <c r="GK205" s="1067"/>
      <c r="GL205" s="1067"/>
      <c r="GM205" s="1067"/>
      <c r="GN205" s="1067"/>
      <c r="GO205" s="1067"/>
      <c r="GP205" s="1067"/>
      <c r="GQ205" s="1067"/>
      <c r="GR205" s="1067"/>
      <c r="GS205" s="1067"/>
      <c r="GT205" s="1067"/>
      <c r="GU205" s="1067"/>
      <c r="GV205" s="1067"/>
      <c r="GW205" s="1067"/>
      <c r="GX205" s="1067"/>
      <c r="GY205" s="1067"/>
      <c r="GZ205" s="1067"/>
      <c r="HA205" s="1067"/>
      <c r="HB205" s="1067"/>
      <c r="HC205" s="1067"/>
      <c r="HD205" s="1067"/>
      <c r="HE205" s="1067"/>
      <c r="HF205" s="1067"/>
      <c r="HG205" s="1067"/>
      <c r="HH205" s="1067"/>
      <c r="HI205" s="1067"/>
      <c r="HJ205" s="1067"/>
      <c r="HK205" s="1067"/>
      <c r="HL205" s="1067"/>
      <c r="HM205" s="1067"/>
      <c r="HN205" s="1067"/>
      <c r="HO205" s="1067"/>
      <c r="HP205" s="1067"/>
      <c r="HQ205" s="1067"/>
      <c r="HR205" s="1067"/>
      <c r="HS205" s="1067"/>
      <c r="HT205" s="1067"/>
      <c r="HU205" s="1067"/>
      <c r="HV205" s="1067"/>
      <c r="HW205" s="1067"/>
      <c r="HX205" s="1067"/>
      <c r="HY205" s="1067"/>
      <c r="HZ205" s="1067"/>
      <c r="IA205" s="1067"/>
      <c r="IB205" s="1067"/>
      <c r="IC205" s="1067"/>
      <c r="ID205" s="1067"/>
      <c r="IE205" s="1067"/>
      <c r="IF205" s="1067"/>
      <c r="IG205" s="1067"/>
      <c r="IH205" s="1067"/>
      <c r="II205" s="1067"/>
      <c r="IJ205" s="1067"/>
      <c r="IK205" s="1067"/>
      <c r="IL205" s="1067"/>
      <c r="IM205" s="1067"/>
      <c r="IN205" s="1067"/>
      <c r="IO205" s="1067"/>
      <c r="IP205" s="1067"/>
      <c r="IQ205" s="1067"/>
      <c r="IR205" s="1067"/>
      <c r="IS205" s="1067"/>
      <c r="IT205" s="1067"/>
      <c r="IU205" s="1067"/>
      <c r="IV205" s="1067"/>
    </row>
    <row r="206" spans="1:256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1066"/>
      <c r="BN206" s="1066"/>
      <c r="BO206" s="1066"/>
      <c r="BP206" s="1067"/>
      <c r="BQ206" s="1067"/>
      <c r="BR206" s="1067"/>
      <c r="BS206" s="1067"/>
      <c r="BT206" s="1067"/>
      <c r="BU206" s="1067"/>
      <c r="BV206" s="1067"/>
      <c r="BW206" s="1067"/>
      <c r="BX206" s="1067"/>
      <c r="BY206" s="1067"/>
      <c r="BZ206" s="1067"/>
      <c r="CA206" s="1067"/>
      <c r="CB206" s="1067"/>
      <c r="CC206" s="1067"/>
      <c r="CD206" s="1067"/>
      <c r="CE206" s="1067"/>
      <c r="CF206" s="1067"/>
      <c r="CG206" s="1067"/>
      <c r="CH206" s="1067"/>
      <c r="CI206" s="1067"/>
      <c r="CJ206" s="1067"/>
      <c r="CK206" s="1067"/>
      <c r="CL206" s="1067"/>
      <c r="CM206" s="1067"/>
      <c r="CN206" s="1067"/>
      <c r="CO206" s="1067"/>
      <c r="CP206" s="1067"/>
      <c r="CQ206" s="1067"/>
      <c r="CR206" s="1067"/>
      <c r="CS206" s="1067"/>
      <c r="CT206" s="1067"/>
      <c r="CU206" s="1067"/>
      <c r="CV206" s="1067"/>
      <c r="CW206" s="1067"/>
      <c r="CX206" s="1067"/>
      <c r="CY206" s="1067"/>
      <c r="CZ206" s="1067"/>
      <c r="DA206" s="1067"/>
      <c r="DB206" s="1067"/>
      <c r="DC206" s="1067"/>
      <c r="DD206" s="1067"/>
      <c r="DE206" s="1067"/>
      <c r="DF206" s="1067"/>
      <c r="DG206" s="1067"/>
      <c r="DH206" s="1067"/>
      <c r="DI206" s="1067"/>
      <c r="DJ206" s="1067"/>
      <c r="DK206" s="1067"/>
      <c r="DL206" s="1067"/>
      <c r="DM206" s="1067"/>
      <c r="DN206" s="1067"/>
      <c r="DO206" s="1067"/>
      <c r="DP206" s="1067"/>
      <c r="DQ206" s="1067"/>
      <c r="DR206" s="1067"/>
      <c r="DS206" s="1067"/>
      <c r="DT206" s="1067"/>
      <c r="DU206" s="1067"/>
      <c r="DV206" s="1067"/>
      <c r="DW206" s="1067"/>
      <c r="DX206" s="1067"/>
      <c r="DY206" s="1067"/>
      <c r="DZ206" s="1067"/>
      <c r="EA206" s="1067"/>
      <c r="EB206" s="1067"/>
      <c r="EC206" s="1067"/>
      <c r="ED206" s="1067"/>
      <c r="EE206" s="1067"/>
      <c r="EF206" s="1067"/>
      <c r="EG206" s="1067"/>
      <c r="EH206" s="1067"/>
      <c r="EI206" s="1067"/>
      <c r="EJ206" s="1067"/>
      <c r="EK206" s="1067"/>
      <c r="EL206" s="1067"/>
      <c r="EM206" s="1067"/>
      <c r="EN206" s="1067"/>
      <c r="EO206" s="1067"/>
      <c r="EP206" s="1067"/>
      <c r="EQ206" s="1067"/>
      <c r="ER206" s="1067"/>
      <c r="ES206" s="1067"/>
      <c r="ET206" s="1067"/>
      <c r="EU206" s="1067"/>
      <c r="EV206" s="1067"/>
      <c r="EW206" s="1067"/>
      <c r="EX206" s="1067"/>
      <c r="EY206" s="1067"/>
      <c r="EZ206" s="1067"/>
      <c r="FA206" s="1067"/>
      <c r="FB206" s="1067"/>
      <c r="FC206" s="1067"/>
      <c r="FD206" s="1067"/>
      <c r="FE206" s="1067"/>
      <c r="FF206" s="1067"/>
      <c r="FG206" s="1067"/>
      <c r="FH206" s="1067"/>
      <c r="FI206" s="1067"/>
      <c r="FJ206" s="1067"/>
      <c r="FK206" s="1067"/>
      <c r="FL206" s="1067"/>
      <c r="FM206" s="1067"/>
      <c r="FN206" s="1067"/>
      <c r="FO206" s="1067"/>
      <c r="FP206" s="1067"/>
      <c r="FQ206" s="1067"/>
      <c r="FR206" s="1067"/>
      <c r="FS206" s="1067"/>
      <c r="FT206" s="1067"/>
      <c r="FU206" s="1067"/>
      <c r="FV206" s="1067"/>
      <c r="FW206" s="1067"/>
      <c r="FX206" s="1067"/>
      <c r="FY206" s="1067"/>
      <c r="FZ206" s="1067"/>
      <c r="GA206" s="1067"/>
      <c r="GB206" s="1067"/>
      <c r="GC206" s="1067"/>
      <c r="GD206" s="1067"/>
      <c r="GE206" s="1067"/>
      <c r="GF206" s="1067"/>
      <c r="GG206" s="1067"/>
      <c r="GH206" s="1067"/>
      <c r="GI206" s="1067"/>
      <c r="GJ206" s="1067"/>
      <c r="GK206" s="1067"/>
      <c r="GL206" s="1067"/>
      <c r="GM206" s="1067"/>
      <c r="GN206" s="1067"/>
      <c r="GO206" s="1067"/>
      <c r="GP206" s="1067"/>
      <c r="GQ206" s="1067"/>
      <c r="GR206" s="1067"/>
      <c r="GS206" s="1067"/>
      <c r="GT206" s="1067"/>
      <c r="GU206" s="1067"/>
      <c r="GV206" s="1067"/>
      <c r="GW206" s="1067"/>
      <c r="GX206" s="1067"/>
      <c r="GY206" s="1067"/>
      <c r="GZ206" s="1067"/>
      <c r="HA206" s="1067"/>
      <c r="HB206" s="1067"/>
      <c r="HC206" s="1067"/>
      <c r="HD206" s="1067"/>
      <c r="HE206" s="1067"/>
      <c r="HF206" s="1067"/>
      <c r="HG206" s="1067"/>
      <c r="HH206" s="1067"/>
      <c r="HI206" s="1067"/>
      <c r="HJ206" s="1067"/>
      <c r="HK206" s="1067"/>
      <c r="HL206" s="1067"/>
      <c r="HM206" s="1067"/>
      <c r="HN206" s="1067"/>
      <c r="HO206" s="1067"/>
      <c r="HP206" s="1067"/>
      <c r="HQ206" s="1067"/>
      <c r="HR206" s="1067"/>
      <c r="HS206" s="1067"/>
      <c r="HT206" s="1067"/>
      <c r="HU206" s="1067"/>
      <c r="HV206" s="1067"/>
      <c r="HW206" s="1067"/>
      <c r="HX206" s="1067"/>
      <c r="HY206" s="1067"/>
      <c r="HZ206" s="1067"/>
      <c r="IA206" s="1067"/>
      <c r="IB206" s="1067"/>
      <c r="IC206" s="1067"/>
      <c r="ID206" s="1067"/>
      <c r="IE206" s="1067"/>
      <c r="IF206" s="1067"/>
      <c r="IG206" s="1067"/>
      <c r="IH206" s="1067"/>
      <c r="II206" s="1067"/>
      <c r="IJ206" s="1067"/>
      <c r="IK206" s="1067"/>
      <c r="IL206" s="1067"/>
      <c r="IM206" s="1067"/>
      <c r="IN206" s="1067"/>
      <c r="IO206" s="1067"/>
      <c r="IP206" s="1067"/>
      <c r="IQ206" s="1067"/>
      <c r="IR206" s="1067"/>
      <c r="IS206" s="1067"/>
      <c r="IT206" s="1067"/>
      <c r="IU206" s="1067"/>
      <c r="IV206" s="1067"/>
    </row>
    <row r="207" spans="1:256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1066"/>
      <c r="BN207" s="1066"/>
      <c r="BO207" s="1066"/>
      <c r="BP207" s="1067"/>
      <c r="BQ207" s="1067"/>
      <c r="BR207" s="1067"/>
      <c r="BS207" s="1067"/>
      <c r="BT207" s="1067"/>
      <c r="BU207" s="1067"/>
      <c r="BV207" s="1067"/>
      <c r="BW207" s="1067"/>
      <c r="BX207" s="1067"/>
      <c r="BY207" s="1067"/>
      <c r="BZ207" s="1067"/>
      <c r="CA207" s="1067"/>
      <c r="CB207" s="1067"/>
      <c r="CC207" s="1067"/>
      <c r="CD207" s="1067"/>
      <c r="CE207" s="1067"/>
      <c r="CF207" s="1067"/>
      <c r="CG207" s="1067"/>
      <c r="CH207" s="1067"/>
      <c r="CI207" s="1067"/>
      <c r="CJ207" s="1067"/>
      <c r="CK207" s="1067"/>
      <c r="CL207" s="1067"/>
      <c r="CM207" s="1067"/>
      <c r="CN207" s="1067"/>
      <c r="CO207" s="1067"/>
      <c r="CP207" s="1067"/>
      <c r="CQ207" s="1067"/>
      <c r="CR207" s="1067"/>
      <c r="CS207" s="1067"/>
      <c r="CT207" s="1067"/>
      <c r="CU207" s="1067"/>
      <c r="CV207" s="1067"/>
      <c r="CW207" s="1067"/>
      <c r="CX207" s="1067"/>
      <c r="CY207" s="1067"/>
      <c r="CZ207" s="1067"/>
      <c r="DA207" s="1067"/>
      <c r="DB207" s="1067"/>
      <c r="DC207" s="1067"/>
      <c r="DD207" s="1067"/>
      <c r="DE207" s="1067"/>
      <c r="DF207" s="1067"/>
      <c r="DG207" s="1067"/>
      <c r="DH207" s="1067"/>
      <c r="DI207" s="1067"/>
      <c r="DJ207" s="1067"/>
      <c r="DK207" s="1067"/>
      <c r="DL207" s="1067"/>
      <c r="DM207" s="1067"/>
      <c r="DN207" s="1067"/>
      <c r="DO207" s="1067"/>
      <c r="DP207" s="1067"/>
      <c r="DQ207" s="1067"/>
      <c r="DR207" s="1067"/>
      <c r="DS207" s="1067"/>
      <c r="DT207" s="1067"/>
      <c r="DU207" s="1067"/>
      <c r="DV207" s="1067"/>
      <c r="DW207" s="1067"/>
      <c r="DX207" s="1067"/>
      <c r="DY207" s="1067"/>
      <c r="DZ207" s="1067"/>
      <c r="EA207" s="1067"/>
      <c r="EB207" s="1067"/>
      <c r="EC207" s="1067"/>
      <c r="ED207" s="1067"/>
      <c r="EE207" s="1067"/>
      <c r="EF207" s="1067"/>
      <c r="EG207" s="1067"/>
      <c r="EH207" s="1067"/>
      <c r="EI207" s="1067"/>
      <c r="EJ207" s="1067"/>
      <c r="EK207" s="1067"/>
      <c r="EL207" s="1067"/>
      <c r="EM207" s="1067"/>
      <c r="EN207" s="1067"/>
      <c r="EO207" s="1067"/>
      <c r="EP207" s="1067"/>
      <c r="EQ207" s="1067"/>
      <c r="ER207" s="1067"/>
      <c r="ES207" s="1067"/>
      <c r="ET207" s="1067"/>
      <c r="EU207" s="1067"/>
      <c r="EV207" s="1067"/>
      <c r="EW207" s="1067"/>
      <c r="EX207" s="1067"/>
      <c r="EY207" s="1067"/>
      <c r="EZ207" s="1067"/>
      <c r="FA207" s="1067"/>
      <c r="FB207" s="1067"/>
      <c r="FC207" s="1067"/>
      <c r="FD207" s="1067"/>
      <c r="FE207" s="1067"/>
      <c r="FF207" s="1067"/>
      <c r="FG207" s="1067"/>
      <c r="FH207" s="1067"/>
      <c r="FI207" s="1067"/>
      <c r="FJ207" s="1067"/>
      <c r="FK207" s="1067"/>
      <c r="FL207" s="1067"/>
      <c r="FM207" s="1067"/>
      <c r="FN207" s="1067"/>
      <c r="FO207" s="1067"/>
      <c r="FP207" s="1067"/>
      <c r="FQ207" s="1067"/>
      <c r="FR207" s="1067"/>
      <c r="FS207" s="1067"/>
      <c r="FT207" s="1067"/>
      <c r="FU207" s="1067"/>
      <c r="FV207" s="1067"/>
      <c r="FW207" s="1067"/>
      <c r="FX207" s="1067"/>
      <c r="FY207" s="1067"/>
      <c r="FZ207" s="1067"/>
      <c r="GA207" s="1067"/>
      <c r="GB207" s="1067"/>
      <c r="GC207" s="1067"/>
      <c r="GD207" s="1067"/>
      <c r="GE207" s="1067"/>
      <c r="GF207" s="1067"/>
      <c r="GG207" s="1067"/>
      <c r="GH207" s="1067"/>
      <c r="GI207" s="1067"/>
      <c r="GJ207" s="1067"/>
      <c r="GK207" s="1067"/>
      <c r="GL207" s="1067"/>
      <c r="GM207" s="1067"/>
      <c r="GN207" s="1067"/>
      <c r="GO207" s="1067"/>
      <c r="GP207" s="1067"/>
      <c r="GQ207" s="1067"/>
      <c r="GR207" s="1067"/>
      <c r="GS207" s="1067"/>
      <c r="GT207" s="1067"/>
      <c r="GU207" s="1067"/>
      <c r="GV207" s="1067"/>
      <c r="GW207" s="1067"/>
      <c r="GX207" s="1067"/>
      <c r="GY207" s="1067"/>
      <c r="GZ207" s="1067"/>
      <c r="HA207" s="1067"/>
      <c r="HB207" s="1067"/>
      <c r="HC207" s="1067"/>
      <c r="HD207" s="1067"/>
      <c r="HE207" s="1067"/>
      <c r="HF207" s="1067"/>
      <c r="HG207" s="1067"/>
      <c r="HH207" s="1067"/>
      <c r="HI207" s="1067"/>
      <c r="HJ207" s="1067"/>
      <c r="HK207" s="1067"/>
      <c r="HL207" s="1067"/>
      <c r="HM207" s="1067"/>
      <c r="HN207" s="1067"/>
      <c r="HO207" s="1067"/>
      <c r="HP207" s="1067"/>
      <c r="HQ207" s="1067"/>
      <c r="HR207" s="1067"/>
      <c r="HS207" s="1067"/>
      <c r="HT207" s="1067"/>
      <c r="HU207" s="1067"/>
      <c r="HV207" s="1067"/>
      <c r="HW207" s="1067"/>
      <c r="HX207" s="1067"/>
      <c r="HY207" s="1067"/>
      <c r="HZ207" s="1067"/>
      <c r="IA207" s="1067"/>
      <c r="IB207" s="1067"/>
      <c r="IC207" s="1067"/>
      <c r="ID207" s="1067"/>
      <c r="IE207" s="1067"/>
      <c r="IF207" s="1067"/>
      <c r="IG207" s="1067"/>
      <c r="IH207" s="1067"/>
      <c r="II207" s="1067"/>
      <c r="IJ207" s="1067"/>
      <c r="IK207" s="1067"/>
      <c r="IL207" s="1067"/>
      <c r="IM207" s="1067"/>
      <c r="IN207" s="1067"/>
      <c r="IO207" s="1067"/>
      <c r="IP207" s="1067"/>
      <c r="IQ207" s="1067"/>
      <c r="IR207" s="1067"/>
      <c r="IS207" s="1067"/>
      <c r="IT207" s="1067"/>
      <c r="IU207" s="1067"/>
      <c r="IV207" s="1067"/>
    </row>
    <row r="208" spans="1:256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1066"/>
      <c r="BN208" s="1066"/>
      <c r="BO208" s="1066"/>
      <c r="BP208" s="1067"/>
      <c r="BQ208" s="1067"/>
      <c r="BR208" s="1067"/>
      <c r="BS208" s="1067"/>
      <c r="BT208" s="1067"/>
      <c r="BU208" s="1067"/>
      <c r="BV208" s="1067"/>
      <c r="BW208" s="1067"/>
      <c r="BX208" s="1067"/>
      <c r="BY208" s="1067"/>
      <c r="BZ208" s="1067"/>
      <c r="CA208" s="1067"/>
      <c r="CB208" s="1067"/>
      <c r="CC208" s="1067"/>
      <c r="CD208" s="1067"/>
      <c r="CE208" s="1067"/>
      <c r="CF208" s="1067"/>
      <c r="CG208" s="1067"/>
      <c r="CH208" s="1067"/>
      <c r="CI208" s="1067"/>
      <c r="CJ208" s="1067"/>
      <c r="CK208" s="1067"/>
      <c r="CL208" s="1067"/>
      <c r="CM208" s="1067"/>
      <c r="CN208" s="1067"/>
      <c r="CO208" s="1067"/>
      <c r="CP208" s="1067"/>
      <c r="CQ208" s="1067"/>
      <c r="CR208" s="1067"/>
      <c r="CS208" s="1067"/>
      <c r="CT208" s="1067"/>
      <c r="CU208" s="1067"/>
      <c r="CV208" s="1067"/>
      <c r="CW208" s="1067"/>
      <c r="CX208" s="1067"/>
      <c r="CY208" s="1067"/>
      <c r="CZ208" s="1067"/>
      <c r="DA208" s="1067"/>
      <c r="DB208" s="1067"/>
      <c r="DC208" s="1067"/>
      <c r="DD208" s="1067"/>
      <c r="DE208" s="1067"/>
      <c r="DF208" s="1067"/>
      <c r="DG208" s="1067"/>
      <c r="DH208" s="1067"/>
      <c r="DI208" s="1067"/>
      <c r="DJ208" s="1067"/>
      <c r="DK208" s="1067"/>
      <c r="DL208" s="1067"/>
      <c r="DM208" s="1067"/>
      <c r="DN208" s="1067"/>
      <c r="DO208" s="1067"/>
      <c r="DP208" s="1067"/>
      <c r="DQ208" s="1067"/>
      <c r="DR208" s="1067"/>
      <c r="DS208" s="1067"/>
      <c r="DT208" s="1067"/>
      <c r="DU208" s="1067"/>
      <c r="DV208" s="1067"/>
      <c r="DW208" s="1067"/>
      <c r="DX208" s="1067"/>
      <c r="DY208" s="1067"/>
      <c r="DZ208" s="1067"/>
      <c r="EA208" s="1067"/>
      <c r="EB208" s="1067"/>
      <c r="EC208" s="1067"/>
      <c r="ED208" s="1067"/>
      <c r="EE208" s="1067"/>
      <c r="EF208" s="1067"/>
      <c r="EG208" s="1067"/>
      <c r="EH208" s="1067"/>
      <c r="EI208" s="1067"/>
      <c r="EJ208" s="1067"/>
      <c r="EK208" s="1067"/>
      <c r="EL208" s="1067"/>
      <c r="EM208" s="1067"/>
      <c r="EN208" s="1067"/>
      <c r="EO208" s="1067"/>
      <c r="EP208" s="1067"/>
      <c r="EQ208" s="1067"/>
      <c r="ER208" s="1067"/>
      <c r="ES208" s="1067"/>
      <c r="ET208" s="1067"/>
      <c r="EU208" s="1067"/>
      <c r="EV208" s="1067"/>
      <c r="EW208" s="1067"/>
      <c r="EX208" s="1067"/>
      <c r="EY208" s="1067"/>
      <c r="EZ208" s="1067"/>
      <c r="FA208" s="1067"/>
      <c r="FB208" s="1067"/>
      <c r="FC208" s="1067"/>
      <c r="FD208" s="1067"/>
      <c r="FE208" s="1067"/>
      <c r="FF208" s="1067"/>
      <c r="FG208" s="1067"/>
      <c r="FH208" s="1067"/>
      <c r="FI208" s="1067"/>
      <c r="FJ208" s="1067"/>
      <c r="FK208" s="1067"/>
      <c r="FL208" s="1067"/>
      <c r="FM208" s="1067"/>
      <c r="FN208" s="1067"/>
      <c r="FO208" s="1067"/>
      <c r="FP208" s="1067"/>
      <c r="FQ208" s="1067"/>
      <c r="FR208" s="1067"/>
      <c r="FS208" s="1067"/>
      <c r="FT208" s="1067"/>
      <c r="FU208" s="1067"/>
      <c r="FV208" s="1067"/>
      <c r="FW208" s="1067"/>
      <c r="FX208" s="1067"/>
      <c r="FY208" s="1067"/>
      <c r="FZ208" s="1067"/>
      <c r="GA208" s="1067"/>
      <c r="GB208" s="1067"/>
      <c r="GC208" s="1067"/>
      <c r="GD208" s="1067"/>
      <c r="GE208" s="1067"/>
      <c r="GF208" s="1067"/>
      <c r="GG208" s="1067"/>
      <c r="GH208" s="1067"/>
      <c r="GI208" s="1067"/>
      <c r="GJ208" s="1067"/>
      <c r="GK208" s="1067"/>
      <c r="GL208" s="1067"/>
      <c r="GM208" s="1067"/>
      <c r="GN208" s="1067"/>
      <c r="GO208" s="1067"/>
      <c r="GP208" s="1067"/>
      <c r="GQ208" s="1067"/>
      <c r="GR208" s="1067"/>
      <c r="GS208" s="1067"/>
      <c r="GT208" s="1067"/>
      <c r="GU208" s="1067"/>
      <c r="GV208" s="1067"/>
      <c r="GW208" s="1067"/>
      <c r="GX208" s="1067"/>
      <c r="GY208" s="1067"/>
      <c r="GZ208" s="1067"/>
      <c r="HA208" s="1067"/>
      <c r="HB208" s="1067"/>
      <c r="HC208" s="1067"/>
      <c r="HD208" s="1067"/>
      <c r="HE208" s="1067"/>
      <c r="HF208" s="1067"/>
      <c r="HG208" s="1067"/>
      <c r="HH208" s="1067"/>
      <c r="HI208" s="1067"/>
      <c r="HJ208" s="1067"/>
      <c r="HK208" s="1067"/>
      <c r="HL208" s="1067"/>
      <c r="HM208" s="1067"/>
      <c r="HN208" s="1067"/>
      <c r="HO208" s="1067"/>
      <c r="HP208" s="1067"/>
      <c r="HQ208" s="1067"/>
      <c r="HR208" s="1067"/>
      <c r="HS208" s="1067"/>
      <c r="HT208" s="1067"/>
      <c r="HU208" s="1067"/>
      <c r="HV208" s="1067"/>
      <c r="HW208" s="1067"/>
      <c r="HX208" s="1067"/>
      <c r="HY208" s="1067"/>
      <c r="HZ208" s="1067"/>
      <c r="IA208" s="1067"/>
      <c r="IB208" s="1067"/>
      <c r="IC208" s="1067"/>
      <c r="ID208" s="1067"/>
      <c r="IE208" s="1067"/>
      <c r="IF208" s="1067"/>
      <c r="IG208" s="1067"/>
      <c r="IH208" s="1067"/>
      <c r="II208" s="1067"/>
      <c r="IJ208" s="1067"/>
      <c r="IK208" s="1067"/>
      <c r="IL208" s="1067"/>
      <c r="IM208" s="1067"/>
      <c r="IN208" s="1067"/>
      <c r="IO208" s="1067"/>
      <c r="IP208" s="1067"/>
      <c r="IQ208" s="1067"/>
      <c r="IR208" s="1067"/>
      <c r="IS208" s="1067"/>
      <c r="IT208" s="1067"/>
      <c r="IU208" s="1067"/>
      <c r="IV208" s="1067"/>
    </row>
    <row r="209" spans="1:256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1063"/>
      <c r="BN209" s="1063"/>
      <c r="BO209" s="1063"/>
      <c r="BP209" s="1064"/>
      <c r="BQ209" s="1064"/>
      <c r="BR209" s="1064"/>
      <c r="BS209" s="1064"/>
      <c r="BT209" s="1064"/>
      <c r="BU209" s="1064"/>
      <c r="BV209" s="1064"/>
      <c r="BW209" s="1064"/>
      <c r="BX209" s="1064"/>
      <c r="BY209" s="1064"/>
      <c r="BZ209" s="1064"/>
      <c r="CA209" s="1064"/>
      <c r="CB209" s="1064"/>
      <c r="CC209" s="1064"/>
      <c r="CD209" s="1064"/>
      <c r="CE209" s="1064"/>
      <c r="CF209" s="1064"/>
      <c r="CG209" s="1064"/>
      <c r="CH209" s="1064"/>
      <c r="CI209" s="1064"/>
      <c r="CJ209" s="1064"/>
      <c r="CK209" s="1064"/>
      <c r="CL209" s="1064"/>
      <c r="CM209" s="1064"/>
      <c r="CN209" s="1064"/>
      <c r="CO209" s="1064"/>
      <c r="CP209" s="1064"/>
      <c r="CQ209" s="1064"/>
      <c r="CR209" s="1064"/>
      <c r="CS209" s="1064"/>
      <c r="CT209" s="1064"/>
      <c r="CU209" s="1064"/>
      <c r="CV209" s="1064"/>
      <c r="CW209" s="1064"/>
      <c r="CX209" s="1064"/>
      <c r="CY209" s="1064"/>
      <c r="CZ209" s="1064"/>
      <c r="DA209" s="1064"/>
      <c r="DB209" s="1064"/>
      <c r="DC209" s="1064"/>
      <c r="DD209" s="1064"/>
      <c r="DE209" s="1064"/>
      <c r="DF209" s="1064"/>
      <c r="DG209" s="1064"/>
      <c r="DH209" s="1064"/>
      <c r="DI209" s="1064"/>
      <c r="DJ209" s="1064"/>
      <c r="DK209" s="1064"/>
      <c r="DL209" s="1064"/>
      <c r="DM209" s="1064"/>
      <c r="DN209" s="1064"/>
      <c r="DO209" s="1064"/>
      <c r="DP209" s="1064"/>
      <c r="DQ209" s="1064"/>
      <c r="DR209" s="1064"/>
      <c r="DS209" s="1064"/>
      <c r="DT209" s="1064"/>
      <c r="DU209" s="1064"/>
      <c r="DV209" s="1064"/>
      <c r="DW209" s="1064"/>
      <c r="DX209" s="1064"/>
      <c r="DY209" s="1064"/>
      <c r="DZ209" s="1064"/>
      <c r="EA209" s="1064"/>
      <c r="EB209" s="1064"/>
      <c r="EC209" s="1064"/>
      <c r="ED209" s="1064"/>
      <c r="EE209" s="1064"/>
      <c r="EF209" s="1064"/>
      <c r="EG209" s="1064"/>
      <c r="EH209" s="1064"/>
      <c r="EI209" s="1064"/>
      <c r="EJ209" s="1064"/>
      <c r="EK209" s="1064"/>
      <c r="EL209" s="1064"/>
      <c r="EM209" s="1064"/>
      <c r="EN209" s="1064"/>
      <c r="EO209" s="1064"/>
      <c r="EP209" s="1064"/>
      <c r="EQ209" s="1064"/>
      <c r="ER209" s="1064"/>
      <c r="ES209" s="1064"/>
      <c r="ET209" s="1064"/>
      <c r="EU209" s="1064"/>
      <c r="EV209" s="1064"/>
      <c r="EW209" s="1064"/>
      <c r="EX209" s="1064"/>
      <c r="EY209" s="1064"/>
      <c r="EZ209" s="1064"/>
      <c r="FA209" s="1064"/>
      <c r="FB209" s="1064"/>
      <c r="FC209" s="1064"/>
      <c r="FD209" s="1064"/>
      <c r="FE209" s="1064"/>
      <c r="FF209" s="1064"/>
      <c r="FG209" s="1064"/>
      <c r="FH209" s="1064"/>
      <c r="FI209" s="1064"/>
      <c r="FJ209" s="1064"/>
      <c r="FK209" s="1064"/>
      <c r="FL209" s="1064"/>
      <c r="FM209" s="1064"/>
      <c r="FN209" s="1064"/>
      <c r="FO209" s="1064"/>
      <c r="FP209" s="1064"/>
      <c r="FQ209" s="1064"/>
      <c r="FR209" s="1064"/>
      <c r="FS209" s="1064"/>
      <c r="FT209" s="1064"/>
      <c r="FU209" s="1064"/>
      <c r="FV209" s="1064"/>
      <c r="FW209" s="1064"/>
      <c r="FX209" s="1064"/>
      <c r="FY209" s="1064"/>
      <c r="FZ209" s="1064"/>
      <c r="GA209" s="1064"/>
      <c r="GB209" s="1064"/>
      <c r="GC209" s="1064"/>
      <c r="GD209" s="1064"/>
      <c r="GE209" s="1064"/>
      <c r="GF209" s="1064"/>
      <c r="GG209" s="1064"/>
      <c r="GH209" s="1064"/>
      <c r="GI209" s="1064"/>
      <c r="GJ209" s="1064"/>
      <c r="GK209" s="1064"/>
      <c r="GL209" s="1064"/>
      <c r="GM209" s="1064"/>
      <c r="GN209" s="1064"/>
      <c r="GO209" s="1064"/>
      <c r="GP209" s="1064"/>
      <c r="GQ209" s="1064"/>
      <c r="GR209" s="1064"/>
      <c r="GS209" s="1064"/>
      <c r="GT209" s="1064"/>
      <c r="GU209" s="1064"/>
      <c r="GV209" s="1064"/>
      <c r="GW209" s="1064"/>
      <c r="GX209" s="1064"/>
      <c r="GY209" s="1064"/>
      <c r="GZ209" s="1064"/>
      <c r="HA209" s="1064"/>
      <c r="HB209" s="1064"/>
      <c r="HC209" s="1064"/>
      <c r="HD209" s="1064"/>
      <c r="HE209" s="1064"/>
      <c r="HF209" s="1064"/>
      <c r="HG209" s="1064"/>
      <c r="HH209" s="1064"/>
      <c r="HI209" s="1064"/>
      <c r="HJ209" s="1064"/>
      <c r="HK209" s="1064"/>
      <c r="HL209" s="1064"/>
      <c r="HM209" s="1064"/>
      <c r="HN209" s="1064"/>
      <c r="HO209" s="1064"/>
      <c r="HP209" s="1064"/>
      <c r="HQ209" s="1064"/>
      <c r="HR209" s="1064"/>
      <c r="HS209" s="1064"/>
      <c r="HT209" s="1064"/>
      <c r="HU209" s="1064"/>
      <c r="HV209" s="1064"/>
      <c r="HW209" s="1064"/>
      <c r="HX209" s="1064"/>
      <c r="HY209" s="1064"/>
      <c r="HZ209" s="1064"/>
      <c r="IA209" s="1064"/>
      <c r="IB209" s="1064"/>
      <c r="IC209" s="1064"/>
      <c r="ID209" s="1064"/>
      <c r="IE209" s="1064"/>
      <c r="IF209" s="1064"/>
      <c r="IG209" s="1064"/>
      <c r="IH209" s="1064"/>
      <c r="II209" s="1064"/>
      <c r="IJ209" s="1064"/>
      <c r="IK209" s="1064"/>
      <c r="IL209" s="1064"/>
      <c r="IM209" s="1064"/>
      <c r="IN209" s="1064"/>
      <c r="IO209" s="1064"/>
      <c r="IP209" s="1064"/>
      <c r="IQ209" s="1064"/>
      <c r="IR209" s="1064"/>
      <c r="IS209" s="1064"/>
      <c r="IT209" s="1064"/>
      <c r="IU209" s="1064"/>
      <c r="IV209" s="1064"/>
    </row>
    <row r="210" spans="1:256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1063"/>
      <c r="BN210" s="1063"/>
      <c r="BO210" s="1063"/>
      <c r="BP210" s="1064"/>
      <c r="BQ210" s="1064"/>
      <c r="BR210" s="1064"/>
      <c r="BS210" s="1064"/>
      <c r="BT210" s="1064"/>
      <c r="BU210" s="1064"/>
      <c r="BV210" s="1064"/>
      <c r="BW210" s="1064"/>
      <c r="BX210" s="1064"/>
      <c r="BY210" s="1064"/>
      <c r="BZ210" s="1064"/>
      <c r="CA210" s="1064"/>
      <c r="CB210" s="1064"/>
      <c r="CC210" s="1064"/>
      <c r="CD210" s="1064"/>
      <c r="CE210" s="1064"/>
      <c r="CF210" s="1064"/>
      <c r="CG210" s="1064"/>
      <c r="CH210" s="1064"/>
      <c r="CI210" s="1064"/>
      <c r="CJ210" s="1064"/>
      <c r="CK210" s="1064"/>
      <c r="CL210" s="1064"/>
      <c r="CM210" s="1064"/>
      <c r="CN210" s="1064"/>
      <c r="CO210" s="1064"/>
      <c r="CP210" s="1064"/>
      <c r="CQ210" s="1064"/>
      <c r="CR210" s="1064"/>
      <c r="CS210" s="1064"/>
      <c r="CT210" s="1064"/>
      <c r="CU210" s="1064"/>
      <c r="CV210" s="1064"/>
      <c r="CW210" s="1064"/>
      <c r="CX210" s="1064"/>
      <c r="CY210" s="1064"/>
      <c r="CZ210" s="1064"/>
      <c r="DA210" s="1064"/>
      <c r="DB210" s="1064"/>
      <c r="DC210" s="1064"/>
      <c r="DD210" s="1064"/>
      <c r="DE210" s="1064"/>
      <c r="DF210" s="1064"/>
      <c r="DG210" s="1064"/>
      <c r="DH210" s="1064"/>
      <c r="DI210" s="1064"/>
      <c r="DJ210" s="1064"/>
      <c r="DK210" s="1064"/>
      <c r="DL210" s="1064"/>
      <c r="DM210" s="1064"/>
      <c r="DN210" s="1064"/>
      <c r="DO210" s="1064"/>
      <c r="DP210" s="1064"/>
      <c r="DQ210" s="1064"/>
      <c r="DR210" s="1064"/>
      <c r="DS210" s="1064"/>
      <c r="DT210" s="1064"/>
      <c r="DU210" s="1064"/>
      <c r="DV210" s="1064"/>
      <c r="DW210" s="1064"/>
      <c r="DX210" s="1064"/>
      <c r="DY210" s="1064"/>
      <c r="DZ210" s="1064"/>
      <c r="EA210" s="1064"/>
      <c r="EB210" s="1064"/>
      <c r="EC210" s="1064"/>
      <c r="ED210" s="1064"/>
      <c r="EE210" s="1064"/>
      <c r="EF210" s="1064"/>
      <c r="EG210" s="1064"/>
      <c r="EH210" s="1064"/>
      <c r="EI210" s="1064"/>
      <c r="EJ210" s="1064"/>
      <c r="EK210" s="1064"/>
      <c r="EL210" s="1064"/>
      <c r="EM210" s="1064"/>
      <c r="EN210" s="1064"/>
      <c r="EO210" s="1064"/>
      <c r="EP210" s="1064"/>
      <c r="EQ210" s="1064"/>
      <c r="ER210" s="1064"/>
      <c r="ES210" s="1064"/>
      <c r="ET210" s="1064"/>
      <c r="EU210" s="1064"/>
      <c r="EV210" s="1064"/>
      <c r="EW210" s="1064"/>
      <c r="EX210" s="1064"/>
      <c r="EY210" s="1064"/>
      <c r="EZ210" s="1064"/>
      <c r="FA210" s="1064"/>
      <c r="FB210" s="1064"/>
      <c r="FC210" s="1064"/>
      <c r="FD210" s="1064"/>
      <c r="FE210" s="1064"/>
      <c r="FF210" s="1064"/>
      <c r="FG210" s="1064"/>
      <c r="FH210" s="1064"/>
      <c r="FI210" s="1064"/>
      <c r="FJ210" s="1064"/>
      <c r="FK210" s="1064"/>
      <c r="FL210" s="1064"/>
      <c r="FM210" s="1064"/>
      <c r="FN210" s="1064"/>
      <c r="FO210" s="1064"/>
      <c r="FP210" s="1064"/>
      <c r="FQ210" s="1064"/>
      <c r="FR210" s="1064"/>
      <c r="FS210" s="1064"/>
      <c r="FT210" s="1064"/>
      <c r="FU210" s="1064"/>
      <c r="FV210" s="1064"/>
      <c r="FW210" s="1064"/>
      <c r="FX210" s="1064"/>
      <c r="FY210" s="1064"/>
      <c r="FZ210" s="1064"/>
      <c r="GA210" s="1064"/>
      <c r="GB210" s="1064"/>
      <c r="GC210" s="1064"/>
      <c r="GD210" s="1064"/>
      <c r="GE210" s="1064"/>
      <c r="GF210" s="1064"/>
      <c r="GG210" s="1064"/>
      <c r="GH210" s="1064"/>
      <c r="GI210" s="1064"/>
      <c r="GJ210" s="1064"/>
      <c r="GK210" s="1064"/>
      <c r="GL210" s="1064"/>
      <c r="GM210" s="1064"/>
      <c r="GN210" s="1064"/>
      <c r="GO210" s="1064"/>
      <c r="GP210" s="1064"/>
      <c r="GQ210" s="1064"/>
      <c r="GR210" s="1064"/>
      <c r="GS210" s="1064"/>
      <c r="GT210" s="1064"/>
      <c r="GU210" s="1064"/>
      <c r="GV210" s="1064"/>
      <c r="GW210" s="1064"/>
      <c r="GX210" s="1064"/>
      <c r="GY210" s="1064"/>
      <c r="GZ210" s="1064"/>
      <c r="HA210" s="1064"/>
      <c r="HB210" s="1064"/>
      <c r="HC210" s="1064"/>
      <c r="HD210" s="1064"/>
      <c r="HE210" s="1064"/>
      <c r="HF210" s="1064"/>
      <c r="HG210" s="1064"/>
      <c r="HH210" s="1064"/>
      <c r="HI210" s="1064"/>
      <c r="HJ210" s="1064"/>
      <c r="HK210" s="1064"/>
      <c r="HL210" s="1064"/>
      <c r="HM210" s="1064"/>
      <c r="HN210" s="1064"/>
      <c r="HO210" s="1064"/>
      <c r="HP210" s="1064"/>
      <c r="HQ210" s="1064"/>
      <c r="HR210" s="1064"/>
      <c r="HS210" s="1064"/>
      <c r="HT210" s="1064"/>
      <c r="HU210" s="1064"/>
      <c r="HV210" s="1064"/>
      <c r="HW210" s="1064"/>
      <c r="HX210" s="1064"/>
      <c r="HY210" s="1064"/>
      <c r="HZ210" s="1064"/>
      <c r="IA210" s="1064"/>
      <c r="IB210" s="1064"/>
      <c r="IC210" s="1064"/>
      <c r="ID210" s="1064"/>
      <c r="IE210" s="1064"/>
      <c r="IF210" s="1064"/>
      <c r="IG210" s="1064"/>
      <c r="IH210" s="1064"/>
      <c r="II210" s="1064"/>
      <c r="IJ210" s="1064"/>
      <c r="IK210" s="1064"/>
      <c r="IL210" s="1064"/>
      <c r="IM210" s="1064"/>
      <c r="IN210" s="1064"/>
      <c r="IO210" s="1064"/>
      <c r="IP210" s="1064"/>
      <c r="IQ210" s="1064"/>
      <c r="IR210" s="1064"/>
      <c r="IS210" s="1064"/>
      <c r="IT210" s="1064"/>
      <c r="IU210" s="1064"/>
      <c r="IV210" s="1064"/>
    </row>
    <row r="211" spans="1:256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1063"/>
      <c r="BN211" s="1063"/>
      <c r="BO211" s="1063"/>
      <c r="BP211" s="1064"/>
      <c r="BQ211" s="1064"/>
      <c r="BR211" s="1064"/>
      <c r="BS211" s="1064"/>
      <c r="BT211" s="1064"/>
      <c r="BU211" s="1064"/>
      <c r="BV211" s="1064"/>
      <c r="BW211" s="1064"/>
      <c r="BX211" s="1064"/>
      <c r="BY211" s="1064"/>
      <c r="BZ211" s="1064"/>
      <c r="CA211" s="1064"/>
      <c r="CB211" s="1064"/>
      <c r="CC211" s="1064"/>
      <c r="CD211" s="1064"/>
      <c r="CE211" s="1064"/>
      <c r="CF211" s="1064"/>
      <c r="CG211" s="1064"/>
      <c r="CH211" s="1064"/>
      <c r="CI211" s="1064"/>
      <c r="CJ211" s="1064"/>
      <c r="CK211" s="1064"/>
      <c r="CL211" s="1064"/>
      <c r="CM211" s="1064"/>
      <c r="CN211" s="1064"/>
      <c r="CO211" s="1064"/>
      <c r="CP211" s="1064"/>
      <c r="CQ211" s="1064"/>
      <c r="CR211" s="1064"/>
      <c r="CS211" s="1064"/>
      <c r="CT211" s="1064"/>
      <c r="CU211" s="1064"/>
      <c r="CV211" s="1064"/>
      <c r="CW211" s="1064"/>
      <c r="CX211" s="1064"/>
      <c r="CY211" s="1064"/>
      <c r="CZ211" s="1064"/>
      <c r="DA211" s="1064"/>
      <c r="DB211" s="1064"/>
      <c r="DC211" s="1064"/>
      <c r="DD211" s="1064"/>
      <c r="DE211" s="1064"/>
      <c r="DF211" s="1064"/>
      <c r="DG211" s="1064"/>
      <c r="DH211" s="1064"/>
      <c r="DI211" s="1064"/>
      <c r="DJ211" s="1064"/>
      <c r="DK211" s="1064"/>
      <c r="DL211" s="1064"/>
      <c r="DM211" s="1064"/>
      <c r="DN211" s="1064"/>
      <c r="DO211" s="1064"/>
      <c r="DP211" s="1064"/>
      <c r="DQ211" s="1064"/>
      <c r="DR211" s="1064"/>
      <c r="DS211" s="1064"/>
      <c r="DT211" s="1064"/>
      <c r="DU211" s="1064"/>
      <c r="DV211" s="1064"/>
      <c r="DW211" s="1064"/>
      <c r="DX211" s="1064"/>
      <c r="DY211" s="1064"/>
      <c r="DZ211" s="1064"/>
      <c r="EA211" s="1064"/>
      <c r="EB211" s="1064"/>
      <c r="EC211" s="1064"/>
      <c r="ED211" s="1064"/>
      <c r="EE211" s="1064"/>
      <c r="EF211" s="1064"/>
      <c r="EG211" s="1064"/>
      <c r="EH211" s="1064"/>
      <c r="EI211" s="1064"/>
      <c r="EJ211" s="1064"/>
      <c r="EK211" s="1064"/>
      <c r="EL211" s="1064"/>
      <c r="EM211" s="1064"/>
      <c r="EN211" s="1064"/>
      <c r="EO211" s="1064"/>
      <c r="EP211" s="1064"/>
      <c r="EQ211" s="1064"/>
      <c r="ER211" s="1064"/>
      <c r="ES211" s="1064"/>
      <c r="ET211" s="1064"/>
      <c r="EU211" s="1064"/>
      <c r="EV211" s="1064"/>
      <c r="EW211" s="1064"/>
      <c r="EX211" s="1064"/>
      <c r="EY211" s="1064"/>
      <c r="EZ211" s="1064"/>
      <c r="FA211" s="1064"/>
      <c r="FB211" s="1064"/>
      <c r="FC211" s="1064"/>
      <c r="FD211" s="1064"/>
      <c r="FE211" s="1064"/>
      <c r="FF211" s="1064"/>
      <c r="FG211" s="1064"/>
      <c r="FH211" s="1064"/>
      <c r="FI211" s="1064"/>
      <c r="FJ211" s="1064"/>
      <c r="FK211" s="1064"/>
      <c r="FL211" s="1064"/>
      <c r="FM211" s="1064"/>
      <c r="FN211" s="1064"/>
      <c r="FO211" s="1064"/>
      <c r="FP211" s="1064"/>
      <c r="FQ211" s="1064"/>
      <c r="FR211" s="1064"/>
      <c r="FS211" s="1064"/>
      <c r="FT211" s="1064"/>
      <c r="FU211" s="1064"/>
      <c r="FV211" s="1064"/>
      <c r="FW211" s="1064"/>
      <c r="FX211" s="1064"/>
      <c r="FY211" s="1064"/>
      <c r="FZ211" s="1064"/>
      <c r="GA211" s="1064"/>
      <c r="GB211" s="1064"/>
      <c r="GC211" s="1064"/>
      <c r="GD211" s="1064"/>
      <c r="GE211" s="1064"/>
      <c r="GF211" s="1064"/>
      <c r="GG211" s="1064"/>
      <c r="GH211" s="1064"/>
      <c r="GI211" s="1064"/>
      <c r="GJ211" s="1064"/>
      <c r="GK211" s="1064"/>
      <c r="GL211" s="1064"/>
      <c r="GM211" s="1064"/>
      <c r="GN211" s="1064"/>
      <c r="GO211" s="1064"/>
      <c r="GP211" s="1064"/>
      <c r="GQ211" s="1064"/>
      <c r="GR211" s="1064"/>
      <c r="GS211" s="1064"/>
      <c r="GT211" s="1064"/>
      <c r="GU211" s="1064"/>
      <c r="GV211" s="1064"/>
      <c r="GW211" s="1064"/>
      <c r="GX211" s="1064"/>
      <c r="GY211" s="1064"/>
      <c r="GZ211" s="1064"/>
      <c r="HA211" s="1064"/>
      <c r="HB211" s="1064"/>
      <c r="HC211" s="1064"/>
      <c r="HD211" s="1064"/>
      <c r="HE211" s="1064"/>
      <c r="HF211" s="1064"/>
      <c r="HG211" s="1064"/>
      <c r="HH211" s="1064"/>
      <c r="HI211" s="1064"/>
      <c r="HJ211" s="1064"/>
      <c r="HK211" s="1064"/>
      <c r="HL211" s="1064"/>
      <c r="HM211" s="1064"/>
      <c r="HN211" s="1064"/>
      <c r="HO211" s="1064"/>
      <c r="HP211" s="1064"/>
      <c r="HQ211" s="1064"/>
      <c r="HR211" s="1064"/>
      <c r="HS211" s="1064"/>
      <c r="HT211" s="1064"/>
      <c r="HU211" s="1064"/>
      <c r="HV211" s="1064"/>
      <c r="HW211" s="1064"/>
      <c r="HX211" s="1064"/>
      <c r="HY211" s="1064"/>
      <c r="HZ211" s="1064"/>
      <c r="IA211" s="1064"/>
      <c r="IB211" s="1064"/>
      <c r="IC211" s="1064"/>
      <c r="ID211" s="1064"/>
      <c r="IE211" s="1064"/>
      <c r="IF211" s="1064"/>
      <c r="IG211" s="1064"/>
      <c r="IH211" s="1064"/>
      <c r="II211" s="1064"/>
      <c r="IJ211" s="1064"/>
      <c r="IK211" s="1064"/>
      <c r="IL211" s="1064"/>
      <c r="IM211" s="1064"/>
      <c r="IN211" s="1064"/>
      <c r="IO211" s="1064"/>
      <c r="IP211" s="1064"/>
      <c r="IQ211" s="1064"/>
      <c r="IR211" s="1064"/>
      <c r="IS211" s="1064"/>
      <c r="IT211" s="1064"/>
      <c r="IU211" s="1064"/>
      <c r="IV211" s="1064"/>
    </row>
    <row r="212" spans="1:256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1063"/>
      <c r="BN212" s="1063"/>
      <c r="BO212" s="1063"/>
      <c r="BP212" s="1064"/>
      <c r="BQ212" s="1064"/>
      <c r="BR212" s="1064"/>
      <c r="BS212" s="1064"/>
      <c r="BT212" s="1064"/>
      <c r="BU212" s="1064"/>
      <c r="BV212" s="1064"/>
      <c r="BW212" s="1064"/>
      <c r="BX212" s="1064"/>
      <c r="BY212" s="1064"/>
      <c r="BZ212" s="1064"/>
      <c r="CA212" s="1064"/>
      <c r="CB212" s="1064"/>
      <c r="CC212" s="1064"/>
      <c r="CD212" s="1064"/>
      <c r="CE212" s="1064"/>
      <c r="CF212" s="1064"/>
      <c r="CG212" s="1064"/>
      <c r="CH212" s="1064"/>
      <c r="CI212" s="1064"/>
      <c r="CJ212" s="1064"/>
      <c r="CK212" s="1064"/>
      <c r="CL212" s="1064"/>
      <c r="CM212" s="1064"/>
      <c r="CN212" s="1064"/>
      <c r="CO212" s="1064"/>
      <c r="CP212" s="1064"/>
      <c r="CQ212" s="1064"/>
      <c r="CR212" s="1064"/>
      <c r="CS212" s="1064"/>
      <c r="CT212" s="1064"/>
      <c r="CU212" s="1064"/>
      <c r="CV212" s="1064"/>
      <c r="CW212" s="1064"/>
      <c r="CX212" s="1064"/>
      <c r="CY212" s="1064"/>
      <c r="CZ212" s="1064"/>
      <c r="DA212" s="1064"/>
      <c r="DB212" s="1064"/>
      <c r="DC212" s="1064"/>
      <c r="DD212" s="1064"/>
      <c r="DE212" s="1064"/>
      <c r="DF212" s="1064"/>
      <c r="DG212" s="1064"/>
      <c r="DH212" s="1064"/>
      <c r="DI212" s="1064"/>
      <c r="DJ212" s="1064"/>
      <c r="DK212" s="1064"/>
      <c r="DL212" s="1064"/>
      <c r="DM212" s="1064"/>
      <c r="DN212" s="1064"/>
      <c r="DO212" s="1064"/>
      <c r="DP212" s="1064"/>
      <c r="DQ212" s="1064"/>
      <c r="DR212" s="1064"/>
      <c r="DS212" s="1064"/>
      <c r="DT212" s="1064"/>
      <c r="DU212" s="1064"/>
      <c r="DV212" s="1064"/>
      <c r="DW212" s="1064"/>
      <c r="DX212" s="1064"/>
      <c r="DY212" s="1064"/>
      <c r="DZ212" s="1064"/>
      <c r="EA212" s="1064"/>
      <c r="EB212" s="1064"/>
      <c r="EC212" s="1064"/>
      <c r="ED212" s="1064"/>
      <c r="EE212" s="1064"/>
      <c r="EF212" s="1064"/>
      <c r="EG212" s="1064"/>
      <c r="EH212" s="1064"/>
      <c r="EI212" s="1064"/>
      <c r="EJ212" s="1064"/>
      <c r="EK212" s="1064"/>
      <c r="EL212" s="1064"/>
      <c r="EM212" s="1064"/>
      <c r="EN212" s="1064"/>
      <c r="EO212" s="1064"/>
      <c r="EP212" s="1064"/>
      <c r="EQ212" s="1064"/>
      <c r="ER212" s="1064"/>
      <c r="ES212" s="1064"/>
      <c r="ET212" s="1064"/>
      <c r="EU212" s="1064"/>
      <c r="EV212" s="1064"/>
      <c r="EW212" s="1064"/>
      <c r="EX212" s="1064"/>
      <c r="EY212" s="1064"/>
      <c r="EZ212" s="1064"/>
      <c r="FA212" s="1064"/>
      <c r="FB212" s="1064"/>
      <c r="FC212" s="1064"/>
      <c r="FD212" s="1064"/>
      <c r="FE212" s="1064"/>
      <c r="FF212" s="1064"/>
      <c r="FG212" s="1064"/>
      <c r="FH212" s="1064"/>
      <c r="FI212" s="1064"/>
      <c r="FJ212" s="1064"/>
      <c r="FK212" s="1064"/>
      <c r="FL212" s="1064"/>
      <c r="FM212" s="1064"/>
      <c r="FN212" s="1064"/>
      <c r="FO212" s="1064"/>
      <c r="FP212" s="1064"/>
      <c r="FQ212" s="1064"/>
      <c r="FR212" s="1064"/>
      <c r="FS212" s="1064"/>
      <c r="FT212" s="1064"/>
      <c r="FU212" s="1064"/>
      <c r="FV212" s="1064"/>
      <c r="FW212" s="1064"/>
      <c r="FX212" s="1064"/>
      <c r="FY212" s="1064"/>
      <c r="FZ212" s="1064"/>
      <c r="GA212" s="1064"/>
      <c r="GB212" s="1064"/>
      <c r="GC212" s="1064"/>
      <c r="GD212" s="1064"/>
      <c r="GE212" s="1064"/>
      <c r="GF212" s="1064"/>
      <c r="GG212" s="1064"/>
      <c r="GH212" s="1064"/>
      <c r="GI212" s="1064"/>
      <c r="GJ212" s="1064"/>
      <c r="GK212" s="1064"/>
      <c r="GL212" s="1064"/>
      <c r="GM212" s="1064"/>
      <c r="GN212" s="1064"/>
      <c r="GO212" s="1064"/>
      <c r="GP212" s="1064"/>
      <c r="GQ212" s="1064"/>
      <c r="GR212" s="1064"/>
      <c r="GS212" s="1064"/>
      <c r="GT212" s="1064"/>
      <c r="GU212" s="1064"/>
      <c r="GV212" s="1064"/>
      <c r="GW212" s="1064"/>
      <c r="GX212" s="1064"/>
      <c r="GY212" s="1064"/>
      <c r="GZ212" s="1064"/>
      <c r="HA212" s="1064"/>
      <c r="HB212" s="1064"/>
      <c r="HC212" s="1064"/>
      <c r="HD212" s="1064"/>
      <c r="HE212" s="1064"/>
      <c r="HF212" s="1064"/>
      <c r="HG212" s="1064"/>
      <c r="HH212" s="1064"/>
      <c r="HI212" s="1064"/>
      <c r="HJ212" s="1064"/>
      <c r="HK212" s="1064"/>
      <c r="HL212" s="1064"/>
      <c r="HM212" s="1064"/>
      <c r="HN212" s="1064"/>
      <c r="HO212" s="1064"/>
      <c r="HP212" s="1064"/>
      <c r="HQ212" s="1064"/>
      <c r="HR212" s="1064"/>
      <c r="HS212" s="1064"/>
      <c r="HT212" s="1064"/>
      <c r="HU212" s="1064"/>
      <c r="HV212" s="1064"/>
      <c r="HW212" s="1064"/>
      <c r="HX212" s="1064"/>
      <c r="HY212" s="1064"/>
      <c r="HZ212" s="1064"/>
      <c r="IA212" s="1064"/>
      <c r="IB212" s="1064"/>
      <c r="IC212" s="1064"/>
      <c r="ID212" s="1064"/>
      <c r="IE212" s="1064"/>
      <c r="IF212" s="1064"/>
      <c r="IG212" s="1064"/>
      <c r="IH212" s="1064"/>
      <c r="II212" s="1064"/>
      <c r="IJ212" s="1064"/>
      <c r="IK212" s="1064"/>
      <c r="IL212" s="1064"/>
      <c r="IM212" s="1064"/>
      <c r="IN212" s="1064"/>
      <c r="IO212" s="1064"/>
      <c r="IP212" s="1064"/>
      <c r="IQ212" s="1064"/>
      <c r="IR212" s="1064"/>
      <c r="IS212" s="1064"/>
      <c r="IT212" s="1064"/>
      <c r="IU212" s="1064"/>
      <c r="IV212" s="1064"/>
    </row>
    <row r="213" spans="1:256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1063"/>
      <c r="BN213" s="1063"/>
      <c r="BO213" s="1063"/>
      <c r="BP213" s="1064"/>
      <c r="BQ213" s="1064"/>
      <c r="BR213" s="1064"/>
      <c r="BS213" s="1064"/>
      <c r="BT213" s="1064"/>
      <c r="BU213" s="1064"/>
      <c r="BV213" s="1064"/>
      <c r="BW213" s="1064"/>
      <c r="BX213" s="1064"/>
      <c r="BY213" s="1064"/>
      <c r="BZ213" s="1064"/>
      <c r="CA213" s="1064"/>
      <c r="CB213" s="1064"/>
      <c r="CC213" s="1064"/>
      <c r="CD213" s="1064"/>
      <c r="CE213" s="1064"/>
      <c r="CF213" s="1064"/>
      <c r="CG213" s="1064"/>
      <c r="CH213" s="1064"/>
      <c r="CI213" s="1064"/>
      <c r="CJ213" s="1064"/>
      <c r="CK213" s="1064"/>
      <c r="CL213" s="1064"/>
      <c r="CM213" s="1064"/>
      <c r="CN213" s="1064"/>
      <c r="CO213" s="1064"/>
      <c r="CP213" s="1064"/>
      <c r="CQ213" s="1064"/>
      <c r="CR213" s="1064"/>
      <c r="CS213" s="1064"/>
      <c r="CT213" s="1064"/>
      <c r="CU213" s="1064"/>
      <c r="CV213" s="1064"/>
      <c r="CW213" s="1064"/>
      <c r="CX213" s="1064"/>
      <c r="CY213" s="1064"/>
      <c r="CZ213" s="1064"/>
      <c r="DA213" s="1064"/>
      <c r="DB213" s="1064"/>
      <c r="DC213" s="1064"/>
      <c r="DD213" s="1064"/>
      <c r="DE213" s="1064"/>
      <c r="DF213" s="1064"/>
      <c r="DG213" s="1064"/>
      <c r="DH213" s="1064"/>
      <c r="DI213" s="1064"/>
      <c r="DJ213" s="1064"/>
      <c r="DK213" s="1064"/>
      <c r="DL213" s="1064"/>
      <c r="DM213" s="1064"/>
      <c r="DN213" s="1064"/>
      <c r="DO213" s="1064"/>
      <c r="DP213" s="1064"/>
      <c r="DQ213" s="1064"/>
      <c r="DR213" s="1064"/>
      <c r="DS213" s="1064"/>
      <c r="DT213" s="1064"/>
      <c r="DU213" s="1064"/>
      <c r="DV213" s="1064"/>
      <c r="DW213" s="1064"/>
      <c r="DX213" s="1064"/>
      <c r="DY213" s="1064"/>
      <c r="DZ213" s="1064"/>
      <c r="EA213" s="1064"/>
      <c r="EB213" s="1064"/>
      <c r="EC213" s="1064"/>
      <c r="ED213" s="1064"/>
      <c r="EE213" s="1064"/>
      <c r="EF213" s="1064"/>
      <c r="EG213" s="1064"/>
      <c r="EH213" s="1064"/>
      <c r="EI213" s="1064"/>
      <c r="EJ213" s="1064"/>
      <c r="EK213" s="1064"/>
      <c r="EL213" s="1064"/>
      <c r="EM213" s="1064"/>
      <c r="EN213" s="1064"/>
      <c r="EO213" s="1064"/>
      <c r="EP213" s="1064"/>
      <c r="EQ213" s="1064"/>
      <c r="ER213" s="1064"/>
      <c r="ES213" s="1064"/>
      <c r="ET213" s="1064"/>
      <c r="EU213" s="1064"/>
      <c r="EV213" s="1064"/>
      <c r="EW213" s="1064"/>
      <c r="EX213" s="1064"/>
      <c r="EY213" s="1064"/>
      <c r="EZ213" s="1064"/>
      <c r="FA213" s="1064"/>
      <c r="FB213" s="1064"/>
      <c r="FC213" s="1064"/>
      <c r="FD213" s="1064"/>
      <c r="FE213" s="1064"/>
      <c r="FF213" s="1064"/>
      <c r="FG213" s="1064"/>
      <c r="FH213" s="1064"/>
      <c r="FI213" s="1064"/>
      <c r="FJ213" s="1064"/>
      <c r="FK213" s="1064"/>
      <c r="FL213" s="1064"/>
      <c r="FM213" s="1064"/>
      <c r="FN213" s="1064"/>
      <c r="FO213" s="1064"/>
      <c r="FP213" s="1064"/>
      <c r="FQ213" s="1064"/>
      <c r="FR213" s="1064"/>
      <c r="FS213" s="1064"/>
      <c r="FT213" s="1064"/>
      <c r="FU213" s="1064"/>
      <c r="FV213" s="1064"/>
      <c r="FW213" s="1064"/>
      <c r="FX213" s="1064"/>
      <c r="FY213" s="1064"/>
      <c r="FZ213" s="1064"/>
      <c r="GA213" s="1064"/>
      <c r="GB213" s="1064"/>
      <c r="GC213" s="1064"/>
      <c r="GD213" s="1064"/>
      <c r="GE213" s="1064"/>
      <c r="GF213" s="1064"/>
      <c r="GG213" s="1064"/>
      <c r="GH213" s="1064"/>
      <c r="GI213" s="1064"/>
      <c r="GJ213" s="1064"/>
      <c r="GK213" s="1064"/>
      <c r="GL213" s="1064"/>
      <c r="GM213" s="1064"/>
      <c r="GN213" s="1064"/>
      <c r="GO213" s="1064"/>
      <c r="GP213" s="1064"/>
      <c r="GQ213" s="1064"/>
      <c r="GR213" s="1064"/>
      <c r="GS213" s="1064"/>
      <c r="GT213" s="1064"/>
      <c r="GU213" s="1064"/>
      <c r="GV213" s="1064"/>
      <c r="GW213" s="1064"/>
      <c r="GX213" s="1064"/>
      <c r="GY213" s="1064"/>
      <c r="GZ213" s="1064"/>
      <c r="HA213" s="1064"/>
      <c r="HB213" s="1064"/>
      <c r="HC213" s="1064"/>
      <c r="HD213" s="1064"/>
      <c r="HE213" s="1064"/>
      <c r="HF213" s="1064"/>
      <c r="HG213" s="1064"/>
      <c r="HH213" s="1064"/>
      <c r="HI213" s="1064"/>
      <c r="HJ213" s="1064"/>
      <c r="HK213" s="1064"/>
      <c r="HL213" s="1064"/>
      <c r="HM213" s="1064"/>
      <c r="HN213" s="1064"/>
      <c r="HO213" s="1064"/>
      <c r="HP213" s="1064"/>
      <c r="HQ213" s="1064"/>
      <c r="HR213" s="1064"/>
      <c r="HS213" s="1064"/>
      <c r="HT213" s="1064"/>
      <c r="HU213" s="1064"/>
      <c r="HV213" s="1064"/>
      <c r="HW213" s="1064"/>
      <c r="HX213" s="1064"/>
      <c r="HY213" s="1064"/>
      <c r="HZ213" s="1064"/>
      <c r="IA213" s="1064"/>
      <c r="IB213" s="1064"/>
      <c r="IC213" s="1064"/>
      <c r="ID213" s="1064"/>
      <c r="IE213" s="1064"/>
      <c r="IF213" s="1064"/>
      <c r="IG213" s="1064"/>
      <c r="IH213" s="1064"/>
      <c r="II213" s="1064"/>
      <c r="IJ213" s="1064"/>
      <c r="IK213" s="1064"/>
      <c r="IL213" s="1064"/>
      <c r="IM213" s="1064"/>
      <c r="IN213" s="1064"/>
      <c r="IO213" s="1064"/>
      <c r="IP213" s="1064"/>
      <c r="IQ213" s="1064"/>
      <c r="IR213" s="1064"/>
      <c r="IS213" s="1064"/>
      <c r="IT213" s="1064"/>
      <c r="IU213" s="1064"/>
      <c r="IV213" s="1064"/>
    </row>
    <row r="214" spans="1:256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1063"/>
      <c r="BN214" s="1063"/>
      <c r="BO214" s="1063"/>
      <c r="BP214" s="1064"/>
      <c r="BQ214" s="1064"/>
      <c r="BR214" s="1064"/>
      <c r="BS214" s="1064"/>
      <c r="BT214" s="1064"/>
      <c r="BU214" s="1064"/>
      <c r="BV214" s="1064"/>
      <c r="BW214" s="1064"/>
      <c r="BX214" s="1064"/>
      <c r="BY214" s="1064"/>
      <c r="BZ214" s="1064"/>
      <c r="CA214" s="1064"/>
      <c r="CB214" s="1064"/>
      <c r="CC214" s="1064"/>
      <c r="CD214" s="1064"/>
      <c r="CE214" s="1064"/>
      <c r="CF214" s="1064"/>
      <c r="CG214" s="1064"/>
      <c r="CH214" s="1064"/>
      <c r="CI214" s="1064"/>
      <c r="CJ214" s="1064"/>
      <c r="CK214" s="1064"/>
      <c r="CL214" s="1064"/>
      <c r="CM214" s="1064"/>
      <c r="CN214" s="1064"/>
      <c r="CO214" s="1064"/>
      <c r="CP214" s="1064"/>
      <c r="CQ214" s="1064"/>
      <c r="CR214" s="1064"/>
      <c r="CS214" s="1064"/>
      <c r="CT214" s="1064"/>
      <c r="CU214" s="1064"/>
      <c r="CV214" s="1064"/>
      <c r="CW214" s="1064"/>
      <c r="CX214" s="1064"/>
      <c r="CY214" s="1064"/>
      <c r="CZ214" s="1064"/>
      <c r="DA214" s="1064"/>
      <c r="DB214" s="1064"/>
      <c r="DC214" s="1064"/>
      <c r="DD214" s="1064"/>
      <c r="DE214" s="1064"/>
      <c r="DF214" s="1064"/>
      <c r="DG214" s="1064"/>
      <c r="DH214" s="1064"/>
      <c r="DI214" s="1064"/>
      <c r="DJ214" s="1064"/>
      <c r="DK214" s="1064"/>
      <c r="DL214" s="1064"/>
      <c r="DM214" s="1064"/>
      <c r="DN214" s="1064"/>
      <c r="DO214" s="1064"/>
      <c r="DP214" s="1064"/>
      <c r="DQ214" s="1064"/>
      <c r="DR214" s="1064"/>
      <c r="DS214" s="1064"/>
      <c r="DT214" s="1064"/>
      <c r="DU214" s="1064"/>
      <c r="DV214" s="1064"/>
      <c r="DW214" s="1064"/>
      <c r="DX214" s="1064"/>
      <c r="DY214" s="1064"/>
      <c r="DZ214" s="1064"/>
      <c r="EA214" s="1064"/>
      <c r="EB214" s="1064"/>
      <c r="EC214" s="1064"/>
      <c r="ED214" s="1064"/>
      <c r="EE214" s="1064"/>
      <c r="EF214" s="1064"/>
      <c r="EG214" s="1064"/>
      <c r="EH214" s="1064"/>
      <c r="EI214" s="1064"/>
      <c r="EJ214" s="1064"/>
      <c r="EK214" s="1064"/>
      <c r="EL214" s="1064"/>
      <c r="EM214" s="1064"/>
      <c r="EN214" s="1064"/>
      <c r="EO214" s="1064"/>
      <c r="EP214" s="1064"/>
      <c r="EQ214" s="1064"/>
      <c r="ER214" s="1064"/>
      <c r="ES214" s="1064"/>
      <c r="ET214" s="1064"/>
      <c r="EU214" s="1064"/>
      <c r="EV214" s="1064"/>
      <c r="EW214" s="1064"/>
      <c r="EX214" s="1064"/>
      <c r="EY214" s="1064"/>
      <c r="EZ214" s="1064"/>
      <c r="FA214" s="1064"/>
      <c r="FB214" s="1064"/>
      <c r="FC214" s="1064"/>
      <c r="FD214" s="1064"/>
      <c r="FE214" s="1064"/>
      <c r="FF214" s="1064"/>
      <c r="FG214" s="1064"/>
      <c r="FH214" s="1064"/>
      <c r="FI214" s="1064"/>
      <c r="FJ214" s="1064"/>
      <c r="FK214" s="1064"/>
      <c r="FL214" s="1064"/>
      <c r="FM214" s="1064"/>
      <c r="FN214" s="1064"/>
      <c r="FO214" s="1064"/>
      <c r="FP214" s="1064"/>
      <c r="FQ214" s="1064"/>
      <c r="FR214" s="1064"/>
      <c r="FS214" s="1064"/>
      <c r="FT214" s="1064"/>
      <c r="FU214" s="1064"/>
      <c r="FV214" s="1064"/>
      <c r="FW214" s="1064"/>
      <c r="FX214" s="1064"/>
      <c r="FY214" s="1064"/>
      <c r="FZ214" s="1064"/>
      <c r="GA214" s="1064"/>
      <c r="GB214" s="1064"/>
      <c r="GC214" s="1064"/>
      <c r="GD214" s="1064"/>
      <c r="GE214" s="1064"/>
      <c r="GF214" s="1064"/>
      <c r="GG214" s="1064"/>
      <c r="GH214" s="1064"/>
      <c r="GI214" s="1064"/>
      <c r="GJ214" s="1064"/>
      <c r="GK214" s="1064"/>
      <c r="GL214" s="1064"/>
      <c r="GM214" s="1064"/>
      <c r="GN214" s="1064"/>
      <c r="GO214" s="1064"/>
      <c r="GP214" s="1064"/>
      <c r="GQ214" s="1064"/>
      <c r="GR214" s="1064"/>
      <c r="GS214" s="1064"/>
      <c r="GT214" s="1064"/>
      <c r="GU214" s="1064"/>
      <c r="GV214" s="1064"/>
      <c r="GW214" s="1064"/>
      <c r="GX214" s="1064"/>
      <c r="GY214" s="1064"/>
      <c r="GZ214" s="1064"/>
      <c r="HA214" s="1064"/>
      <c r="HB214" s="1064"/>
      <c r="HC214" s="1064"/>
      <c r="HD214" s="1064"/>
      <c r="HE214" s="1064"/>
      <c r="HF214" s="1064"/>
      <c r="HG214" s="1064"/>
      <c r="HH214" s="1064"/>
      <c r="HI214" s="1064"/>
      <c r="HJ214" s="1064"/>
      <c r="HK214" s="1064"/>
      <c r="HL214" s="1064"/>
      <c r="HM214" s="1064"/>
      <c r="HN214" s="1064"/>
      <c r="HO214" s="1064"/>
      <c r="HP214" s="1064"/>
      <c r="HQ214" s="1064"/>
      <c r="HR214" s="1064"/>
      <c r="HS214" s="1064"/>
      <c r="HT214" s="1064"/>
      <c r="HU214" s="1064"/>
      <c r="HV214" s="1064"/>
      <c r="HW214" s="1064"/>
      <c r="HX214" s="1064"/>
      <c r="HY214" s="1064"/>
      <c r="HZ214" s="1064"/>
      <c r="IA214" s="1064"/>
      <c r="IB214" s="1064"/>
      <c r="IC214" s="1064"/>
      <c r="ID214" s="1064"/>
      <c r="IE214" s="1064"/>
      <c r="IF214" s="1064"/>
      <c r="IG214" s="1064"/>
      <c r="IH214" s="1064"/>
      <c r="II214" s="1064"/>
      <c r="IJ214" s="1064"/>
      <c r="IK214" s="1064"/>
      <c r="IL214" s="1064"/>
      <c r="IM214" s="1064"/>
      <c r="IN214" s="1064"/>
      <c r="IO214" s="1064"/>
      <c r="IP214" s="1064"/>
      <c r="IQ214" s="1064"/>
      <c r="IR214" s="1064"/>
      <c r="IS214" s="1064"/>
      <c r="IT214" s="1064"/>
      <c r="IU214" s="1064"/>
      <c r="IV214" s="1064"/>
    </row>
    <row r="215" spans="1:256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1066"/>
      <c r="BN215" s="1066"/>
      <c r="BO215" s="1066"/>
      <c r="BP215" s="1067"/>
      <c r="BQ215" s="1067"/>
      <c r="BR215" s="1067"/>
      <c r="BS215" s="1067"/>
      <c r="BT215" s="1067"/>
      <c r="BU215" s="1067"/>
      <c r="BV215" s="1067"/>
      <c r="BW215" s="1067"/>
      <c r="BX215" s="1067"/>
      <c r="BY215" s="1067"/>
      <c r="BZ215" s="1067"/>
      <c r="CA215" s="1067"/>
      <c r="CB215" s="1067"/>
      <c r="CC215" s="1067"/>
      <c r="CD215" s="1067"/>
      <c r="CE215" s="1067"/>
      <c r="CF215" s="1067"/>
      <c r="CG215" s="1067"/>
      <c r="CH215" s="1067"/>
      <c r="CI215" s="1067"/>
      <c r="CJ215" s="1067"/>
      <c r="CK215" s="1067"/>
      <c r="CL215" s="1067"/>
      <c r="CM215" s="1067"/>
      <c r="CN215" s="1067"/>
      <c r="CO215" s="1067"/>
      <c r="CP215" s="1067"/>
      <c r="CQ215" s="1067"/>
      <c r="CR215" s="1067"/>
      <c r="CS215" s="1067"/>
      <c r="CT215" s="1067"/>
      <c r="CU215" s="1067"/>
      <c r="CV215" s="1067"/>
      <c r="CW215" s="1067"/>
      <c r="CX215" s="1067"/>
      <c r="CY215" s="1067"/>
      <c r="CZ215" s="1067"/>
      <c r="DA215" s="1067"/>
      <c r="DB215" s="1067"/>
      <c r="DC215" s="1067"/>
      <c r="DD215" s="1067"/>
      <c r="DE215" s="1067"/>
      <c r="DF215" s="1067"/>
      <c r="DG215" s="1067"/>
      <c r="DH215" s="1067"/>
      <c r="DI215" s="1067"/>
      <c r="DJ215" s="1067"/>
      <c r="DK215" s="1067"/>
      <c r="DL215" s="1067"/>
      <c r="DM215" s="1067"/>
      <c r="DN215" s="1067"/>
      <c r="DO215" s="1067"/>
      <c r="DP215" s="1067"/>
      <c r="DQ215" s="1067"/>
      <c r="DR215" s="1067"/>
      <c r="DS215" s="1067"/>
      <c r="DT215" s="1067"/>
      <c r="DU215" s="1067"/>
      <c r="DV215" s="1067"/>
      <c r="DW215" s="1067"/>
      <c r="DX215" s="1067"/>
      <c r="DY215" s="1067"/>
      <c r="DZ215" s="1067"/>
      <c r="EA215" s="1067"/>
      <c r="EB215" s="1067"/>
      <c r="EC215" s="1067"/>
      <c r="ED215" s="1067"/>
      <c r="EE215" s="1067"/>
      <c r="EF215" s="1067"/>
      <c r="EG215" s="1067"/>
      <c r="EH215" s="1067"/>
      <c r="EI215" s="1067"/>
      <c r="EJ215" s="1067"/>
      <c r="EK215" s="1067"/>
      <c r="EL215" s="1067"/>
      <c r="EM215" s="1067"/>
      <c r="EN215" s="1067"/>
      <c r="EO215" s="1067"/>
      <c r="EP215" s="1067"/>
      <c r="EQ215" s="1067"/>
      <c r="ER215" s="1067"/>
      <c r="ES215" s="1067"/>
      <c r="ET215" s="1067"/>
      <c r="EU215" s="1067"/>
      <c r="EV215" s="1067"/>
      <c r="EW215" s="1067"/>
      <c r="EX215" s="1067"/>
      <c r="EY215" s="1067"/>
      <c r="EZ215" s="1067"/>
      <c r="FA215" s="1067"/>
      <c r="FB215" s="1067"/>
      <c r="FC215" s="1067"/>
      <c r="FD215" s="1067"/>
      <c r="FE215" s="1067"/>
      <c r="FF215" s="1067"/>
      <c r="FG215" s="1067"/>
      <c r="FH215" s="1067"/>
      <c r="FI215" s="1067"/>
      <c r="FJ215" s="1067"/>
      <c r="FK215" s="1067"/>
      <c r="FL215" s="1067"/>
      <c r="FM215" s="1067"/>
      <c r="FN215" s="1067"/>
      <c r="FO215" s="1067"/>
      <c r="FP215" s="1067"/>
      <c r="FQ215" s="1067"/>
      <c r="FR215" s="1067"/>
      <c r="FS215" s="1067"/>
      <c r="FT215" s="1067"/>
      <c r="FU215" s="1067"/>
      <c r="FV215" s="1067"/>
      <c r="FW215" s="1067"/>
      <c r="FX215" s="1067"/>
      <c r="FY215" s="1067"/>
      <c r="FZ215" s="1067"/>
      <c r="GA215" s="1067"/>
      <c r="GB215" s="1067"/>
      <c r="GC215" s="1067"/>
      <c r="GD215" s="1067"/>
      <c r="GE215" s="1067"/>
      <c r="GF215" s="1067"/>
      <c r="GG215" s="1067"/>
      <c r="GH215" s="1067"/>
      <c r="GI215" s="1067"/>
      <c r="GJ215" s="1067"/>
      <c r="GK215" s="1067"/>
      <c r="GL215" s="1067"/>
      <c r="GM215" s="1067"/>
      <c r="GN215" s="1067"/>
      <c r="GO215" s="1067"/>
      <c r="GP215" s="1067"/>
      <c r="GQ215" s="1067"/>
      <c r="GR215" s="1067"/>
      <c r="GS215" s="1067"/>
      <c r="GT215" s="1067"/>
      <c r="GU215" s="1067"/>
      <c r="GV215" s="1067"/>
      <c r="GW215" s="1067"/>
      <c r="GX215" s="1067"/>
      <c r="GY215" s="1067"/>
      <c r="GZ215" s="1067"/>
      <c r="HA215" s="1067"/>
      <c r="HB215" s="1067"/>
      <c r="HC215" s="1067"/>
      <c r="HD215" s="1067"/>
      <c r="HE215" s="1067"/>
      <c r="HF215" s="1067"/>
      <c r="HG215" s="1067"/>
      <c r="HH215" s="1067"/>
      <c r="HI215" s="1067"/>
      <c r="HJ215" s="1067"/>
      <c r="HK215" s="1067"/>
      <c r="HL215" s="1067"/>
      <c r="HM215" s="1067"/>
      <c r="HN215" s="1067"/>
      <c r="HO215" s="1067"/>
      <c r="HP215" s="1067"/>
      <c r="HQ215" s="1067"/>
      <c r="HR215" s="1067"/>
      <c r="HS215" s="1067"/>
      <c r="HT215" s="1067"/>
      <c r="HU215" s="1067"/>
      <c r="HV215" s="1067"/>
      <c r="HW215" s="1067"/>
      <c r="HX215" s="1067"/>
      <c r="HY215" s="1067"/>
      <c r="HZ215" s="1067"/>
      <c r="IA215" s="1067"/>
      <c r="IB215" s="1067"/>
      <c r="IC215" s="1067"/>
      <c r="ID215" s="1067"/>
      <c r="IE215" s="1067"/>
      <c r="IF215" s="1067"/>
      <c r="IG215" s="1067"/>
      <c r="IH215" s="1067"/>
      <c r="II215" s="1067"/>
      <c r="IJ215" s="1067"/>
      <c r="IK215" s="1067"/>
      <c r="IL215" s="1067"/>
      <c r="IM215" s="1067"/>
      <c r="IN215" s="1067"/>
      <c r="IO215" s="1067"/>
      <c r="IP215" s="1067"/>
      <c r="IQ215" s="1067"/>
      <c r="IR215" s="1067"/>
      <c r="IS215" s="1067"/>
      <c r="IT215" s="1067"/>
      <c r="IU215" s="1067"/>
      <c r="IV215" s="1067"/>
    </row>
    <row r="216" spans="1:256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1063"/>
      <c r="BN216" s="1063"/>
      <c r="BO216" s="1063"/>
      <c r="BP216" s="1064"/>
      <c r="BQ216" s="1064"/>
      <c r="BR216" s="1064"/>
      <c r="BS216" s="1064"/>
      <c r="BT216" s="1064"/>
      <c r="BU216" s="1064"/>
      <c r="BV216" s="1064"/>
      <c r="BW216" s="1064"/>
      <c r="BX216" s="1064"/>
      <c r="BY216" s="1064"/>
      <c r="BZ216" s="1064"/>
      <c r="CA216" s="1064"/>
      <c r="CB216" s="1064"/>
      <c r="CC216" s="1064"/>
      <c r="CD216" s="1064"/>
      <c r="CE216" s="1064"/>
      <c r="CF216" s="1064"/>
      <c r="CG216" s="1064"/>
      <c r="CH216" s="1064"/>
      <c r="CI216" s="1064"/>
      <c r="CJ216" s="1064"/>
      <c r="CK216" s="1064"/>
      <c r="CL216" s="1064"/>
      <c r="CM216" s="1064"/>
      <c r="CN216" s="1064"/>
      <c r="CO216" s="1064"/>
      <c r="CP216" s="1064"/>
      <c r="CQ216" s="1064"/>
      <c r="CR216" s="1064"/>
      <c r="CS216" s="1064"/>
      <c r="CT216" s="1064"/>
      <c r="CU216" s="1064"/>
      <c r="CV216" s="1064"/>
      <c r="CW216" s="1064"/>
      <c r="CX216" s="1064"/>
      <c r="CY216" s="1064"/>
      <c r="CZ216" s="1064"/>
      <c r="DA216" s="1064"/>
      <c r="DB216" s="1064"/>
      <c r="DC216" s="1064"/>
      <c r="DD216" s="1064"/>
      <c r="DE216" s="1064"/>
      <c r="DF216" s="1064"/>
      <c r="DG216" s="1064"/>
      <c r="DH216" s="1064"/>
      <c r="DI216" s="1064"/>
      <c r="DJ216" s="1064"/>
      <c r="DK216" s="1064"/>
      <c r="DL216" s="1064"/>
      <c r="DM216" s="1064"/>
      <c r="DN216" s="1064"/>
      <c r="DO216" s="1064"/>
      <c r="DP216" s="1064"/>
      <c r="DQ216" s="1064"/>
      <c r="DR216" s="1064"/>
      <c r="DS216" s="1064"/>
      <c r="DT216" s="1064"/>
      <c r="DU216" s="1064"/>
      <c r="DV216" s="1064"/>
      <c r="DW216" s="1064"/>
      <c r="DX216" s="1064"/>
      <c r="DY216" s="1064"/>
      <c r="DZ216" s="1064"/>
      <c r="EA216" s="1064"/>
      <c r="EB216" s="1064"/>
      <c r="EC216" s="1064"/>
      <c r="ED216" s="1064"/>
      <c r="EE216" s="1064"/>
      <c r="EF216" s="1064"/>
      <c r="EG216" s="1064"/>
      <c r="EH216" s="1064"/>
      <c r="EI216" s="1064"/>
      <c r="EJ216" s="1064"/>
      <c r="EK216" s="1064"/>
      <c r="EL216" s="1064"/>
      <c r="EM216" s="1064"/>
      <c r="EN216" s="1064"/>
      <c r="EO216" s="1064"/>
      <c r="EP216" s="1064"/>
      <c r="EQ216" s="1064"/>
      <c r="ER216" s="1064"/>
      <c r="ES216" s="1064"/>
      <c r="ET216" s="1064"/>
      <c r="EU216" s="1064"/>
      <c r="EV216" s="1064"/>
      <c r="EW216" s="1064"/>
      <c r="EX216" s="1064"/>
      <c r="EY216" s="1064"/>
      <c r="EZ216" s="1064"/>
      <c r="FA216" s="1064"/>
      <c r="FB216" s="1064"/>
      <c r="FC216" s="1064"/>
      <c r="FD216" s="1064"/>
      <c r="FE216" s="1064"/>
      <c r="FF216" s="1064"/>
      <c r="FG216" s="1064"/>
      <c r="FH216" s="1064"/>
      <c r="FI216" s="1064"/>
      <c r="FJ216" s="1064"/>
      <c r="FK216" s="1064"/>
      <c r="FL216" s="1064"/>
      <c r="FM216" s="1064"/>
      <c r="FN216" s="1064"/>
      <c r="FO216" s="1064"/>
      <c r="FP216" s="1064"/>
      <c r="FQ216" s="1064"/>
      <c r="FR216" s="1064"/>
      <c r="FS216" s="1064"/>
      <c r="FT216" s="1064"/>
      <c r="FU216" s="1064"/>
      <c r="FV216" s="1064"/>
      <c r="FW216" s="1064"/>
      <c r="FX216" s="1064"/>
      <c r="FY216" s="1064"/>
      <c r="FZ216" s="1064"/>
      <c r="GA216" s="1064"/>
      <c r="GB216" s="1064"/>
      <c r="GC216" s="1064"/>
      <c r="GD216" s="1064"/>
      <c r="GE216" s="1064"/>
      <c r="GF216" s="1064"/>
      <c r="GG216" s="1064"/>
      <c r="GH216" s="1064"/>
      <c r="GI216" s="1064"/>
      <c r="GJ216" s="1064"/>
      <c r="GK216" s="1064"/>
      <c r="GL216" s="1064"/>
      <c r="GM216" s="1064"/>
      <c r="GN216" s="1064"/>
      <c r="GO216" s="1064"/>
      <c r="GP216" s="1064"/>
      <c r="GQ216" s="1064"/>
      <c r="GR216" s="1064"/>
      <c r="GS216" s="1064"/>
      <c r="GT216" s="1064"/>
      <c r="GU216" s="1064"/>
      <c r="GV216" s="1064"/>
      <c r="GW216" s="1064"/>
      <c r="GX216" s="1064"/>
      <c r="GY216" s="1064"/>
      <c r="GZ216" s="1064"/>
      <c r="HA216" s="1064"/>
      <c r="HB216" s="1064"/>
      <c r="HC216" s="1064"/>
      <c r="HD216" s="1064"/>
      <c r="HE216" s="1064"/>
      <c r="HF216" s="1064"/>
      <c r="HG216" s="1064"/>
      <c r="HH216" s="1064"/>
      <c r="HI216" s="1064"/>
      <c r="HJ216" s="1064"/>
      <c r="HK216" s="1064"/>
      <c r="HL216" s="1064"/>
      <c r="HM216" s="1064"/>
      <c r="HN216" s="1064"/>
      <c r="HO216" s="1064"/>
      <c r="HP216" s="1064"/>
      <c r="HQ216" s="1064"/>
      <c r="HR216" s="1064"/>
      <c r="HS216" s="1064"/>
      <c r="HT216" s="1064"/>
      <c r="HU216" s="1064"/>
      <c r="HV216" s="1064"/>
      <c r="HW216" s="1064"/>
      <c r="HX216" s="1064"/>
      <c r="HY216" s="1064"/>
      <c r="HZ216" s="1064"/>
      <c r="IA216" s="1064"/>
      <c r="IB216" s="1064"/>
      <c r="IC216" s="1064"/>
      <c r="ID216" s="1064"/>
      <c r="IE216" s="1064"/>
      <c r="IF216" s="1064"/>
      <c r="IG216" s="1064"/>
      <c r="IH216" s="1064"/>
      <c r="II216" s="1064"/>
      <c r="IJ216" s="1064"/>
      <c r="IK216" s="1064"/>
      <c r="IL216" s="1064"/>
      <c r="IM216" s="1064"/>
      <c r="IN216" s="1064"/>
      <c r="IO216" s="1064"/>
      <c r="IP216" s="1064"/>
      <c r="IQ216" s="1064"/>
      <c r="IR216" s="1064"/>
      <c r="IS216" s="1064"/>
      <c r="IT216" s="1064"/>
      <c r="IU216" s="1064"/>
      <c r="IV216" s="1064"/>
    </row>
    <row r="217" spans="1:256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1063"/>
      <c r="BN217" s="1063"/>
      <c r="BO217" s="1063"/>
      <c r="BP217" s="1064"/>
      <c r="BQ217" s="1064"/>
      <c r="BR217" s="1064"/>
      <c r="BS217" s="1064"/>
      <c r="BT217" s="1064"/>
      <c r="BU217" s="1064"/>
      <c r="BV217" s="1064"/>
      <c r="BW217" s="1064"/>
      <c r="BX217" s="1064"/>
      <c r="BY217" s="1064"/>
      <c r="BZ217" s="1064"/>
      <c r="CA217" s="1064"/>
      <c r="CB217" s="1064"/>
      <c r="CC217" s="1064"/>
      <c r="CD217" s="1064"/>
      <c r="CE217" s="1064"/>
      <c r="CF217" s="1064"/>
      <c r="CG217" s="1064"/>
      <c r="CH217" s="1064"/>
      <c r="CI217" s="1064"/>
      <c r="CJ217" s="1064"/>
      <c r="CK217" s="1064"/>
      <c r="CL217" s="1064"/>
      <c r="CM217" s="1064"/>
      <c r="CN217" s="1064"/>
      <c r="CO217" s="1064"/>
      <c r="CP217" s="1064"/>
      <c r="CQ217" s="1064"/>
      <c r="CR217" s="1064"/>
      <c r="CS217" s="1064"/>
      <c r="CT217" s="1064"/>
      <c r="CU217" s="1064"/>
      <c r="CV217" s="1064"/>
      <c r="CW217" s="1064"/>
      <c r="CX217" s="1064"/>
      <c r="CY217" s="1064"/>
      <c r="CZ217" s="1064"/>
      <c r="DA217" s="1064"/>
      <c r="DB217" s="1064"/>
      <c r="DC217" s="1064"/>
      <c r="DD217" s="1064"/>
      <c r="DE217" s="1064"/>
      <c r="DF217" s="1064"/>
      <c r="DG217" s="1064"/>
      <c r="DH217" s="1064"/>
      <c r="DI217" s="1064"/>
      <c r="DJ217" s="1064"/>
      <c r="DK217" s="1064"/>
      <c r="DL217" s="1064"/>
      <c r="DM217" s="1064"/>
      <c r="DN217" s="1064"/>
      <c r="DO217" s="1064"/>
      <c r="DP217" s="1064"/>
      <c r="DQ217" s="1064"/>
      <c r="DR217" s="1064"/>
      <c r="DS217" s="1064"/>
      <c r="DT217" s="1064"/>
      <c r="DU217" s="1064"/>
      <c r="DV217" s="1064"/>
      <c r="DW217" s="1064"/>
      <c r="DX217" s="1064"/>
      <c r="DY217" s="1064"/>
      <c r="DZ217" s="1064"/>
      <c r="EA217" s="1064"/>
      <c r="EB217" s="1064"/>
      <c r="EC217" s="1064"/>
      <c r="ED217" s="1064"/>
      <c r="EE217" s="1064"/>
      <c r="EF217" s="1064"/>
      <c r="EG217" s="1064"/>
      <c r="EH217" s="1064"/>
      <c r="EI217" s="1064"/>
      <c r="EJ217" s="1064"/>
      <c r="EK217" s="1064"/>
      <c r="EL217" s="1064"/>
      <c r="EM217" s="1064"/>
      <c r="EN217" s="1064"/>
      <c r="EO217" s="1064"/>
      <c r="EP217" s="1064"/>
      <c r="EQ217" s="1064"/>
      <c r="ER217" s="1064"/>
      <c r="ES217" s="1064"/>
      <c r="ET217" s="1064"/>
      <c r="EU217" s="1064"/>
      <c r="EV217" s="1064"/>
      <c r="EW217" s="1064"/>
      <c r="EX217" s="1064"/>
      <c r="EY217" s="1064"/>
      <c r="EZ217" s="1064"/>
      <c r="FA217" s="1064"/>
      <c r="FB217" s="1064"/>
      <c r="FC217" s="1064"/>
      <c r="FD217" s="1064"/>
      <c r="FE217" s="1064"/>
      <c r="FF217" s="1064"/>
      <c r="FG217" s="1064"/>
      <c r="FH217" s="1064"/>
      <c r="FI217" s="1064"/>
      <c r="FJ217" s="1064"/>
      <c r="FK217" s="1064"/>
      <c r="FL217" s="1064"/>
      <c r="FM217" s="1064"/>
      <c r="FN217" s="1064"/>
      <c r="FO217" s="1064"/>
      <c r="FP217" s="1064"/>
      <c r="FQ217" s="1064"/>
      <c r="FR217" s="1064"/>
      <c r="FS217" s="1064"/>
      <c r="FT217" s="1064"/>
      <c r="FU217" s="1064"/>
      <c r="FV217" s="1064"/>
      <c r="FW217" s="1064"/>
      <c r="FX217" s="1064"/>
      <c r="FY217" s="1064"/>
      <c r="FZ217" s="1064"/>
      <c r="GA217" s="1064"/>
      <c r="GB217" s="1064"/>
      <c r="GC217" s="1064"/>
      <c r="GD217" s="1064"/>
      <c r="GE217" s="1064"/>
      <c r="GF217" s="1064"/>
      <c r="GG217" s="1064"/>
      <c r="GH217" s="1064"/>
      <c r="GI217" s="1064"/>
      <c r="GJ217" s="1064"/>
      <c r="GK217" s="1064"/>
      <c r="GL217" s="1064"/>
      <c r="GM217" s="1064"/>
      <c r="GN217" s="1064"/>
      <c r="GO217" s="1064"/>
      <c r="GP217" s="1064"/>
      <c r="GQ217" s="1064"/>
      <c r="GR217" s="1064"/>
      <c r="GS217" s="1064"/>
      <c r="GT217" s="1064"/>
      <c r="GU217" s="1064"/>
      <c r="GV217" s="1064"/>
      <c r="GW217" s="1064"/>
      <c r="GX217" s="1064"/>
      <c r="GY217" s="1064"/>
      <c r="GZ217" s="1064"/>
      <c r="HA217" s="1064"/>
      <c r="HB217" s="1064"/>
      <c r="HC217" s="1064"/>
      <c r="HD217" s="1064"/>
      <c r="HE217" s="1064"/>
      <c r="HF217" s="1064"/>
      <c r="HG217" s="1064"/>
      <c r="HH217" s="1064"/>
      <c r="HI217" s="1064"/>
      <c r="HJ217" s="1064"/>
      <c r="HK217" s="1064"/>
      <c r="HL217" s="1064"/>
      <c r="HM217" s="1064"/>
      <c r="HN217" s="1064"/>
      <c r="HO217" s="1064"/>
      <c r="HP217" s="1064"/>
      <c r="HQ217" s="1064"/>
      <c r="HR217" s="1064"/>
      <c r="HS217" s="1064"/>
      <c r="HT217" s="1064"/>
      <c r="HU217" s="1064"/>
      <c r="HV217" s="1064"/>
      <c r="HW217" s="1064"/>
      <c r="HX217" s="1064"/>
      <c r="HY217" s="1064"/>
      <c r="HZ217" s="1064"/>
      <c r="IA217" s="1064"/>
      <c r="IB217" s="1064"/>
      <c r="IC217" s="1064"/>
      <c r="ID217" s="1064"/>
      <c r="IE217" s="1064"/>
      <c r="IF217" s="1064"/>
      <c r="IG217" s="1064"/>
      <c r="IH217" s="1064"/>
      <c r="II217" s="1064"/>
      <c r="IJ217" s="1064"/>
      <c r="IK217" s="1064"/>
      <c r="IL217" s="1064"/>
      <c r="IM217" s="1064"/>
      <c r="IN217" s="1064"/>
      <c r="IO217" s="1064"/>
      <c r="IP217" s="1064"/>
      <c r="IQ217" s="1064"/>
      <c r="IR217" s="1064"/>
      <c r="IS217" s="1064"/>
      <c r="IT217" s="1064"/>
      <c r="IU217" s="1064"/>
      <c r="IV217" s="1064"/>
    </row>
    <row r="218" spans="1:256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1063"/>
      <c r="BN218" s="1063"/>
      <c r="BO218" s="1063"/>
      <c r="BP218" s="1064"/>
      <c r="BQ218" s="1064"/>
      <c r="BR218" s="1064"/>
      <c r="BS218" s="1064"/>
      <c r="BT218" s="1064"/>
      <c r="BU218" s="1064"/>
      <c r="BV218" s="1064"/>
      <c r="BW218" s="1064"/>
      <c r="BX218" s="1064"/>
      <c r="BY218" s="1064"/>
      <c r="BZ218" s="1064"/>
      <c r="CA218" s="1064"/>
      <c r="CB218" s="1064"/>
      <c r="CC218" s="1064"/>
      <c r="CD218" s="1064"/>
      <c r="CE218" s="1064"/>
      <c r="CF218" s="1064"/>
      <c r="CG218" s="1064"/>
      <c r="CH218" s="1064"/>
      <c r="CI218" s="1064"/>
      <c r="CJ218" s="1064"/>
      <c r="CK218" s="1064"/>
      <c r="CL218" s="1064"/>
      <c r="CM218" s="1064"/>
      <c r="CN218" s="1064"/>
      <c r="CO218" s="1064"/>
      <c r="CP218" s="1064"/>
      <c r="CQ218" s="1064"/>
      <c r="CR218" s="1064"/>
      <c r="CS218" s="1064"/>
      <c r="CT218" s="1064"/>
      <c r="CU218" s="1064"/>
      <c r="CV218" s="1064"/>
      <c r="CW218" s="1064"/>
      <c r="CX218" s="1064"/>
      <c r="CY218" s="1064"/>
      <c r="CZ218" s="1064"/>
      <c r="DA218" s="1064"/>
      <c r="DB218" s="1064"/>
      <c r="DC218" s="1064"/>
      <c r="DD218" s="1064"/>
      <c r="DE218" s="1064"/>
      <c r="DF218" s="1064"/>
      <c r="DG218" s="1064"/>
      <c r="DH218" s="1064"/>
      <c r="DI218" s="1064"/>
      <c r="DJ218" s="1064"/>
      <c r="DK218" s="1064"/>
      <c r="DL218" s="1064"/>
      <c r="DM218" s="1064"/>
      <c r="DN218" s="1064"/>
      <c r="DO218" s="1064"/>
      <c r="DP218" s="1064"/>
      <c r="DQ218" s="1064"/>
      <c r="DR218" s="1064"/>
      <c r="DS218" s="1064"/>
      <c r="DT218" s="1064"/>
      <c r="DU218" s="1064"/>
      <c r="DV218" s="1064"/>
      <c r="DW218" s="1064"/>
      <c r="DX218" s="1064"/>
      <c r="DY218" s="1064"/>
      <c r="DZ218" s="1064"/>
      <c r="EA218" s="1064"/>
      <c r="EB218" s="1064"/>
      <c r="EC218" s="1064"/>
      <c r="ED218" s="1064"/>
      <c r="EE218" s="1064"/>
      <c r="EF218" s="1064"/>
      <c r="EG218" s="1064"/>
      <c r="EH218" s="1064"/>
      <c r="EI218" s="1064"/>
      <c r="EJ218" s="1064"/>
      <c r="EK218" s="1064"/>
      <c r="EL218" s="1064"/>
      <c r="EM218" s="1064"/>
      <c r="EN218" s="1064"/>
      <c r="EO218" s="1064"/>
      <c r="EP218" s="1064"/>
      <c r="EQ218" s="1064"/>
      <c r="ER218" s="1064"/>
      <c r="ES218" s="1064"/>
      <c r="ET218" s="1064"/>
      <c r="EU218" s="1064"/>
      <c r="EV218" s="1064"/>
      <c r="EW218" s="1064"/>
      <c r="EX218" s="1064"/>
      <c r="EY218" s="1064"/>
      <c r="EZ218" s="1064"/>
      <c r="FA218" s="1064"/>
      <c r="FB218" s="1064"/>
      <c r="FC218" s="1064"/>
      <c r="FD218" s="1064"/>
      <c r="FE218" s="1064"/>
      <c r="FF218" s="1064"/>
      <c r="FG218" s="1064"/>
      <c r="FH218" s="1064"/>
      <c r="FI218" s="1064"/>
      <c r="FJ218" s="1064"/>
      <c r="FK218" s="1064"/>
      <c r="FL218" s="1064"/>
      <c r="FM218" s="1064"/>
      <c r="FN218" s="1064"/>
      <c r="FO218" s="1064"/>
      <c r="FP218" s="1064"/>
      <c r="FQ218" s="1064"/>
      <c r="FR218" s="1064"/>
      <c r="FS218" s="1064"/>
      <c r="FT218" s="1064"/>
      <c r="FU218" s="1064"/>
      <c r="FV218" s="1064"/>
      <c r="FW218" s="1064"/>
      <c r="FX218" s="1064"/>
      <c r="FY218" s="1064"/>
      <c r="FZ218" s="1064"/>
      <c r="GA218" s="1064"/>
      <c r="GB218" s="1064"/>
      <c r="GC218" s="1064"/>
      <c r="GD218" s="1064"/>
      <c r="GE218" s="1064"/>
      <c r="GF218" s="1064"/>
      <c r="GG218" s="1064"/>
      <c r="GH218" s="1064"/>
      <c r="GI218" s="1064"/>
      <c r="GJ218" s="1064"/>
      <c r="GK218" s="1064"/>
      <c r="GL218" s="1064"/>
      <c r="GM218" s="1064"/>
      <c r="GN218" s="1064"/>
      <c r="GO218" s="1064"/>
      <c r="GP218" s="1064"/>
      <c r="GQ218" s="1064"/>
      <c r="GR218" s="1064"/>
      <c r="GS218" s="1064"/>
      <c r="GT218" s="1064"/>
      <c r="GU218" s="1064"/>
      <c r="GV218" s="1064"/>
      <c r="GW218" s="1064"/>
      <c r="GX218" s="1064"/>
      <c r="GY218" s="1064"/>
      <c r="GZ218" s="1064"/>
      <c r="HA218" s="1064"/>
      <c r="HB218" s="1064"/>
      <c r="HC218" s="1064"/>
      <c r="HD218" s="1064"/>
      <c r="HE218" s="1064"/>
      <c r="HF218" s="1064"/>
      <c r="HG218" s="1064"/>
      <c r="HH218" s="1064"/>
      <c r="HI218" s="1064"/>
      <c r="HJ218" s="1064"/>
      <c r="HK218" s="1064"/>
      <c r="HL218" s="1064"/>
      <c r="HM218" s="1064"/>
      <c r="HN218" s="1064"/>
      <c r="HO218" s="1064"/>
      <c r="HP218" s="1064"/>
      <c r="HQ218" s="1064"/>
      <c r="HR218" s="1064"/>
      <c r="HS218" s="1064"/>
      <c r="HT218" s="1064"/>
      <c r="HU218" s="1064"/>
      <c r="HV218" s="1064"/>
      <c r="HW218" s="1064"/>
      <c r="HX218" s="1064"/>
      <c r="HY218" s="1064"/>
      <c r="HZ218" s="1064"/>
      <c r="IA218" s="1064"/>
      <c r="IB218" s="1064"/>
      <c r="IC218" s="1064"/>
      <c r="ID218" s="1064"/>
      <c r="IE218" s="1064"/>
      <c r="IF218" s="1064"/>
      <c r="IG218" s="1064"/>
      <c r="IH218" s="1064"/>
      <c r="II218" s="1064"/>
      <c r="IJ218" s="1064"/>
      <c r="IK218" s="1064"/>
      <c r="IL218" s="1064"/>
      <c r="IM218" s="1064"/>
      <c r="IN218" s="1064"/>
      <c r="IO218" s="1064"/>
      <c r="IP218" s="1064"/>
      <c r="IQ218" s="1064"/>
      <c r="IR218" s="1064"/>
      <c r="IS218" s="1064"/>
      <c r="IT218" s="1064"/>
      <c r="IU218" s="1064"/>
      <c r="IV218" s="1064"/>
    </row>
    <row r="219" spans="1:256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 s="1063"/>
      <c r="BN219" s="1063"/>
      <c r="BO219" s="1063"/>
      <c r="BP219" s="1064"/>
      <c r="BQ219" s="1064"/>
      <c r="BR219" s="1064"/>
      <c r="BS219" s="1064"/>
      <c r="BT219" s="1064"/>
      <c r="BU219" s="1064"/>
      <c r="BV219" s="1064"/>
      <c r="BW219" s="1064"/>
      <c r="BX219" s="1064"/>
      <c r="BY219" s="1064"/>
      <c r="BZ219" s="1064"/>
      <c r="CA219" s="1064"/>
      <c r="CB219" s="1064"/>
      <c r="CC219" s="1064"/>
      <c r="CD219" s="1064"/>
      <c r="CE219" s="1064"/>
      <c r="CF219" s="1064"/>
      <c r="CG219" s="1064"/>
      <c r="CH219" s="1064"/>
      <c r="CI219" s="1064"/>
      <c r="CJ219" s="1064"/>
      <c r="CK219" s="1064"/>
      <c r="CL219" s="1064"/>
      <c r="CM219" s="1064"/>
      <c r="CN219" s="1064"/>
      <c r="CO219" s="1064"/>
      <c r="CP219" s="1064"/>
      <c r="CQ219" s="1064"/>
      <c r="CR219" s="1064"/>
      <c r="CS219" s="1064"/>
      <c r="CT219" s="1064"/>
      <c r="CU219" s="1064"/>
      <c r="CV219" s="1064"/>
      <c r="CW219" s="1064"/>
      <c r="CX219" s="1064"/>
      <c r="CY219" s="1064"/>
      <c r="CZ219" s="1064"/>
      <c r="DA219" s="1064"/>
      <c r="DB219" s="1064"/>
      <c r="DC219" s="1064"/>
      <c r="DD219" s="1064"/>
      <c r="DE219" s="1064"/>
      <c r="DF219" s="1064"/>
      <c r="DG219" s="1064"/>
      <c r="DH219" s="1064"/>
      <c r="DI219" s="1064"/>
      <c r="DJ219" s="1064"/>
      <c r="DK219" s="1064"/>
      <c r="DL219" s="1064"/>
      <c r="DM219" s="1064"/>
      <c r="DN219" s="1064"/>
      <c r="DO219" s="1064"/>
      <c r="DP219" s="1064"/>
      <c r="DQ219" s="1064"/>
      <c r="DR219" s="1064"/>
      <c r="DS219" s="1064"/>
      <c r="DT219" s="1064"/>
      <c r="DU219" s="1064"/>
      <c r="DV219" s="1064"/>
      <c r="DW219" s="1064"/>
      <c r="DX219" s="1064"/>
      <c r="DY219" s="1064"/>
      <c r="DZ219" s="1064"/>
      <c r="EA219" s="1064"/>
      <c r="EB219" s="1064"/>
      <c r="EC219" s="1064"/>
      <c r="ED219" s="1064"/>
      <c r="EE219" s="1064"/>
      <c r="EF219" s="1064"/>
      <c r="EG219" s="1064"/>
      <c r="EH219" s="1064"/>
      <c r="EI219" s="1064"/>
      <c r="EJ219" s="1064"/>
      <c r="EK219" s="1064"/>
      <c r="EL219" s="1064"/>
      <c r="EM219" s="1064"/>
      <c r="EN219" s="1064"/>
      <c r="EO219" s="1064"/>
      <c r="EP219" s="1064"/>
      <c r="EQ219" s="1064"/>
      <c r="ER219" s="1064"/>
      <c r="ES219" s="1064"/>
      <c r="ET219" s="1064"/>
      <c r="EU219" s="1064"/>
      <c r="EV219" s="1064"/>
      <c r="EW219" s="1064"/>
      <c r="EX219" s="1064"/>
      <c r="EY219" s="1064"/>
      <c r="EZ219" s="1064"/>
      <c r="FA219" s="1064"/>
      <c r="FB219" s="1064"/>
      <c r="FC219" s="1064"/>
      <c r="FD219" s="1064"/>
      <c r="FE219" s="1064"/>
      <c r="FF219" s="1064"/>
      <c r="FG219" s="1064"/>
      <c r="FH219" s="1064"/>
      <c r="FI219" s="1064"/>
      <c r="FJ219" s="1064"/>
      <c r="FK219" s="1064"/>
      <c r="FL219" s="1064"/>
      <c r="FM219" s="1064"/>
      <c r="FN219" s="1064"/>
      <c r="FO219" s="1064"/>
      <c r="FP219" s="1064"/>
      <c r="FQ219" s="1064"/>
      <c r="FR219" s="1064"/>
      <c r="FS219" s="1064"/>
      <c r="FT219" s="1064"/>
      <c r="FU219" s="1064"/>
      <c r="FV219" s="1064"/>
      <c r="FW219" s="1064"/>
      <c r="FX219" s="1064"/>
      <c r="FY219" s="1064"/>
      <c r="FZ219" s="1064"/>
      <c r="GA219" s="1064"/>
      <c r="GB219" s="1064"/>
      <c r="GC219" s="1064"/>
      <c r="GD219" s="1064"/>
      <c r="GE219" s="1064"/>
      <c r="GF219" s="1064"/>
      <c r="GG219" s="1064"/>
      <c r="GH219" s="1064"/>
      <c r="GI219" s="1064"/>
      <c r="GJ219" s="1064"/>
      <c r="GK219" s="1064"/>
      <c r="GL219" s="1064"/>
      <c r="GM219" s="1064"/>
      <c r="GN219" s="1064"/>
      <c r="GO219" s="1064"/>
      <c r="GP219" s="1064"/>
      <c r="GQ219" s="1064"/>
      <c r="GR219" s="1064"/>
      <c r="GS219" s="1064"/>
      <c r="GT219" s="1064"/>
      <c r="GU219" s="1064"/>
      <c r="GV219" s="1064"/>
      <c r="GW219" s="1064"/>
      <c r="GX219" s="1064"/>
      <c r="GY219" s="1064"/>
      <c r="GZ219" s="1064"/>
      <c r="HA219" s="1064"/>
      <c r="HB219" s="1064"/>
      <c r="HC219" s="1064"/>
      <c r="HD219" s="1064"/>
      <c r="HE219" s="1064"/>
      <c r="HF219" s="1064"/>
      <c r="HG219" s="1064"/>
      <c r="HH219" s="1064"/>
      <c r="HI219" s="1064"/>
      <c r="HJ219" s="1064"/>
      <c r="HK219" s="1064"/>
      <c r="HL219" s="1064"/>
      <c r="HM219" s="1064"/>
      <c r="HN219" s="1064"/>
      <c r="HO219" s="1064"/>
      <c r="HP219" s="1064"/>
      <c r="HQ219" s="1064"/>
      <c r="HR219" s="1064"/>
      <c r="HS219" s="1064"/>
      <c r="HT219" s="1064"/>
      <c r="HU219" s="1064"/>
      <c r="HV219" s="1064"/>
      <c r="HW219" s="1064"/>
      <c r="HX219" s="1064"/>
      <c r="HY219" s="1064"/>
      <c r="HZ219" s="1064"/>
      <c r="IA219" s="1064"/>
      <c r="IB219" s="1064"/>
      <c r="IC219" s="1064"/>
      <c r="ID219" s="1064"/>
      <c r="IE219" s="1064"/>
      <c r="IF219" s="1064"/>
      <c r="IG219" s="1064"/>
      <c r="IH219" s="1064"/>
      <c r="II219" s="1064"/>
      <c r="IJ219" s="1064"/>
      <c r="IK219" s="1064"/>
      <c r="IL219" s="1064"/>
      <c r="IM219" s="1064"/>
      <c r="IN219" s="1064"/>
      <c r="IO219" s="1064"/>
      <c r="IP219" s="1064"/>
      <c r="IQ219" s="1064"/>
      <c r="IR219" s="1064"/>
      <c r="IS219" s="1064"/>
      <c r="IT219" s="1064"/>
      <c r="IU219" s="1064"/>
      <c r="IV219" s="1064"/>
    </row>
    <row r="220" spans="1:256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 s="1063"/>
      <c r="BN220" s="1063"/>
      <c r="BO220" s="1063"/>
      <c r="BP220" s="1064"/>
      <c r="BQ220" s="1064"/>
      <c r="BR220" s="1064"/>
      <c r="BS220" s="1064"/>
      <c r="BT220" s="1064"/>
      <c r="BU220" s="1064"/>
      <c r="BV220" s="1064"/>
      <c r="BW220" s="1064"/>
      <c r="BX220" s="1064"/>
      <c r="BY220" s="1064"/>
      <c r="BZ220" s="1064"/>
      <c r="CA220" s="1064"/>
      <c r="CB220" s="1064"/>
      <c r="CC220" s="1064"/>
      <c r="CD220" s="1064"/>
      <c r="CE220" s="1064"/>
      <c r="CF220" s="1064"/>
      <c r="CG220" s="1064"/>
      <c r="CH220" s="1064"/>
      <c r="CI220" s="1064"/>
      <c r="CJ220" s="1064"/>
      <c r="CK220" s="1064"/>
      <c r="CL220" s="1064"/>
      <c r="CM220" s="1064"/>
      <c r="CN220" s="1064"/>
      <c r="CO220" s="1064"/>
      <c r="CP220" s="1064"/>
      <c r="CQ220" s="1064"/>
      <c r="CR220" s="1064"/>
      <c r="CS220" s="1064"/>
      <c r="CT220" s="1064"/>
      <c r="CU220" s="1064"/>
      <c r="CV220" s="1064"/>
      <c r="CW220" s="1064"/>
      <c r="CX220" s="1064"/>
      <c r="CY220" s="1064"/>
      <c r="CZ220" s="1064"/>
      <c r="DA220" s="1064"/>
      <c r="DB220" s="1064"/>
      <c r="DC220" s="1064"/>
      <c r="DD220" s="1064"/>
      <c r="DE220" s="1064"/>
      <c r="DF220" s="1064"/>
      <c r="DG220" s="1064"/>
      <c r="DH220" s="1064"/>
      <c r="DI220" s="1064"/>
      <c r="DJ220" s="1064"/>
      <c r="DK220" s="1064"/>
      <c r="DL220" s="1064"/>
      <c r="DM220" s="1064"/>
      <c r="DN220" s="1064"/>
      <c r="DO220" s="1064"/>
      <c r="DP220" s="1064"/>
      <c r="DQ220" s="1064"/>
      <c r="DR220" s="1064"/>
      <c r="DS220" s="1064"/>
      <c r="DT220" s="1064"/>
      <c r="DU220" s="1064"/>
      <c r="DV220" s="1064"/>
      <c r="DW220" s="1064"/>
      <c r="DX220" s="1064"/>
      <c r="DY220" s="1064"/>
      <c r="DZ220" s="1064"/>
      <c r="EA220" s="1064"/>
      <c r="EB220" s="1064"/>
      <c r="EC220" s="1064"/>
      <c r="ED220" s="1064"/>
      <c r="EE220" s="1064"/>
      <c r="EF220" s="1064"/>
      <c r="EG220" s="1064"/>
      <c r="EH220" s="1064"/>
      <c r="EI220" s="1064"/>
      <c r="EJ220" s="1064"/>
      <c r="EK220" s="1064"/>
      <c r="EL220" s="1064"/>
      <c r="EM220" s="1064"/>
      <c r="EN220" s="1064"/>
      <c r="EO220" s="1064"/>
      <c r="EP220" s="1064"/>
      <c r="EQ220" s="1064"/>
      <c r="ER220" s="1064"/>
      <c r="ES220" s="1064"/>
      <c r="ET220" s="1064"/>
      <c r="EU220" s="1064"/>
      <c r="EV220" s="1064"/>
      <c r="EW220" s="1064"/>
      <c r="EX220" s="1064"/>
      <c r="EY220" s="1064"/>
      <c r="EZ220" s="1064"/>
      <c r="FA220" s="1064"/>
      <c r="FB220" s="1064"/>
      <c r="FC220" s="1064"/>
      <c r="FD220" s="1064"/>
      <c r="FE220" s="1064"/>
      <c r="FF220" s="1064"/>
      <c r="FG220" s="1064"/>
      <c r="FH220" s="1064"/>
      <c r="FI220" s="1064"/>
      <c r="FJ220" s="1064"/>
      <c r="FK220" s="1064"/>
      <c r="FL220" s="1064"/>
      <c r="FM220" s="1064"/>
      <c r="FN220" s="1064"/>
      <c r="FO220" s="1064"/>
      <c r="FP220" s="1064"/>
      <c r="FQ220" s="1064"/>
      <c r="FR220" s="1064"/>
      <c r="FS220" s="1064"/>
      <c r="FT220" s="1064"/>
      <c r="FU220" s="1064"/>
      <c r="FV220" s="1064"/>
      <c r="FW220" s="1064"/>
      <c r="FX220" s="1064"/>
      <c r="FY220" s="1064"/>
      <c r="FZ220" s="1064"/>
      <c r="GA220" s="1064"/>
      <c r="GB220" s="1064"/>
      <c r="GC220" s="1064"/>
      <c r="GD220" s="1064"/>
      <c r="GE220" s="1064"/>
      <c r="GF220" s="1064"/>
      <c r="GG220" s="1064"/>
      <c r="GH220" s="1064"/>
      <c r="GI220" s="1064"/>
      <c r="GJ220" s="1064"/>
      <c r="GK220" s="1064"/>
      <c r="GL220" s="1064"/>
      <c r="GM220" s="1064"/>
      <c r="GN220" s="1064"/>
      <c r="GO220" s="1064"/>
      <c r="GP220" s="1064"/>
      <c r="GQ220" s="1064"/>
      <c r="GR220" s="1064"/>
      <c r="GS220" s="1064"/>
      <c r="GT220" s="1064"/>
      <c r="GU220" s="1064"/>
      <c r="GV220" s="1064"/>
      <c r="GW220" s="1064"/>
      <c r="GX220" s="1064"/>
      <c r="GY220" s="1064"/>
      <c r="GZ220" s="1064"/>
      <c r="HA220" s="1064"/>
      <c r="HB220" s="1064"/>
      <c r="HC220" s="1064"/>
      <c r="HD220" s="1064"/>
      <c r="HE220" s="1064"/>
      <c r="HF220" s="1064"/>
      <c r="HG220" s="1064"/>
      <c r="HH220" s="1064"/>
      <c r="HI220" s="1064"/>
      <c r="HJ220" s="1064"/>
      <c r="HK220" s="1064"/>
      <c r="HL220" s="1064"/>
      <c r="HM220" s="1064"/>
      <c r="HN220" s="1064"/>
      <c r="HO220" s="1064"/>
      <c r="HP220" s="1064"/>
      <c r="HQ220" s="1064"/>
      <c r="HR220" s="1064"/>
      <c r="HS220" s="1064"/>
      <c r="HT220" s="1064"/>
      <c r="HU220" s="1064"/>
      <c r="HV220" s="1064"/>
      <c r="HW220" s="1064"/>
      <c r="HX220" s="1064"/>
      <c r="HY220" s="1064"/>
      <c r="HZ220" s="1064"/>
      <c r="IA220" s="1064"/>
      <c r="IB220" s="1064"/>
      <c r="IC220" s="1064"/>
      <c r="ID220" s="1064"/>
      <c r="IE220" s="1064"/>
      <c r="IF220" s="1064"/>
      <c r="IG220" s="1064"/>
      <c r="IH220" s="1064"/>
      <c r="II220" s="1064"/>
      <c r="IJ220" s="1064"/>
      <c r="IK220" s="1064"/>
      <c r="IL220" s="1064"/>
      <c r="IM220" s="1064"/>
      <c r="IN220" s="1064"/>
      <c r="IO220" s="1064"/>
      <c r="IP220" s="1064"/>
      <c r="IQ220" s="1064"/>
      <c r="IR220" s="1064"/>
      <c r="IS220" s="1064"/>
      <c r="IT220" s="1064"/>
      <c r="IU220" s="1064"/>
      <c r="IV220" s="1064"/>
    </row>
    <row r="221" spans="1:256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 s="1066"/>
      <c r="BN221" s="1066"/>
      <c r="BO221" s="1066"/>
      <c r="BP221" s="1067"/>
      <c r="BQ221" s="1067"/>
      <c r="BR221" s="1067"/>
      <c r="BS221" s="1067"/>
      <c r="BT221" s="1067"/>
      <c r="BU221" s="1067"/>
      <c r="BV221" s="1067"/>
      <c r="BW221" s="1067"/>
      <c r="BX221" s="1067"/>
      <c r="BY221" s="1067"/>
      <c r="BZ221" s="1067"/>
      <c r="CA221" s="1067"/>
      <c r="CB221" s="1067"/>
      <c r="CC221" s="1067"/>
      <c r="CD221" s="1067"/>
      <c r="CE221" s="1067"/>
      <c r="CF221" s="1067"/>
      <c r="CG221" s="1067"/>
      <c r="CH221" s="1067"/>
      <c r="CI221" s="1067"/>
      <c r="CJ221" s="1067"/>
      <c r="CK221" s="1067"/>
      <c r="CL221" s="1067"/>
      <c r="CM221" s="1067"/>
      <c r="CN221" s="1067"/>
      <c r="CO221" s="1067"/>
      <c r="CP221" s="1067"/>
      <c r="CQ221" s="1067"/>
      <c r="CR221" s="1067"/>
      <c r="CS221" s="1067"/>
      <c r="CT221" s="1067"/>
      <c r="CU221" s="1067"/>
      <c r="CV221" s="1067"/>
      <c r="CW221" s="1067"/>
      <c r="CX221" s="1067"/>
      <c r="CY221" s="1067"/>
      <c r="CZ221" s="1067"/>
      <c r="DA221" s="1067"/>
      <c r="DB221" s="1067"/>
      <c r="DC221" s="1067"/>
      <c r="DD221" s="1067"/>
      <c r="DE221" s="1067"/>
      <c r="DF221" s="1067"/>
      <c r="DG221" s="1067"/>
      <c r="DH221" s="1067"/>
      <c r="DI221" s="1067"/>
      <c r="DJ221" s="1067"/>
      <c r="DK221" s="1067"/>
      <c r="DL221" s="1067"/>
      <c r="DM221" s="1067"/>
      <c r="DN221" s="1067"/>
      <c r="DO221" s="1067"/>
      <c r="DP221" s="1067"/>
      <c r="DQ221" s="1067"/>
      <c r="DR221" s="1067"/>
      <c r="DS221" s="1067"/>
      <c r="DT221" s="1067"/>
      <c r="DU221" s="1067"/>
      <c r="DV221" s="1067"/>
      <c r="DW221" s="1067"/>
      <c r="DX221" s="1067"/>
      <c r="DY221" s="1067"/>
      <c r="DZ221" s="1067"/>
      <c r="EA221" s="1067"/>
      <c r="EB221" s="1067"/>
      <c r="EC221" s="1067"/>
      <c r="ED221" s="1067"/>
      <c r="EE221" s="1067"/>
      <c r="EF221" s="1067"/>
      <c r="EG221" s="1067"/>
      <c r="EH221" s="1067"/>
      <c r="EI221" s="1067"/>
      <c r="EJ221" s="1067"/>
      <c r="EK221" s="1067"/>
      <c r="EL221" s="1067"/>
      <c r="EM221" s="1067"/>
      <c r="EN221" s="1067"/>
      <c r="EO221" s="1067"/>
      <c r="EP221" s="1067"/>
      <c r="EQ221" s="1067"/>
      <c r="ER221" s="1067"/>
      <c r="ES221" s="1067"/>
      <c r="ET221" s="1067"/>
      <c r="EU221" s="1067"/>
      <c r="EV221" s="1067"/>
      <c r="EW221" s="1067"/>
      <c r="EX221" s="1067"/>
      <c r="EY221" s="1067"/>
      <c r="EZ221" s="1067"/>
      <c r="FA221" s="1067"/>
      <c r="FB221" s="1067"/>
      <c r="FC221" s="1067"/>
      <c r="FD221" s="1067"/>
      <c r="FE221" s="1067"/>
      <c r="FF221" s="1067"/>
      <c r="FG221" s="1067"/>
      <c r="FH221" s="1067"/>
      <c r="FI221" s="1067"/>
      <c r="FJ221" s="1067"/>
      <c r="FK221" s="1067"/>
      <c r="FL221" s="1067"/>
      <c r="FM221" s="1067"/>
      <c r="FN221" s="1067"/>
      <c r="FO221" s="1067"/>
      <c r="FP221" s="1067"/>
      <c r="FQ221" s="1067"/>
      <c r="FR221" s="1067"/>
      <c r="FS221" s="1067"/>
      <c r="FT221" s="1067"/>
      <c r="FU221" s="1067"/>
      <c r="FV221" s="1067"/>
      <c r="FW221" s="1067"/>
      <c r="FX221" s="1067"/>
      <c r="FY221" s="1067"/>
      <c r="FZ221" s="1067"/>
      <c r="GA221" s="1067"/>
      <c r="GB221" s="1067"/>
      <c r="GC221" s="1067"/>
      <c r="GD221" s="1067"/>
      <c r="GE221" s="1067"/>
      <c r="GF221" s="1067"/>
      <c r="GG221" s="1067"/>
      <c r="GH221" s="1067"/>
      <c r="GI221" s="1067"/>
      <c r="GJ221" s="1067"/>
      <c r="GK221" s="1067"/>
      <c r="GL221" s="1067"/>
      <c r="GM221" s="1067"/>
      <c r="GN221" s="1067"/>
      <c r="GO221" s="1067"/>
      <c r="GP221" s="1067"/>
      <c r="GQ221" s="1067"/>
      <c r="GR221" s="1067"/>
      <c r="GS221" s="1067"/>
      <c r="GT221" s="1067"/>
      <c r="GU221" s="1067"/>
      <c r="GV221" s="1067"/>
      <c r="GW221" s="1067"/>
      <c r="GX221" s="1067"/>
      <c r="GY221" s="1067"/>
      <c r="GZ221" s="1067"/>
      <c r="HA221" s="1067"/>
      <c r="HB221" s="1067"/>
      <c r="HC221" s="1067"/>
      <c r="HD221" s="1067"/>
      <c r="HE221" s="1067"/>
      <c r="HF221" s="1067"/>
      <c r="HG221" s="1067"/>
      <c r="HH221" s="1067"/>
      <c r="HI221" s="1067"/>
      <c r="HJ221" s="1067"/>
      <c r="HK221" s="1067"/>
      <c r="HL221" s="1067"/>
      <c r="HM221" s="1067"/>
      <c r="HN221" s="1067"/>
      <c r="HO221" s="1067"/>
      <c r="HP221" s="1067"/>
      <c r="HQ221" s="1067"/>
      <c r="HR221" s="1067"/>
      <c r="HS221" s="1067"/>
      <c r="HT221" s="1067"/>
      <c r="HU221" s="1067"/>
      <c r="HV221" s="1067"/>
      <c r="HW221" s="1067"/>
      <c r="HX221" s="1067"/>
      <c r="HY221" s="1067"/>
      <c r="HZ221" s="1067"/>
      <c r="IA221" s="1067"/>
      <c r="IB221" s="1067"/>
      <c r="IC221" s="1067"/>
      <c r="ID221" s="1067"/>
      <c r="IE221" s="1067"/>
      <c r="IF221" s="1067"/>
      <c r="IG221" s="1067"/>
      <c r="IH221" s="1067"/>
      <c r="II221" s="1067"/>
      <c r="IJ221" s="1067"/>
      <c r="IK221" s="1067"/>
      <c r="IL221" s="1067"/>
      <c r="IM221" s="1067"/>
      <c r="IN221" s="1067"/>
      <c r="IO221" s="1067"/>
      <c r="IP221" s="1067"/>
      <c r="IQ221" s="1067"/>
      <c r="IR221" s="1067"/>
      <c r="IS221" s="1067"/>
      <c r="IT221" s="1067"/>
      <c r="IU221" s="1067"/>
      <c r="IV221" s="1067"/>
    </row>
    <row r="222" spans="1:256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 s="1063"/>
      <c r="BN222" s="1063"/>
      <c r="BO222" s="1063"/>
      <c r="BP222" s="1064"/>
      <c r="BQ222" s="1064"/>
      <c r="BR222" s="1064"/>
      <c r="BS222" s="1064"/>
      <c r="BT222" s="1064"/>
      <c r="BU222" s="1064"/>
      <c r="BV222" s="1064"/>
      <c r="BW222" s="1064"/>
      <c r="BX222" s="1064"/>
      <c r="BY222" s="1064"/>
      <c r="BZ222" s="1064"/>
      <c r="CA222" s="1064"/>
      <c r="CB222" s="1064"/>
      <c r="CC222" s="1064"/>
      <c r="CD222" s="1064"/>
      <c r="CE222" s="1064"/>
      <c r="CF222" s="1064"/>
      <c r="CG222" s="1064"/>
      <c r="CH222" s="1064"/>
      <c r="CI222" s="1064"/>
      <c r="CJ222" s="1064"/>
      <c r="CK222" s="1064"/>
      <c r="CL222" s="1064"/>
      <c r="CM222" s="1064"/>
      <c r="CN222" s="1064"/>
      <c r="CO222" s="1064"/>
      <c r="CP222" s="1064"/>
      <c r="CQ222" s="1064"/>
      <c r="CR222" s="1064"/>
      <c r="CS222" s="1064"/>
      <c r="CT222" s="1064"/>
      <c r="CU222" s="1064"/>
      <c r="CV222" s="1064"/>
      <c r="CW222" s="1064"/>
      <c r="CX222" s="1064"/>
      <c r="CY222" s="1064"/>
      <c r="CZ222" s="1064"/>
      <c r="DA222" s="1064"/>
      <c r="DB222" s="1064"/>
      <c r="DC222" s="1064"/>
      <c r="DD222" s="1064"/>
      <c r="DE222" s="1064"/>
      <c r="DF222" s="1064"/>
      <c r="DG222" s="1064"/>
      <c r="DH222" s="1064"/>
      <c r="DI222" s="1064"/>
      <c r="DJ222" s="1064"/>
      <c r="DK222" s="1064"/>
      <c r="DL222" s="1064"/>
      <c r="DM222" s="1064"/>
      <c r="DN222" s="1064"/>
      <c r="DO222" s="1064"/>
      <c r="DP222" s="1064"/>
      <c r="DQ222" s="1064"/>
      <c r="DR222" s="1064"/>
      <c r="DS222" s="1064"/>
      <c r="DT222" s="1064"/>
      <c r="DU222" s="1064"/>
      <c r="DV222" s="1064"/>
      <c r="DW222" s="1064"/>
      <c r="DX222" s="1064"/>
      <c r="DY222" s="1064"/>
      <c r="DZ222" s="1064"/>
      <c r="EA222" s="1064"/>
      <c r="EB222" s="1064"/>
      <c r="EC222" s="1064"/>
      <c r="ED222" s="1064"/>
      <c r="EE222" s="1064"/>
      <c r="EF222" s="1064"/>
      <c r="EG222" s="1064"/>
      <c r="EH222" s="1064"/>
      <c r="EI222" s="1064"/>
      <c r="EJ222" s="1064"/>
      <c r="EK222" s="1064"/>
      <c r="EL222" s="1064"/>
      <c r="EM222" s="1064"/>
      <c r="EN222" s="1064"/>
      <c r="EO222" s="1064"/>
      <c r="EP222" s="1064"/>
      <c r="EQ222" s="1064"/>
      <c r="ER222" s="1064"/>
      <c r="ES222" s="1064"/>
      <c r="ET222" s="1064"/>
      <c r="EU222" s="1064"/>
      <c r="EV222" s="1064"/>
      <c r="EW222" s="1064"/>
      <c r="EX222" s="1064"/>
      <c r="EY222" s="1064"/>
      <c r="EZ222" s="1064"/>
      <c r="FA222" s="1064"/>
      <c r="FB222" s="1064"/>
      <c r="FC222" s="1064"/>
      <c r="FD222" s="1064"/>
      <c r="FE222" s="1064"/>
      <c r="FF222" s="1064"/>
      <c r="FG222" s="1064"/>
      <c r="FH222" s="1064"/>
      <c r="FI222" s="1064"/>
      <c r="FJ222" s="1064"/>
      <c r="FK222" s="1064"/>
      <c r="FL222" s="1064"/>
      <c r="FM222" s="1064"/>
      <c r="FN222" s="1064"/>
      <c r="FO222" s="1064"/>
      <c r="FP222" s="1064"/>
      <c r="FQ222" s="1064"/>
      <c r="FR222" s="1064"/>
      <c r="FS222" s="1064"/>
      <c r="FT222" s="1064"/>
      <c r="FU222" s="1064"/>
      <c r="FV222" s="1064"/>
      <c r="FW222" s="1064"/>
      <c r="FX222" s="1064"/>
      <c r="FY222" s="1064"/>
      <c r="FZ222" s="1064"/>
      <c r="GA222" s="1064"/>
      <c r="GB222" s="1064"/>
      <c r="GC222" s="1064"/>
      <c r="GD222" s="1064"/>
      <c r="GE222" s="1064"/>
      <c r="GF222" s="1064"/>
      <c r="GG222" s="1064"/>
      <c r="GH222" s="1064"/>
      <c r="GI222" s="1064"/>
      <c r="GJ222" s="1064"/>
      <c r="GK222" s="1064"/>
      <c r="GL222" s="1064"/>
      <c r="GM222" s="1064"/>
      <c r="GN222" s="1064"/>
      <c r="GO222" s="1064"/>
      <c r="GP222" s="1064"/>
      <c r="GQ222" s="1064"/>
      <c r="GR222" s="1064"/>
      <c r="GS222" s="1064"/>
      <c r="GT222" s="1064"/>
      <c r="GU222" s="1064"/>
      <c r="GV222" s="1064"/>
      <c r="GW222" s="1064"/>
      <c r="GX222" s="1064"/>
      <c r="GY222" s="1064"/>
      <c r="GZ222" s="1064"/>
      <c r="HA222" s="1064"/>
      <c r="HB222" s="1064"/>
      <c r="HC222" s="1064"/>
      <c r="HD222" s="1064"/>
      <c r="HE222" s="1064"/>
      <c r="HF222" s="1064"/>
      <c r="HG222" s="1064"/>
      <c r="HH222" s="1064"/>
      <c r="HI222" s="1064"/>
      <c r="HJ222" s="1064"/>
      <c r="HK222" s="1064"/>
      <c r="HL222" s="1064"/>
      <c r="HM222" s="1064"/>
      <c r="HN222" s="1064"/>
      <c r="HO222" s="1064"/>
      <c r="HP222" s="1064"/>
      <c r="HQ222" s="1064"/>
      <c r="HR222" s="1064"/>
      <c r="HS222" s="1064"/>
      <c r="HT222" s="1064"/>
      <c r="HU222" s="1064"/>
      <c r="HV222" s="1064"/>
      <c r="HW222" s="1064"/>
      <c r="HX222" s="1064"/>
      <c r="HY222" s="1064"/>
      <c r="HZ222" s="1064"/>
      <c r="IA222" s="1064"/>
      <c r="IB222" s="1064"/>
      <c r="IC222" s="1064"/>
      <c r="ID222" s="1064"/>
      <c r="IE222" s="1064"/>
      <c r="IF222" s="1064"/>
      <c r="IG222" s="1064"/>
      <c r="IH222" s="1064"/>
      <c r="II222" s="1064"/>
      <c r="IJ222" s="1064"/>
      <c r="IK222" s="1064"/>
      <c r="IL222" s="1064"/>
      <c r="IM222" s="1064"/>
      <c r="IN222" s="1064"/>
      <c r="IO222" s="1064"/>
      <c r="IP222" s="1064"/>
      <c r="IQ222" s="1064"/>
      <c r="IR222" s="1064"/>
      <c r="IS222" s="1064"/>
      <c r="IT222" s="1064"/>
      <c r="IU222" s="1064"/>
      <c r="IV222" s="1064"/>
    </row>
    <row r="223" spans="1:256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 s="1063"/>
      <c r="BN223" s="1063"/>
      <c r="BO223" s="1063"/>
      <c r="BP223" s="1064"/>
      <c r="BQ223" s="1064"/>
      <c r="BR223" s="1064"/>
      <c r="BS223" s="1064"/>
      <c r="BT223" s="1064"/>
      <c r="BU223" s="1064"/>
      <c r="BV223" s="1064"/>
      <c r="BW223" s="1064"/>
      <c r="BX223" s="1064"/>
      <c r="BY223" s="1064"/>
      <c r="BZ223" s="1064"/>
      <c r="CA223" s="1064"/>
      <c r="CB223" s="1064"/>
      <c r="CC223" s="1064"/>
      <c r="CD223" s="1064"/>
      <c r="CE223" s="1064"/>
      <c r="CF223" s="1064"/>
      <c r="CG223" s="1064"/>
      <c r="CH223" s="1064"/>
      <c r="CI223" s="1064"/>
      <c r="CJ223" s="1064"/>
      <c r="CK223" s="1064"/>
      <c r="CL223" s="1064"/>
      <c r="CM223" s="1064"/>
      <c r="CN223" s="1064"/>
      <c r="CO223" s="1064"/>
      <c r="CP223" s="1064"/>
      <c r="CQ223" s="1064"/>
      <c r="CR223" s="1064"/>
      <c r="CS223" s="1064"/>
      <c r="CT223" s="1064"/>
      <c r="CU223" s="1064"/>
      <c r="CV223" s="1064"/>
      <c r="CW223" s="1064"/>
      <c r="CX223" s="1064"/>
      <c r="CY223" s="1064"/>
      <c r="CZ223" s="1064"/>
      <c r="DA223" s="1064"/>
      <c r="DB223" s="1064"/>
      <c r="DC223" s="1064"/>
      <c r="DD223" s="1064"/>
      <c r="DE223" s="1064"/>
      <c r="DF223" s="1064"/>
      <c r="DG223" s="1064"/>
      <c r="DH223" s="1064"/>
      <c r="DI223" s="1064"/>
      <c r="DJ223" s="1064"/>
      <c r="DK223" s="1064"/>
      <c r="DL223" s="1064"/>
      <c r="DM223" s="1064"/>
      <c r="DN223" s="1064"/>
      <c r="DO223" s="1064"/>
      <c r="DP223" s="1064"/>
      <c r="DQ223" s="1064"/>
      <c r="DR223" s="1064"/>
      <c r="DS223" s="1064"/>
      <c r="DT223" s="1064"/>
      <c r="DU223" s="1064"/>
      <c r="DV223" s="1064"/>
      <c r="DW223" s="1064"/>
      <c r="DX223" s="1064"/>
      <c r="DY223" s="1064"/>
      <c r="DZ223" s="1064"/>
      <c r="EA223" s="1064"/>
      <c r="EB223" s="1064"/>
      <c r="EC223" s="1064"/>
      <c r="ED223" s="1064"/>
      <c r="EE223" s="1064"/>
      <c r="EF223" s="1064"/>
      <c r="EG223" s="1064"/>
      <c r="EH223" s="1064"/>
      <c r="EI223" s="1064"/>
      <c r="EJ223" s="1064"/>
      <c r="EK223" s="1064"/>
      <c r="EL223" s="1064"/>
      <c r="EM223" s="1064"/>
      <c r="EN223" s="1064"/>
      <c r="EO223" s="1064"/>
      <c r="EP223" s="1064"/>
      <c r="EQ223" s="1064"/>
      <c r="ER223" s="1064"/>
      <c r="ES223" s="1064"/>
      <c r="ET223" s="1064"/>
      <c r="EU223" s="1064"/>
      <c r="EV223" s="1064"/>
      <c r="EW223" s="1064"/>
      <c r="EX223" s="1064"/>
      <c r="EY223" s="1064"/>
      <c r="EZ223" s="1064"/>
      <c r="FA223" s="1064"/>
      <c r="FB223" s="1064"/>
      <c r="FC223" s="1064"/>
      <c r="FD223" s="1064"/>
      <c r="FE223" s="1064"/>
      <c r="FF223" s="1064"/>
      <c r="FG223" s="1064"/>
      <c r="FH223" s="1064"/>
      <c r="FI223" s="1064"/>
      <c r="FJ223" s="1064"/>
      <c r="FK223" s="1064"/>
      <c r="FL223" s="1064"/>
      <c r="FM223" s="1064"/>
      <c r="FN223" s="1064"/>
      <c r="FO223" s="1064"/>
      <c r="FP223" s="1064"/>
      <c r="FQ223" s="1064"/>
      <c r="FR223" s="1064"/>
      <c r="FS223" s="1064"/>
      <c r="FT223" s="1064"/>
      <c r="FU223" s="1064"/>
      <c r="FV223" s="1064"/>
      <c r="FW223" s="1064"/>
      <c r="FX223" s="1064"/>
      <c r="FY223" s="1064"/>
      <c r="FZ223" s="1064"/>
      <c r="GA223" s="1064"/>
      <c r="GB223" s="1064"/>
      <c r="GC223" s="1064"/>
      <c r="GD223" s="1064"/>
      <c r="GE223" s="1064"/>
      <c r="GF223" s="1064"/>
      <c r="GG223" s="1064"/>
      <c r="GH223" s="1064"/>
      <c r="GI223" s="1064"/>
      <c r="GJ223" s="1064"/>
      <c r="GK223" s="1064"/>
      <c r="GL223" s="1064"/>
      <c r="GM223" s="1064"/>
      <c r="GN223" s="1064"/>
      <c r="GO223" s="1064"/>
      <c r="GP223" s="1064"/>
      <c r="GQ223" s="1064"/>
      <c r="GR223" s="1064"/>
      <c r="GS223" s="1064"/>
      <c r="GT223" s="1064"/>
      <c r="GU223" s="1064"/>
      <c r="GV223" s="1064"/>
      <c r="GW223" s="1064"/>
      <c r="GX223" s="1064"/>
      <c r="GY223" s="1064"/>
      <c r="GZ223" s="1064"/>
      <c r="HA223" s="1064"/>
      <c r="HB223" s="1064"/>
      <c r="HC223" s="1064"/>
      <c r="HD223" s="1064"/>
      <c r="HE223" s="1064"/>
      <c r="HF223" s="1064"/>
      <c r="HG223" s="1064"/>
      <c r="HH223" s="1064"/>
      <c r="HI223" s="1064"/>
      <c r="HJ223" s="1064"/>
      <c r="HK223" s="1064"/>
      <c r="HL223" s="1064"/>
      <c r="HM223" s="1064"/>
      <c r="HN223" s="1064"/>
      <c r="HO223" s="1064"/>
      <c r="HP223" s="1064"/>
      <c r="HQ223" s="1064"/>
      <c r="HR223" s="1064"/>
      <c r="HS223" s="1064"/>
      <c r="HT223" s="1064"/>
      <c r="HU223" s="1064"/>
      <c r="HV223" s="1064"/>
      <c r="HW223" s="1064"/>
      <c r="HX223" s="1064"/>
      <c r="HY223" s="1064"/>
      <c r="HZ223" s="1064"/>
      <c r="IA223" s="1064"/>
      <c r="IB223" s="1064"/>
      <c r="IC223" s="1064"/>
      <c r="ID223" s="1064"/>
      <c r="IE223" s="1064"/>
      <c r="IF223" s="1064"/>
      <c r="IG223" s="1064"/>
      <c r="IH223" s="1064"/>
      <c r="II223" s="1064"/>
      <c r="IJ223" s="1064"/>
      <c r="IK223" s="1064"/>
      <c r="IL223" s="1064"/>
      <c r="IM223" s="1064"/>
      <c r="IN223" s="1064"/>
      <c r="IO223" s="1064"/>
      <c r="IP223" s="1064"/>
      <c r="IQ223" s="1064"/>
      <c r="IR223" s="1064"/>
      <c r="IS223" s="1064"/>
      <c r="IT223" s="1064"/>
      <c r="IU223" s="1064"/>
      <c r="IV223" s="1064"/>
    </row>
    <row r="224" spans="1:256" ht="12.75">
      <c r="A224" s="1063"/>
      <c r="B224" s="1070"/>
      <c r="C224" s="1070"/>
      <c r="D224" s="1063"/>
      <c r="E224" s="1063"/>
      <c r="F224" s="1063"/>
      <c r="G224" s="1063"/>
      <c r="H224" s="1063"/>
      <c r="I224" s="1063"/>
      <c r="J224" s="1063"/>
      <c r="K224" s="1063"/>
      <c r="L224" s="1063"/>
      <c r="M224" s="1063"/>
      <c r="N224" s="1063"/>
      <c r="O224" s="1063"/>
      <c r="P224" s="1063"/>
      <c r="Q224" s="1063"/>
      <c r="R224" s="1063"/>
      <c r="S224" s="1063"/>
      <c r="T224" s="1063"/>
      <c r="U224" s="1063"/>
      <c r="V224" s="1063"/>
      <c r="W224" s="1063"/>
      <c r="X224" s="1063"/>
      <c r="Y224" s="1063"/>
      <c r="Z224" s="1063"/>
      <c r="AA224" s="1063"/>
      <c r="AB224" s="1063"/>
      <c r="AC224" s="1063"/>
      <c r="AD224" s="1063"/>
      <c r="AE224" s="1063"/>
      <c r="AF224" s="1063"/>
      <c r="AG224" s="1063"/>
      <c r="AH224" s="1063"/>
      <c r="AI224" s="1063"/>
      <c r="AJ224" s="1063"/>
      <c r="AK224" s="1063"/>
      <c r="AL224" s="1063"/>
      <c r="AM224" s="1063"/>
      <c r="AN224" s="1063"/>
      <c r="AO224" s="1063"/>
      <c r="AP224" s="1063"/>
      <c r="AQ224" s="1063"/>
      <c r="AR224" s="1063"/>
      <c r="AS224" s="1063"/>
      <c r="AT224" s="1063"/>
      <c r="AU224" s="1063"/>
      <c r="AV224" s="1063"/>
      <c r="AW224" s="1063"/>
      <c r="AX224" s="1063"/>
      <c r="AY224" s="1063"/>
      <c r="AZ224" s="1063"/>
      <c r="BA224" s="1063"/>
      <c r="BB224" s="1063"/>
      <c r="BC224" s="1063"/>
      <c r="BD224" s="1063"/>
      <c r="BE224" s="1063"/>
      <c r="BF224" s="1063"/>
      <c r="BG224" s="1063"/>
      <c r="BH224" s="1063"/>
      <c r="BI224" s="1063"/>
      <c r="BJ224" s="1063"/>
      <c r="BK224" s="1063"/>
      <c r="BL224" s="1063"/>
      <c r="BM224" s="1063"/>
      <c r="BN224" s="1063"/>
      <c r="BO224" s="1063"/>
      <c r="BP224" s="1064"/>
      <c r="BQ224" s="1064"/>
      <c r="BR224" s="1064"/>
      <c r="BS224" s="1064"/>
      <c r="BT224" s="1064"/>
      <c r="BU224" s="1064"/>
      <c r="BV224" s="1064"/>
      <c r="BW224" s="1064"/>
      <c r="BX224" s="1064"/>
      <c r="BY224" s="1064"/>
      <c r="BZ224" s="1064"/>
      <c r="CA224" s="1064"/>
      <c r="CB224" s="1064"/>
      <c r="CC224" s="1064"/>
      <c r="CD224" s="1064"/>
      <c r="CE224" s="1064"/>
      <c r="CF224" s="1064"/>
      <c r="CG224" s="1064"/>
      <c r="CH224" s="1064"/>
      <c r="CI224" s="1064"/>
      <c r="CJ224" s="1064"/>
      <c r="CK224" s="1064"/>
      <c r="CL224" s="1064"/>
      <c r="CM224" s="1064"/>
      <c r="CN224" s="1064"/>
      <c r="CO224" s="1064"/>
      <c r="CP224" s="1064"/>
      <c r="CQ224" s="1064"/>
      <c r="CR224" s="1064"/>
      <c r="CS224" s="1064"/>
      <c r="CT224" s="1064"/>
      <c r="CU224" s="1064"/>
      <c r="CV224" s="1064"/>
      <c r="CW224" s="1064"/>
      <c r="CX224" s="1064"/>
      <c r="CY224" s="1064"/>
      <c r="CZ224" s="1064"/>
      <c r="DA224" s="1064"/>
      <c r="DB224" s="1064"/>
      <c r="DC224" s="1064"/>
      <c r="DD224" s="1064"/>
      <c r="DE224" s="1064"/>
      <c r="DF224" s="1064"/>
      <c r="DG224" s="1064"/>
      <c r="DH224" s="1064"/>
      <c r="DI224" s="1064"/>
      <c r="DJ224" s="1064"/>
      <c r="DK224" s="1064"/>
      <c r="DL224" s="1064"/>
      <c r="DM224" s="1064"/>
      <c r="DN224" s="1064"/>
      <c r="DO224" s="1064"/>
      <c r="DP224" s="1064"/>
      <c r="DQ224" s="1064"/>
      <c r="DR224" s="1064"/>
      <c r="DS224" s="1064"/>
      <c r="DT224" s="1064"/>
      <c r="DU224" s="1064"/>
      <c r="DV224" s="1064"/>
      <c r="DW224" s="1064"/>
      <c r="DX224" s="1064"/>
      <c r="DY224" s="1064"/>
      <c r="DZ224" s="1064"/>
      <c r="EA224" s="1064"/>
      <c r="EB224" s="1064"/>
      <c r="EC224" s="1064"/>
      <c r="ED224" s="1064"/>
      <c r="EE224" s="1064"/>
      <c r="EF224" s="1064"/>
      <c r="EG224" s="1064"/>
      <c r="EH224" s="1064"/>
      <c r="EI224" s="1064"/>
      <c r="EJ224" s="1064"/>
      <c r="EK224" s="1064"/>
      <c r="EL224" s="1064"/>
      <c r="EM224" s="1064"/>
      <c r="EN224" s="1064"/>
      <c r="EO224" s="1064"/>
      <c r="EP224" s="1064"/>
      <c r="EQ224" s="1064"/>
      <c r="ER224" s="1064"/>
      <c r="ES224" s="1064"/>
      <c r="ET224" s="1064"/>
      <c r="EU224" s="1064"/>
      <c r="EV224" s="1064"/>
      <c r="EW224" s="1064"/>
      <c r="EX224" s="1064"/>
      <c r="EY224" s="1064"/>
      <c r="EZ224" s="1064"/>
      <c r="FA224" s="1064"/>
      <c r="FB224" s="1064"/>
      <c r="FC224" s="1064"/>
      <c r="FD224" s="1064"/>
      <c r="FE224" s="1064"/>
      <c r="FF224" s="1064"/>
      <c r="FG224" s="1064"/>
      <c r="FH224" s="1064"/>
      <c r="FI224" s="1064"/>
      <c r="FJ224" s="1064"/>
      <c r="FK224" s="1064"/>
      <c r="FL224" s="1064"/>
      <c r="FM224" s="1064"/>
      <c r="FN224" s="1064"/>
      <c r="FO224" s="1064"/>
      <c r="FP224" s="1064"/>
      <c r="FQ224" s="1064"/>
      <c r="FR224" s="1064"/>
      <c r="FS224" s="1064"/>
      <c r="FT224" s="1064"/>
      <c r="FU224" s="1064"/>
      <c r="FV224" s="1064"/>
      <c r="FW224" s="1064"/>
      <c r="FX224" s="1064"/>
      <c r="FY224" s="1064"/>
      <c r="FZ224" s="1064"/>
      <c r="GA224" s="1064"/>
      <c r="GB224" s="1064"/>
      <c r="GC224" s="1064"/>
      <c r="GD224" s="1064"/>
      <c r="GE224" s="1064"/>
      <c r="GF224" s="1064"/>
      <c r="GG224" s="1064"/>
      <c r="GH224" s="1064"/>
      <c r="GI224" s="1064"/>
      <c r="GJ224" s="1064"/>
      <c r="GK224" s="1064"/>
      <c r="GL224" s="1064"/>
      <c r="GM224" s="1064"/>
      <c r="GN224" s="1064"/>
      <c r="GO224" s="1064"/>
      <c r="GP224" s="1064"/>
      <c r="GQ224" s="1064"/>
      <c r="GR224" s="1064"/>
      <c r="GS224" s="1064"/>
      <c r="GT224" s="1064"/>
      <c r="GU224" s="1064"/>
      <c r="GV224" s="1064"/>
      <c r="GW224" s="1064"/>
      <c r="GX224" s="1064"/>
      <c r="GY224" s="1064"/>
      <c r="GZ224" s="1064"/>
      <c r="HA224" s="1064"/>
      <c r="HB224" s="1064"/>
      <c r="HC224" s="1064"/>
      <c r="HD224" s="1064"/>
      <c r="HE224" s="1064"/>
      <c r="HF224" s="1064"/>
      <c r="HG224" s="1064"/>
      <c r="HH224" s="1064"/>
      <c r="HI224" s="1064"/>
      <c r="HJ224" s="1064"/>
      <c r="HK224" s="1064"/>
      <c r="HL224" s="1064"/>
      <c r="HM224" s="1064"/>
      <c r="HN224" s="1064"/>
      <c r="HO224" s="1064"/>
      <c r="HP224" s="1064"/>
      <c r="HQ224" s="1064"/>
      <c r="HR224" s="1064"/>
      <c r="HS224" s="1064"/>
      <c r="HT224" s="1064"/>
      <c r="HU224" s="1064"/>
      <c r="HV224" s="1064"/>
      <c r="HW224" s="1064"/>
      <c r="HX224" s="1064"/>
      <c r="HY224" s="1064"/>
      <c r="HZ224" s="1064"/>
      <c r="IA224" s="1064"/>
      <c r="IB224" s="1064"/>
      <c r="IC224" s="1064"/>
      <c r="ID224" s="1064"/>
      <c r="IE224" s="1064"/>
      <c r="IF224" s="1064"/>
      <c r="IG224" s="1064"/>
      <c r="IH224" s="1064"/>
      <c r="II224" s="1064"/>
      <c r="IJ224" s="1064"/>
      <c r="IK224" s="1064"/>
      <c r="IL224" s="1064"/>
      <c r="IM224" s="1064"/>
      <c r="IN224" s="1064"/>
      <c r="IO224" s="1064"/>
      <c r="IP224" s="1064"/>
      <c r="IQ224" s="1064"/>
      <c r="IR224" s="1064"/>
      <c r="IS224" s="1064"/>
      <c r="IT224" s="1064"/>
      <c r="IU224" s="1064"/>
      <c r="IV224" s="1064"/>
    </row>
    <row r="225" spans="1:256" ht="12.75">
      <c r="A225" s="1063"/>
      <c r="B225" s="1070"/>
      <c r="C225" s="1070"/>
      <c r="D225" s="1063"/>
      <c r="E225" s="1063"/>
      <c r="F225" s="1063"/>
      <c r="G225" s="1063"/>
      <c r="H225" s="1063"/>
      <c r="I225" s="1063"/>
      <c r="J225" s="1063"/>
      <c r="K225" s="1063"/>
      <c r="L225" s="1063"/>
      <c r="M225" s="1063"/>
      <c r="N225" s="1063"/>
      <c r="O225" s="1063"/>
      <c r="P225" s="1063"/>
      <c r="Q225" s="1063"/>
      <c r="R225" s="1063"/>
      <c r="S225" s="1063"/>
      <c r="T225" s="1063"/>
      <c r="U225" s="1063"/>
      <c r="V225" s="1063"/>
      <c r="W225" s="1063"/>
      <c r="X225" s="1063"/>
      <c r="Y225" s="1063"/>
      <c r="Z225" s="1063"/>
      <c r="AA225" s="1063"/>
      <c r="AB225" s="1063"/>
      <c r="AC225" s="1063"/>
      <c r="AD225" s="1063"/>
      <c r="AE225" s="1063"/>
      <c r="AF225" s="1063"/>
      <c r="AG225" s="1063"/>
      <c r="AH225" s="1063"/>
      <c r="AI225" s="1063"/>
      <c r="AJ225" s="1063"/>
      <c r="AK225" s="1063"/>
      <c r="AL225" s="1063"/>
      <c r="AM225" s="1063"/>
      <c r="AN225" s="1063"/>
      <c r="AO225" s="1063"/>
      <c r="AP225" s="1063"/>
      <c r="AQ225" s="1063"/>
      <c r="AR225" s="1063"/>
      <c r="AS225" s="1063"/>
      <c r="AT225" s="1063"/>
      <c r="AU225" s="2118"/>
      <c r="AV225" s="2118"/>
      <c r="AW225" s="2118"/>
      <c r="AX225" s="2118"/>
      <c r="AY225" s="2118"/>
      <c r="AZ225" s="2118"/>
      <c r="BA225" s="2118"/>
      <c r="BB225" s="1063"/>
      <c r="BC225" s="1063"/>
      <c r="BD225" s="2118"/>
      <c r="BE225" s="2118"/>
      <c r="BF225" s="2118"/>
      <c r="BG225" s="2118"/>
      <c r="BH225" s="2118"/>
      <c r="BI225" s="2118"/>
      <c r="BJ225" s="2118"/>
      <c r="BK225" s="1063"/>
      <c r="BL225" s="1063"/>
      <c r="BM225" s="1063"/>
      <c r="BN225" s="1063"/>
      <c r="BO225" s="1063"/>
      <c r="BP225" s="1064"/>
      <c r="BQ225" s="1064"/>
      <c r="BR225" s="1064"/>
      <c r="BS225" s="1064"/>
      <c r="BT225" s="1064"/>
      <c r="BU225" s="1064"/>
      <c r="BV225" s="1064"/>
      <c r="BW225" s="1064"/>
      <c r="BX225" s="1064"/>
      <c r="BY225" s="1064"/>
      <c r="BZ225" s="1064"/>
      <c r="CA225" s="1064"/>
      <c r="CB225" s="1064"/>
      <c r="CC225" s="1064"/>
      <c r="CD225" s="1064"/>
      <c r="CE225" s="1064"/>
      <c r="CF225" s="1064"/>
      <c r="CG225" s="1064"/>
      <c r="CH225" s="1064"/>
      <c r="CI225" s="1064"/>
      <c r="CJ225" s="1064"/>
      <c r="CK225" s="1064"/>
      <c r="CL225" s="1064"/>
      <c r="CM225" s="1064"/>
      <c r="CN225" s="1064"/>
      <c r="CO225" s="1064"/>
      <c r="CP225" s="1064"/>
      <c r="CQ225" s="1064"/>
      <c r="CR225" s="1064"/>
      <c r="CS225" s="1064"/>
      <c r="CT225" s="1064"/>
      <c r="CU225" s="1064"/>
      <c r="CV225" s="1064"/>
      <c r="CW225" s="1064"/>
      <c r="CX225" s="1064"/>
      <c r="CY225" s="1064"/>
      <c r="CZ225" s="1064"/>
      <c r="DA225" s="1064"/>
      <c r="DB225" s="1064"/>
      <c r="DC225" s="1064"/>
      <c r="DD225" s="1064"/>
      <c r="DE225" s="1064"/>
      <c r="DF225" s="1064"/>
      <c r="DG225" s="1064"/>
      <c r="DH225" s="1064"/>
      <c r="DI225" s="1064"/>
      <c r="DJ225" s="1064"/>
      <c r="DK225" s="1064"/>
      <c r="DL225" s="1064"/>
      <c r="DM225" s="1064"/>
      <c r="DN225" s="1064"/>
      <c r="DO225" s="1064"/>
      <c r="DP225" s="1064"/>
      <c r="DQ225" s="1064"/>
      <c r="DR225" s="1064"/>
      <c r="DS225" s="1064"/>
      <c r="DT225" s="1064"/>
      <c r="DU225" s="1064"/>
      <c r="DV225" s="1064"/>
      <c r="DW225" s="1064"/>
      <c r="DX225" s="1064"/>
      <c r="DY225" s="1064"/>
      <c r="DZ225" s="1064"/>
      <c r="EA225" s="1064"/>
      <c r="EB225" s="1064"/>
      <c r="EC225" s="1064"/>
      <c r="ED225" s="1064"/>
      <c r="EE225" s="1064"/>
      <c r="EF225" s="1064"/>
      <c r="EG225" s="1064"/>
      <c r="EH225" s="1064"/>
      <c r="EI225" s="1064"/>
      <c r="EJ225" s="1064"/>
      <c r="EK225" s="1064"/>
      <c r="EL225" s="1064"/>
      <c r="EM225" s="1064"/>
      <c r="EN225" s="1064"/>
      <c r="EO225" s="1064"/>
      <c r="EP225" s="1064"/>
      <c r="EQ225" s="1064"/>
      <c r="ER225" s="1064"/>
      <c r="ES225" s="1064"/>
      <c r="ET225" s="1064"/>
      <c r="EU225" s="1064"/>
      <c r="EV225" s="1064"/>
      <c r="EW225" s="1064"/>
      <c r="EX225" s="1064"/>
      <c r="EY225" s="1064"/>
      <c r="EZ225" s="1064"/>
      <c r="FA225" s="1064"/>
      <c r="FB225" s="1064"/>
      <c r="FC225" s="1064"/>
      <c r="FD225" s="1064"/>
      <c r="FE225" s="1064"/>
      <c r="FF225" s="1064"/>
      <c r="FG225" s="1064"/>
      <c r="FH225" s="1064"/>
      <c r="FI225" s="1064"/>
      <c r="FJ225" s="1064"/>
      <c r="FK225" s="1064"/>
      <c r="FL225" s="1064"/>
      <c r="FM225" s="1064"/>
      <c r="FN225" s="1064"/>
      <c r="FO225" s="1064"/>
      <c r="FP225" s="1064"/>
      <c r="FQ225" s="1064"/>
      <c r="FR225" s="1064"/>
      <c r="FS225" s="1064"/>
      <c r="FT225" s="1064"/>
      <c r="FU225" s="1064"/>
      <c r="FV225" s="1064"/>
      <c r="FW225" s="1064"/>
      <c r="FX225" s="1064"/>
      <c r="FY225" s="1064"/>
      <c r="FZ225" s="1064"/>
      <c r="GA225" s="1064"/>
      <c r="GB225" s="1064"/>
      <c r="GC225" s="1064"/>
      <c r="GD225" s="1064"/>
      <c r="GE225" s="1064"/>
      <c r="GF225" s="1064"/>
      <c r="GG225" s="1064"/>
      <c r="GH225" s="1064"/>
      <c r="GI225" s="1064"/>
      <c r="GJ225" s="1064"/>
      <c r="GK225" s="1064"/>
      <c r="GL225" s="1064"/>
      <c r="GM225" s="1064"/>
      <c r="GN225" s="1064"/>
      <c r="GO225" s="1064"/>
      <c r="GP225" s="1064"/>
      <c r="GQ225" s="1064"/>
      <c r="GR225" s="1064"/>
      <c r="GS225" s="1064"/>
      <c r="GT225" s="1064"/>
      <c r="GU225" s="1064"/>
      <c r="GV225" s="1064"/>
      <c r="GW225" s="1064"/>
      <c r="GX225" s="1064"/>
      <c r="GY225" s="1064"/>
      <c r="GZ225" s="1064"/>
      <c r="HA225" s="1064"/>
      <c r="HB225" s="1064"/>
      <c r="HC225" s="1064"/>
      <c r="HD225" s="1064"/>
      <c r="HE225" s="1064"/>
      <c r="HF225" s="1064"/>
      <c r="HG225" s="1064"/>
      <c r="HH225" s="1064"/>
      <c r="HI225" s="1064"/>
      <c r="HJ225" s="1064"/>
      <c r="HK225" s="1064"/>
      <c r="HL225" s="1064"/>
      <c r="HM225" s="1064"/>
      <c r="HN225" s="1064"/>
      <c r="HO225" s="1064"/>
      <c r="HP225" s="1064"/>
      <c r="HQ225" s="1064"/>
      <c r="HR225" s="1064"/>
      <c r="HS225" s="1064"/>
      <c r="HT225" s="1064"/>
      <c r="HU225" s="1064"/>
      <c r="HV225" s="1064"/>
      <c r="HW225" s="1064"/>
      <c r="HX225" s="1064"/>
      <c r="HY225" s="1064"/>
      <c r="HZ225" s="1064"/>
      <c r="IA225" s="1064"/>
      <c r="IB225" s="1064"/>
      <c r="IC225" s="1064"/>
      <c r="ID225" s="1064"/>
      <c r="IE225" s="1064"/>
      <c r="IF225" s="1064"/>
      <c r="IG225" s="1064"/>
      <c r="IH225" s="1064"/>
      <c r="II225" s="1064"/>
      <c r="IJ225" s="1064"/>
      <c r="IK225" s="1064"/>
      <c r="IL225" s="1064"/>
      <c r="IM225" s="1064"/>
      <c r="IN225" s="1064"/>
      <c r="IO225" s="1064"/>
      <c r="IP225" s="1064"/>
      <c r="IQ225" s="1064"/>
      <c r="IR225" s="1064"/>
      <c r="IS225" s="1064"/>
      <c r="IT225" s="1064"/>
      <c r="IU225" s="1064"/>
      <c r="IV225" s="1064"/>
    </row>
    <row r="226" spans="1:256" ht="12.75">
      <c r="A226" s="1063"/>
      <c r="B226" s="1070"/>
      <c r="C226" s="1070"/>
      <c r="D226" s="1063"/>
      <c r="E226" s="1063"/>
      <c r="F226" s="1063"/>
      <c r="G226" s="1063"/>
      <c r="H226" s="1063"/>
      <c r="I226" s="1063"/>
      <c r="J226" s="1063"/>
      <c r="K226" s="1063"/>
      <c r="L226" s="1063"/>
      <c r="M226" s="1063"/>
      <c r="N226" s="1063"/>
      <c r="O226" s="1063"/>
      <c r="P226" s="1063"/>
      <c r="Q226" s="1063"/>
      <c r="R226" s="1063"/>
      <c r="S226" s="1063"/>
      <c r="T226" s="1063"/>
      <c r="U226" s="1063"/>
      <c r="V226" s="1063"/>
      <c r="W226" s="1063"/>
      <c r="X226" s="1063"/>
      <c r="Y226" s="1063"/>
      <c r="Z226" s="1063"/>
      <c r="AA226" s="1063"/>
      <c r="AB226" s="1063"/>
      <c r="AC226" s="1063"/>
      <c r="AD226" s="1063"/>
      <c r="AE226" s="1063"/>
      <c r="AF226" s="1063"/>
      <c r="AG226" s="1063"/>
      <c r="AH226" s="1063"/>
      <c r="AI226" s="1063"/>
      <c r="AJ226" s="1063"/>
      <c r="AK226" s="1063"/>
      <c r="AL226" s="1063"/>
      <c r="AM226" s="1063"/>
      <c r="AN226" s="1063"/>
      <c r="AO226" s="1063"/>
      <c r="AP226" s="1063"/>
      <c r="AQ226" s="1063"/>
      <c r="AR226" s="1063"/>
      <c r="AS226" s="1063"/>
      <c r="AT226" s="1063"/>
      <c r="AU226" s="858"/>
      <c r="AV226" s="1063"/>
      <c r="AW226" s="1063"/>
      <c r="AX226" s="1063"/>
      <c r="AY226" s="1063"/>
      <c r="AZ226" s="1063"/>
      <c r="BA226" s="1063"/>
      <c r="BB226" s="1063"/>
      <c r="BC226" s="1063"/>
      <c r="BD226" s="858"/>
      <c r="BE226" s="1063"/>
      <c r="BF226" s="1063"/>
      <c r="BG226" s="1063"/>
      <c r="BH226" s="1063"/>
      <c r="BI226" s="858"/>
      <c r="BJ226" s="858"/>
      <c r="BK226" s="1063"/>
      <c r="BL226" s="1063"/>
      <c r="BM226" s="1063"/>
      <c r="BN226" s="1063"/>
      <c r="BO226" s="1063"/>
      <c r="BP226" s="1064"/>
      <c r="BQ226" s="1064"/>
      <c r="BR226" s="1064"/>
      <c r="BS226" s="1064"/>
      <c r="BT226" s="1064"/>
      <c r="BU226" s="1064"/>
      <c r="BV226" s="1064"/>
      <c r="BW226" s="1064"/>
      <c r="BX226" s="1064"/>
      <c r="BY226" s="1064"/>
      <c r="BZ226" s="1064"/>
      <c r="CA226" s="1064"/>
      <c r="CB226" s="1064"/>
      <c r="CC226" s="1064"/>
      <c r="CD226" s="1064"/>
      <c r="CE226" s="1064"/>
      <c r="CF226" s="1064"/>
      <c r="CG226" s="1064"/>
      <c r="CH226" s="1064"/>
      <c r="CI226" s="1064"/>
      <c r="CJ226" s="1064"/>
      <c r="CK226" s="1064"/>
      <c r="CL226" s="1064"/>
      <c r="CM226" s="1064"/>
      <c r="CN226" s="1064"/>
      <c r="CO226" s="1064"/>
      <c r="CP226" s="1064"/>
      <c r="CQ226" s="1064"/>
      <c r="CR226" s="1064"/>
      <c r="CS226" s="1064"/>
      <c r="CT226" s="1064"/>
      <c r="CU226" s="1064"/>
      <c r="CV226" s="1064"/>
      <c r="CW226" s="1064"/>
      <c r="CX226" s="1064"/>
      <c r="CY226" s="1064"/>
      <c r="CZ226" s="1064"/>
      <c r="DA226" s="1064"/>
      <c r="DB226" s="1064"/>
      <c r="DC226" s="1064"/>
      <c r="DD226" s="1064"/>
      <c r="DE226" s="1064"/>
      <c r="DF226" s="1064"/>
      <c r="DG226" s="1064"/>
      <c r="DH226" s="1064"/>
      <c r="DI226" s="1064"/>
      <c r="DJ226" s="1064"/>
      <c r="DK226" s="1064"/>
      <c r="DL226" s="1064"/>
      <c r="DM226" s="1064"/>
      <c r="DN226" s="1064"/>
      <c r="DO226" s="1064"/>
      <c r="DP226" s="1064"/>
      <c r="DQ226" s="1064"/>
      <c r="DR226" s="1064"/>
      <c r="DS226" s="1064"/>
      <c r="DT226" s="1064"/>
      <c r="DU226" s="1064"/>
      <c r="DV226" s="1064"/>
      <c r="DW226" s="1064"/>
      <c r="DX226" s="1064"/>
      <c r="DY226" s="1064"/>
      <c r="DZ226" s="1064"/>
      <c r="EA226" s="1064"/>
      <c r="EB226" s="1064"/>
      <c r="EC226" s="1064"/>
      <c r="ED226" s="1064"/>
      <c r="EE226" s="1064"/>
      <c r="EF226" s="1064"/>
      <c r="EG226" s="1064"/>
      <c r="EH226" s="1064"/>
      <c r="EI226" s="1064"/>
      <c r="EJ226" s="1064"/>
      <c r="EK226" s="1064"/>
      <c r="EL226" s="1064"/>
      <c r="EM226" s="1064"/>
      <c r="EN226" s="1064"/>
      <c r="EO226" s="1064"/>
      <c r="EP226" s="1064"/>
      <c r="EQ226" s="1064"/>
      <c r="ER226" s="1064"/>
      <c r="ES226" s="1064"/>
      <c r="ET226" s="1064"/>
      <c r="EU226" s="1064"/>
      <c r="EV226" s="1064"/>
      <c r="EW226" s="1064"/>
      <c r="EX226" s="1064"/>
      <c r="EY226" s="1064"/>
      <c r="EZ226" s="1064"/>
      <c r="FA226" s="1064"/>
      <c r="FB226" s="1064"/>
      <c r="FC226" s="1064"/>
      <c r="FD226" s="1064"/>
      <c r="FE226" s="1064"/>
      <c r="FF226" s="1064"/>
      <c r="FG226" s="1064"/>
      <c r="FH226" s="1064"/>
      <c r="FI226" s="1064"/>
      <c r="FJ226" s="1064"/>
      <c r="FK226" s="1064"/>
      <c r="FL226" s="1064"/>
      <c r="FM226" s="1064"/>
      <c r="FN226" s="1064"/>
      <c r="FO226" s="1064"/>
      <c r="FP226" s="1064"/>
      <c r="FQ226" s="1064"/>
      <c r="FR226" s="1064"/>
      <c r="FS226" s="1064"/>
      <c r="FT226" s="1064"/>
      <c r="FU226" s="1064"/>
      <c r="FV226" s="1064"/>
      <c r="FW226" s="1064"/>
      <c r="FX226" s="1064"/>
      <c r="FY226" s="1064"/>
      <c r="FZ226" s="1064"/>
      <c r="GA226" s="1064"/>
      <c r="GB226" s="1064"/>
      <c r="GC226" s="1064"/>
      <c r="GD226" s="1064"/>
      <c r="GE226" s="1064"/>
      <c r="GF226" s="1064"/>
      <c r="GG226" s="1064"/>
      <c r="GH226" s="1064"/>
      <c r="GI226" s="1064"/>
      <c r="GJ226" s="1064"/>
      <c r="GK226" s="1064"/>
      <c r="GL226" s="1064"/>
      <c r="GM226" s="1064"/>
      <c r="GN226" s="1064"/>
      <c r="GO226" s="1064"/>
      <c r="GP226" s="1064"/>
      <c r="GQ226" s="1064"/>
      <c r="GR226" s="1064"/>
      <c r="GS226" s="1064"/>
      <c r="GT226" s="1064"/>
      <c r="GU226" s="1064"/>
      <c r="GV226" s="1064"/>
      <c r="GW226" s="1064"/>
      <c r="GX226" s="1064"/>
      <c r="GY226" s="1064"/>
      <c r="GZ226" s="1064"/>
      <c r="HA226" s="1064"/>
      <c r="HB226" s="1064"/>
      <c r="HC226" s="1064"/>
      <c r="HD226" s="1064"/>
      <c r="HE226" s="1064"/>
      <c r="HF226" s="1064"/>
      <c r="HG226" s="1064"/>
      <c r="HH226" s="1064"/>
      <c r="HI226" s="1064"/>
      <c r="HJ226" s="1064"/>
      <c r="HK226" s="1064"/>
      <c r="HL226" s="1064"/>
      <c r="HM226" s="1064"/>
      <c r="HN226" s="1064"/>
      <c r="HO226" s="1064"/>
      <c r="HP226" s="1064"/>
      <c r="HQ226" s="1064"/>
      <c r="HR226" s="1064"/>
      <c r="HS226" s="1064"/>
      <c r="HT226" s="1064"/>
      <c r="HU226" s="1064"/>
      <c r="HV226" s="1064"/>
      <c r="HW226" s="1064"/>
      <c r="HX226" s="1064"/>
      <c r="HY226" s="1064"/>
      <c r="HZ226" s="1064"/>
      <c r="IA226" s="1064"/>
      <c r="IB226" s="1064"/>
      <c r="IC226" s="1064"/>
      <c r="ID226" s="1064"/>
      <c r="IE226" s="1064"/>
      <c r="IF226" s="1064"/>
      <c r="IG226" s="1064"/>
      <c r="IH226" s="1064"/>
      <c r="II226" s="1064"/>
      <c r="IJ226" s="1064"/>
      <c r="IK226" s="1064"/>
      <c r="IL226" s="1064"/>
      <c r="IM226" s="1064"/>
      <c r="IN226" s="1064"/>
      <c r="IO226" s="1064"/>
      <c r="IP226" s="1064"/>
      <c r="IQ226" s="1064"/>
      <c r="IR226" s="1064"/>
      <c r="IS226" s="1064"/>
      <c r="IT226" s="1064"/>
      <c r="IU226" s="1064"/>
      <c r="IV226" s="1064"/>
    </row>
    <row r="227" spans="1:256" ht="12.75">
      <c r="A227" s="1063"/>
      <c r="B227" s="1070"/>
      <c r="C227" s="1070"/>
      <c r="D227" s="1063"/>
      <c r="E227" s="1063"/>
      <c r="F227" s="1063"/>
      <c r="G227" s="1063"/>
      <c r="H227" s="1063"/>
      <c r="I227" s="1063"/>
      <c r="J227" s="1063"/>
      <c r="K227" s="1063"/>
      <c r="L227" s="1063"/>
      <c r="M227" s="1063"/>
      <c r="N227" s="1063"/>
      <c r="O227" s="1063"/>
      <c r="P227" s="1063"/>
      <c r="Q227" s="1063"/>
      <c r="R227" s="1063"/>
      <c r="S227" s="1063"/>
      <c r="T227" s="1063"/>
      <c r="U227" s="1063"/>
      <c r="V227" s="1063"/>
      <c r="W227" s="1063"/>
      <c r="X227" s="1063"/>
      <c r="Y227" s="1063"/>
      <c r="Z227" s="1063"/>
      <c r="AA227" s="1063"/>
      <c r="AB227" s="1063"/>
      <c r="AC227" s="1063"/>
      <c r="AD227" s="1063"/>
      <c r="AE227" s="1063"/>
      <c r="AF227" s="1063"/>
      <c r="AG227" s="1063"/>
      <c r="AH227" s="1063"/>
      <c r="AI227" s="1063"/>
      <c r="AJ227" s="1063"/>
      <c r="AK227" s="1063"/>
      <c r="AL227" s="1063"/>
      <c r="AM227" s="1063"/>
      <c r="AN227" s="1063"/>
      <c r="AO227" s="1063"/>
      <c r="AP227" s="1063"/>
      <c r="AQ227" s="1063"/>
      <c r="AR227" s="1063"/>
      <c r="AS227" s="1063"/>
      <c r="AT227" s="1063"/>
      <c r="AU227" s="1071"/>
      <c r="AV227" s="1063"/>
      <c r="AW227" s="1063"/>
      <c r="AX227" s="1063"/>
      <c r="AY227" s="1063"/>
      <c r="AZ227" s="1063"/>
      <c r="BA227" s="1072"/>
      <c r="BB227" s="1063"/>
      <c r="BC227" s="1063"/>
      <c r="BD227" s="1071"/>
      <c r="BE227" s="1063"/>
      <c r="BF227" s="1063"/>
      <c r="BG227" s="1063"/>
      <c r="BH227" s="1072"/>
      <c r="BI227" s="1071"/>
      <c r="BJ227" s="1072"/>
      <c r="BK227" s="1063"/>
      <c r="BL227" s="1063"/>
      <c r="BM227" s="1063"/>
      <c r="BN227" s="1063"/>
      <c r="BO227" s="1063"/>
      <c r="BP227" s="1064"/>
      <c r="BQ227" s="1064"/>
      <c r="BR227" s="1064"/>
      <c r="BS227" s="1064"/>
      <c r="BT227" s="1064"/>
      <c r="BU227" s="1064"/>
      <c r="BV227" s="1064"/>
      <c r="BW227" s="1064"/>
      <c r="BX227" s="1064"/>
      <c r="BY227" s="1064"/>
      <c r="BZ227" s="1064"/>
      <c r="CA227" s="1064"/>
      <c r="CB227" s="1064"/>
      <c r="CC227" s="1064"/>
      <c r="CD227" s="1064"/>
      <c r="CE227" s="1064"/>
      <c r="CF227" s="1064"/>
      <c r="CG227" s="1064"/>
      <c r="CH227" s="1064"/>
      <c r="CI227" s="1064"/>
      <c r="CJ227" s="1064"/>
      <c r="CK227" s="1064"/>
      <c r="CL227" s="1064"/>
      <c r="CM227" s="1064"/>
      <c r="CN227" s="1064"/>
      <c r="CO227" s="1064"/>
      <c r="CP227" s="1064"/>
      <c r="CQ227" s="1064"/>
      <c r="CR227" s="1064"/>
      <c r="CS227" s="1064"/>
      <c r="CT227" s="1064"/>
      <c r="CU227" s="1064"/>
      <c r="CV227" s="1064"/>
      <c r="CW227" s="1064"/>
      <c r="CX227" s="1064"/>
      <c r="CY227" s="1064"/>
      <c r="CZ227" s="1064"/>
      <c r="DA227" s="1064"/>
      <c r="DB227" s="1064"/>
      <c r="DC227" s="1064"/>
      <c r="DD227" s="1064"/>
      <c r="DE227" s="1064"/>
      <c r="DF227" s="1064"/>
      <c r="DG227" s="1064"/>
      <c r="DH227" s="1064"/>
      <c r="DI227" s="1064"/>
      <c r="DJ227" s="1064"/>
      <c r="DK227" s="1064"/>
      <c r="DL227" s="1064"/>
      <c r="DM227" s="1064"/>
      <c r="DN227" s="1064"/>
      <c r="DO227" s="1064"/>
      <c r="DP227" s="1064"/>
      <c r="DQ227" s="1064"/>
      <c r="DR227" s="1064"/>
      <c r="DS227" s="1064"/>
      <c r="DT227" s="1064"/>
      <c r="DU227" s="1064"/>
      <c r="DV227" s="1064"/>
      <c r="DW227" s="1064"/>
      <c r="DX227" s="1064"/>
      <c r="DY227" s="1064"/>
      <c r="DZ227" s="1064"/>
      <c r="EA227" s="1064"/>
      <c r="EB227" s="1064"/>
      <c r="EC227" s="1064"/>
      <c r="ED227" s="1064"/>
      <c r="EE227" s="1064"/>
      <c r="EF227" s="1064"/>
      <c r="EG227" s="1064"/>
      <c r="EH227" s="1064"/>
      <c r="EI227" s="1064"/>
      <c r="EJ227" s="1064"/>
      <c r="EK227" s="1064"/>
      <c r="EL227" s="1064"/>
      <c r="EM227" s="1064"/>
      <c r="EN227" s="1064"/>
      <c r="EO227" s="1064"/>
      <c r="EP227" s="1064"/>
      <c r="EQ227" s="1064"/>
      <c r="ER227" s="1064"/>
      <c r="ES227" s="1064"/>
      <c r="ET227" s="1064"/>
      <c r="EU227" s="1064"/>
      <c r="EV227" s="1064"/>
      <c r="EW227" s="1064"/>
      <c r="EX227" s="1064"/>
      <c r="EY227" s="1064"/>
      <c r="EZ227" s="1064"/>
      <c r="FA227" s="1064"/>
      <c r="FB227" s="1064"/>
      <c r="FC227" s="1064"/>
      <c r="FD227" s="1064"/>
      <c r="FE227" s="1064"/>
      <c r="FF227" s="1064"/>
      <c r="FG227" s="1064"/>
      <c r="FH227" s="1064"/>
      <c r="FI227" s="1064"/>
      <c r="FJ227" s="1064"/>
      <c r="FK227" s="1064"/>
      <c r="FL227" s="1064"/>
      <c r="FM227" s="1064"/>
      <c r="FN227" s="1064"/>
      <c r="FO227" s="1064"/>
      <c r="FP227" s="1064"/>
      <c r="FQ227" s="1064"/>
      <c r="FR227" s="1064"/>
      <c r="FS227" s="1064"/>
      <c r="FT227" s="1064"/>
      <c r="FU227" s="1064"/>
      <c r="FV227" s="1064"/>
      <c r="FW227" s="1064"/>
      <c r="FX227" s="1064"/>
      <c r="FY227" s="1064"/>
      <c r="FZ227" s="1064"/>
      <c r="GA227" s="1064"/>
      <c r="GB227" s="1064"/>
      <c r="GC227" s="1064"/>
      <c r="GD227" s="1064"/>
      <c r="GE227" s="1064"/>
      <c r="GF227" s="1064"/>
      <c r="GG227" s="1064"/>
      <c r="GH227" s="1064"/>
      <c r="GI227" s="1064"/>
      <c r="GJ227" s="1064"/>
      <c r="GK227" s="1064"/>
      <c r="GL227" s="1064"/>
      <c r="GM227" s="1064"/>
      <c r="GN227" s="1064"/>
      <c r="GO227" s="1064"/>
      <c r="GP227" s="1064"/>
      <c r="GQ227" s="1064"/>
      <c r="GR227" s="1064"/>
      <c r="GS227" s="1064"/>
      <c r="GT227" s="1064"/>
      <c r="GU227" s="1064"/>
      <c r="GV227" s="1064"/>
      <c r="GW227" s="1064"/>
      <c r="GX227" s="1064"/>
      <c r="GY227" s="1064"/>
      <c r="GZ227" s="1064"/>
      <c r="HA227" s="1064"/>
      <c r="HB227" s="1064"/>
      <c r="HC227" s="1064"/>
      <c r="HD227" s="1064"/>
      <c r="HE227" s="1064"/>
      <c r="HF227" s="1064"/>
      <c r="HG227" s="1064"/>
      <c r="HH227" s="1064"/>
      <c r="HI227" s="1064"/>
      <c r="HJ227" s="1064"/>
      <c r="HK227" s="1064"/>
      <c r="HL227" s="1064"/>
      <c r="HM227" s="1064"/>
      <c r="HN227" s="1064"/>
      <c r="HO227" s="1064"/>
      <c r="HP227" s="1064"/>
      <c r="HQ227" s="1064"/>
      <c r="HR227" s="1064"/>
      <c r="HS227" s="1064"/>
      <c r="HT227" s="1064"/>
      <c r="HU227" s="1064"/>
      <c r="HV227" s="1064"/>
      <c r="HW227" s="1064"/>
      <c r="HX227" s="1064"/>
      <c r="HY227" s="1064"/>
      <c r="HZ227" s="1064"/>
      <c r="IA227" s="1064"/>
      <c r="IB227" s="1064"/>
      <c r="IC227" s="1064"/>
      <c r="ID227" s="1064"/>
      <c r="IE227" s="1064"/>
      <c r="IF227" s="1064"/>
      <c r="IG227" s="1064"/>
      <c r="IH227" s="1064"/>
      <c r="II227" s="1064"/>
      <c r="IJ227" s="1064"/>
      <c r="IK227" s="1064"/>
      <c r="IL227" s="1064"/>
      <c r="IM227" s="1064"/>
      <c r="IN227" s="1064"/>
      <c r="IO227" s="1064"/>
      <c r="IP227" s="1064"/>
      <c r="IQ227" s="1064"/>
      <c r="IR227" s="1064"/>
      <c r="IS227" s="1064"/>
      <c r="IT227" s="1064"/>
      <c r="IU227" s="1064"/>
      <c r="IV227" s="1064"/>
    </row>
    <row r="228" spans="1:256" ht="12.75">
      <c r="A228" s="1063"/>
      <c r="B228" s="1070"/>
      <c r="C228" s="1070"/>
      <c r="D228" s="1063"/>
      <c r="E228" s="1063"/>
      <c r="F228" s="1063"/>
      <c r="G228" s="1063"/>
      <c r="H228" s="1063"/>
      <c r="I228" s="1063"/>
      <c r="J228" s="1063"/>
      <c r="K228" s="1063"/>
      <c r="L228" s="1063"/>
      <c r="M228" s="1063"/>
      <c r="N228" s="1063"/>
      <c r="O228" s="1063"/>
      <c r="P228" s="1063"/>
      <c r="Q228" s="1063"/>
      <c r="R228" s="1063"/>
      <c r="S228" s="1063"/>
      <c r="T228" s="1063"/>
      <c r="U228" s="1063"/>
      <c r="V228" s="1063"/>
      <c r="W228" s="1063"/>
      <c r="X228" s="1063"/>
      <c r="Y228" s="1063"/>
      <c r="Z228" s="1063"/>
      <c r="AA228" s="1063"/>
      <c r="AB228" s="1063"/>
      <c r="AC228" s="1063"/>
      <c r="AD228" s="1063"/>
      <c r="AE228" s="1063"/>
      <c r="AF228" s="1063"/>
      <c r="AG228" s="1063"/>
      <c r="AH228" s="1063"/>
      <c r="AI228" s="1063"/>
      <c r="AJ228" s="1063"/>
      <c r="AK228" s="1063"/>
      <c r="AL228" s="1063"/>
      <c r="AM228" s="1063"/>
      <c r="AN228" s="1063"/>
      <c r="AO228" s="1063"/>
      <c r="AP228" s="1063"/>
      <c r="AQ228" s="1063"/>
      <c r="AR228" s="1063"/>
      <c r="AS228" s="1063"/>
      <c r="AT228" s="1063"/>
      <c r="AU228" s="1071"/>
      <c r="AV228" s="1063"/>
      <c r="AW228" s="1063"/>
      <c r="AX228" s="1063"/>
      <c r="AY228" s="1063"/>
      <c r="AZ228" s="1063"/>
      <c r="BA228" s="1072"/>
      <c r="BB228" s="1063"/>
      <c r="BC228" s="1063"/>
      <c r="BD228" s="1071"/>
      <c r="BE228" s="1063"/>
      <c r="BF228" s="1063"/>
      <c r="BG228" s="1063"/>
      <c r="BH228" s="1072"/>
      <c r="BI228" s="1071"/>
      <c r="BJ228" s="1072"/>
      <c r="BK228" s="1063"/>
      <c r="BL228" s="1063"/>
      <c r="BM228" s="1063"/>
      <c r="BN228" s="1063"/>
      <c r="BO228" s="1063"/>
      <c r="BP228" s="1064"/>
      <c r="BQ228" s="1064"/>
      <c r="BR228" s="1064"/>
      <c r="BS228" s="1064"/>
      <c r="BT228" s="1064"/>
      <c r="BU228" s="1064"/>
      <c r="BV228" s="1064"/>
      <c r="BW228" s="1064"/>
      <c r="BX228" s="1064"/>
      <c r="BY228" s="1064"/>
      <c r="BZ228" s="1064"/>
      <c r="CA228" s="1064"/>
      <c r="CB228" s="1064"/>
      <c r="CC228" s="1064"/>
      <c r="CD228" s="1064"/>
      <c r="CE228" s="1064"/>
      <c r="CF228" s="1064"/>
      <c r="CG228" s="1064"/>
      <c r="CH228" s="1064"/>
      <c r="CI228" s="1064"/>
      <c r="CJ228" s="1064"/>
      <c r="CK228" s="1064"/>
      <c r="CL228" s="1064"/>
      <c r="CM228" s="1064"/>
      <c r="CN228" s="1064"/>
      <c r="CO228" s="1064"/>
      <c r="CP228" s="1064"/>
      <c r="CQ228" s="1064"/>
      <c r="CR228" s="1064"/>
      <c r="CS228" s="1064"/>
      <c r="CT228" s="1064"/>
      <c r="CU228" s="1064"/>
      <c r="CV228" s="1064"/>
      <c r="CW228" s="1064"/>
      <c r="CX228" s="1064"/>
      <c r="CY228" s="1064"/>
      <c r="CZ228" s="1064"/>
      <c r="DA228" s="1064"/>
      <c r="DB228" s="1064"/>
      <c r="DC228" s="1064"/>
      <c r="DD228" s="1064"/>
      <c r="DE228" s="1064"/>
      <c r="DF228" s="1064"/>
      <c r="DG228" s="1064"/>
      <c r="DH228" s="1064"/>
      <c r="DI228" s="1064"/>
      <c r="DJ228" s="1064"/>
      <c r="DK228" s="1064"/>
      <c r="DL228" s="1064"/>
      <c r="DM228" s="1064"/>
      <c r="DN228" s="1064"/>
      <c r="DO228" s="1064"/>
      <c r="DP228" s="1064"/>
      <c r="DQ228" s="1064"/>
      <c r="DR228" s="1064"/>
      <c r="DS228" s="1064"/>
      <c r="DT228" s="1064"/>
      <c r="DU228" s="1064"/>
      <c r="DV228" s="1064"/>
      <c r="DW228" s="1064"/>
      <c r="DX228" s="1064"/>
      <c r="DY228" s="1064"/>
      <c r="DZ228" s="1064"/>
      <c r="EA228" s="1064"/>
      <c r="EB228" s="1064"/>
      <c r="EC228" s="1064"/>
      <c r="ED228" s="1064"/>
      <c r="EE228" s="1064"/>
      <c r="EF228" s="1064"/>
      <c r="EG228" s="1064"/>
      <c r="EH228" s="1064"/>
      <c r="EI228" s="1064"/>
      <c r="EJ228" s="1064"/>
      <c r="EK228" s="1064"/>
      <c r="EL228" s="1064"/>
      <c r="EM228" s="1064"/>
      <c r="EN228" s="1064"/>
      <c r="EO228" s="1064"/>
      <c r="EP228" s="1064"/>
      <c r="EQ228" s="1064"/>
      <c r="ER228" s="1064"/>
      <c r="ES228" s="1064"/>
      <c r="ET228" s="1064"/>
      <c r="EU228" s="1064"/>
      <c r="EV228" s="1064"/>
      <c r="EW228" s="1064"/>
      <c r="EX228" s="1064"/>
      <c r="EY228" s="1064"/>
      <c r="EZ228" s="1064"/>
      <c r="FA228" s="1064"/>
      <c r="FB228" s="1064"/>
      <c r="FC228" s="1064"/>
      <c r="FD228" s="1064"/>
      <c r="FE228" s="1064"/>
      <c r="FF228" s="1064"/>
      <c r="FG228" s="1064"/>
      <c r="FH228" s="1064"/>
      <c r="FI228" s="1064"/>
      <c r="FJ228" s="1064"/>
      <c r="FK228" s="1064"/>
      <c r="FL228" s="1064"/>
      <c r="FM228" s="1064"/>
      <c r="FN228" s="1064"/>
      <c r="FO228" s="1064"/>
      <c r="FP228" s="1064"/>
      <c r="FQ228" s="1064"/>
      <c r="FR228" s="1064"/>
      <c r="FS228" s="1064"/>
      <c r="FT228" s="1064"/>
      <c r="FU228" s="1064"/>
      <c r="FV228" s="1064"/>
      <c r="FW228" s="1064"/>
      <c r="FX228" s="1064"/>
      <c r="FY228" s="1064"/>
      <c r="FZ228" s="1064"/>
      <c r="GA228" s="1064"/>
      <c r="GB228" s="1064"/>
      <c r="GC228" s="1064"/>
      <c r="GD228" s="1064"/>
      <c r="GE228" s="1064"/>
      <c r="GF228" s="1064"/>
      <c r="GG228" s="1064"/>
      <c r="GH228" s="1064"/>
      <c r="GI228" s="1064"/>
      <c r="GJ228" s="1064"/>
      <c r="GK228" s="1064"/>
      <c r="GL228" s="1064"/>
      <c r="GM228" s="1064"/>
      <c r="GN228" s="1064"/>
      <c r="GO228" s="1064"/>
      <c r="GP228" s="1064"/>
      <c r="GQ228" s="1064"/>
      <c r="GR228" s="1064"/>
      <c r="GS228" s="1064"/>
      <c r="GT228" s="1064"/>
      <c r="GU228" s="1064"/>
      <c r="GV228" s="1064"/>
      <c r="GW228" s="1064"/>
      <c r="GX228" s="1064"/>
      <c r="GY228" s="1064"/>
      <c r="GZ228" s="1064"/>
      <c r="HA228" s="1064"/>
      <c r="HB228" s="1064"/>
      <c r="HC228" s="1064"/>
      <c r="HD228" s="1064"/>
      <c r="HE228" s="1064"/>
      <c r="HF228" s="1064"/>
      <c r="HG228" s="1064"/>
      <c r="HH228" s="1064"/>
      <c r="HI228" s="1064"/>
      <c r="HJ228" s="1064"/>
      <c r="HK228" s="1064"/>
      <c r="HL228" s="1064"/>
      <c r="HM228" s="1064"/>
      <c r="HN228" s="1064"/>
      <c r="HO228" s="1064"/>
      <c r="HP228" s="1064"/>
      <c r="HQ228" s="1064"/>
      <c r="HR228" s="1064"/>
      <c r="HS228" s="1064"/>
      <c r="HT228" s="1064"/>
      <c r="HU228" s="1064"/>
      <c r="HV228" s="1064"/>
      <c r="HW228" s="1064"/>
      <c r="HX228" s="1064"/>
      <c r="HY228" s="1064"/>
      <c r="HZ228" s="1064"/>
      <c r="IA228" s="1064"/>
      <c r="IB228" s="1064"/>
      <c r="IC228" s="1064"/>
      <c r="ID228" s="1064"/>
      <c r="IE228" s="1064"/>
      <c r="IF228" s="1064"/>
      <c r="IG228" s="1064"/>
      <c r="IH228" s="1064"/>
      <c r="II228" s="1064"/>
      <c r="IJ228" s="1064"/>
      <c r="IK228" s="1064"/>
      <c r="IL228" s="1064"/>
      <c r="IM228" s="1064"/>
      <c r="IN228" s="1064"/>
      <c r="IO228" s="1064"/>
      <c r="IP228" s="1064"/>
      <c r="IQ228" s="1064"/>
      <c r="IR228" s="1064"/>
      <c r="IS228" s="1064"/>
      <c r="IT228" s="1064"/>
      <c r="IU228" s="1064"/>
      <c r="IV228" s="1064"/>
    </row>
    <row r="229" spans="1:256" ht="12.75">
      <c r="A229" s="1063"/>
      <c r="B229" s="1070"/>
      <c r="C229" s="1070"/>
      <c r="D229" s="1063"/>
      <c r="E229" s="1063"/>
      <c r="F229" s="1063"/>
      <c r="G229" s="1063"/>
      <c r="H229" s="1063"/>
      <c r="I229" s="1063"/>
      <c r="J229" s="1063"/>
      <c r="K229" s="1063"/>
      <c r="L229" s="1063"/>
      <c r="M229" s="1063"/>
      <c r="N229" s="1063"/>
      <c r="O229" s="1063"/>
      <c r="P229" s="1063"/>
      <c r="Q229" s="1063"/>
      <c r="R229" s="1063"/>
      <c r="S229" s="1063"/>
      <c r="T229" s="1063"/>
      <c r="U229" s="1063"/>
      <c r="V229" s="1063"/>
      <c r="W229" s="1063"/>
      <c r="X229" s="1063"/>
      <c r="Y229" s="1063"/>
      <c r="Z229" s="1063"/>
      <c r="AA229" s="1063"/>
      <c r="AB229" s="1063"/>
      <c r="AC229" s="1063"/>
      <c r="AD229" s="1063"/>
      <c r="AE229" s="1063"/>
      <c r="AF229" s="1063"/>
      <c r="AG229" s="1063"/>
      <c r="AH229" s="1063"/>
      <c r="AI229" s="1063"/>
      <c r="AJ229" s="1063"/>
      <c r="AK229" s="1063"/>
      <c r="AL229" s="1063"/>
      <c r="AM229" s="1063"/>
      <c r="AN229" s="1063"/>
      <c r="AO229" s="1063"/>
      <c r="AP229" s="1063"/>
      <c r="AQ229" s="1063"/>
      <c r="AR229" s="1063"/>
      <c r="AS229" s="1063"/>
      <c r="AT229" s="1063"/>
      <c r="AU229" s="1071"/>
      <c r="AV229" s="1063"/>
      <c r="AW229" s="1063"/>
      <c r="AX229" s="1063"/>
      <c r="AY229" s="1063"/>
      <c r="AZ229" s="1063"/>
      <c r="BA229" s="1072"/>
      <c r="BB229" s="1063"/>
      <c r="BC229" s="1063"/>
      <c r="BD229" s="1071"/>
      <c r="BE229" s="1063"/>
      <c r="BF229" s="1063"/>
      <c r="BG229" s="1063"/>
      <c r="BH229" s="1072"/>
      <c r="BI229" s="1071"/>
      <c r="BJ229" s="1072"/>
      <c r="BK229" s="1063"/>
      <c r="BL229" s="1063"/>
      <c r="BM229" s="1063"/>
      <c r="BN229" s="1063"/>
      <c r="BO229" s="1063"/>
      <c r="BP229" s="1064"/>
      <c r="BQ229" s="1064"/>
      <c r="BR229" s="1064"/>
      <c r="BS229" s="1064"/>
      <c r="BT229" s="1064"/>
      <c r="BU229" s="1064"/>
      <c r="BV229" s="1064"/>
      <c r="BW229" s="1064"/>
      <c r="BX229" s="1064"/>
      <c r="BY229" s="1064"/>
      <c r="BZ229" s="1064"/>
      <c r="CA229" s="1064"/>
      <c r="CB229" s="1064"/>
      <c r="CC229" s="1064"/>
      <c r="CD229" s="1064"/>
      <c r="CE229" s="1064"/>
      <c r="CF229" s="1064"/>
      <c r="CG229" s="1064"/>
      <c r="CH229" s="1064"/>
      <c r="CI229" s="1064"/>
      <c r="CJ229" s="1064"/>
      <c r="CK229" s="1064"/>
      <c r="CL229" s="1064"/>
      <c r="CM229" s="1064"/>
      <c r="CN229" s="1064"/>
      <c r="CO229" s="1064"/>
      <c r="CP229" s="1064"/>
      <c r="CQ229" s="1064"/>
      <c r="CR229" s="1064"/>
      <c r="CS229" s="1064"/>
      <c r="CT229" s="1064"/>
      <c r="CU229" s="1064"/>
      <c r="CV229" s="1064"/>
      <c r="CW229" s="1064"/>
      <c r="CX229" s="1064"/>
      <c r="CY229" s="1064"/>
      <c r="CZ229" s="1064"/>
      <c r="DA229" s="1064"/>
      <c r="DB229" s="1064"/>
      <c r="DC229" s="1064"/>
      <c r="DD229" s="1064"/>
      <c r="DE229" s="1064"/>
      <c r="DF229" s="1064"/>
      <c r="DG229" s="1064"/>
      <c r="DH229" s="1064"/>
      <c r="DI229" s="1064"/>
      <c r="DJ229" s="1064"/>
      <c r="DK229" s="1064"/>
      <c r="DL229" s="1064"/>
      <c r="DM229" s="1064"/>
      <c r="DN229" s="1064"/>
      <c r="DO229" s="1064"/>
      <c r="DP229" s="1064"/>
      <c r="DQ229" s="1064"/>
      <c r="DR229" s="1064"/>
      <c r="DS229" s="1064"/>
      <c r="DT229" s="1064"/>
      <c r="DU229" s="1064"/>
      <c r="DV229" s="1064"/>
      <c r="DW229" s="1064"/>
      <c r="DX229" s="1064"/>
      <c r="DY229" s="1064"/>
      <c r="DZ229" s="1064"/>
      <c r="EA229" s="1064"/>
      <c r="EB229" s="1064"/>
      <c r="EC229" s="1064"/>
      <c r="ED229" s="1064"/>
      <c r="EE229" s="1064"/>
      <c r="EF229" s="1064"/>
      <c r="EG229" s="1064"/>
      <c r="EH229" s="1064"/>
      <c r="EI229" s="1064"/>
      <c r="EJ229" s="1064"/>
      <c r="EK229" s="1064"/>
      <c r="EL229" s="1064"/>
      <c r="EM229" s="1064"/>
      <c r="EN229" s="1064"/>
      <c r="EO229" s="1064"/>
      <c r="EP229" s="1064"/>
      <c r="EQ229" s="1064"/>
      <c r="ER229" s="1064"/>
      <c r="ES229" s="1064"/>
      <c r="ET229" s="1064"/>
      <c r="EU229" s="1064"/>
      <c r="EV229" s="1064"/>
      <c r="EW229" s="1064"/>
      <c r="EX229" s="1064"/>
      <c r="EY229" s="1064"/>
      <c r="EZ229" s="1064"/>
      <c r="FA229" s="1064"/>
      <c r="FB229" s="1064"/>
      <c r="FC229" s="1064"/>
      <c r="FD229" s="1064"/>
      <c r="FE229" s="1064"/>
      <c r="FF229" s="1064"/>
      <c r="FG229" s="1064"/>
      <c r="FH229" s="1064"/>
      <c r="FI229" s="1064"/>
      <c r="FJ229" s="1064"/>
      <c r="FK229" s="1064"/>
      <c r="FL229" s="1064"/>
      <c r="FM229" s="1064"/>
      <c r="FN229" s="1064"/>
      <c r="FO229" s="1064"/>
      <c r="FP229" s="1064"/>
      <c r="FQ229" s="1064"/>
      <c r="FR229" s="1064"/>
      <c r="FS229" s="1064"/>
      <c r="FT229" s="1064"/>
      <c r="FU229" s="1064"/>
      <c r="FV229" s="1064"/>
      <c r="FW229" s="1064"/>
      <c r="FX229" s="1064"/>
      <c r="FY229" s="1064"/>
      <c r="FZ229" s="1064"/>
      <c r="GA229" s="1064"/>
      <c r="GB229" s="1064"/>
      <c r="GC229" s="1064"/>
      <c r="GD229" s="1064"/>
      <c r="GE229" s="1064"/>
      <c r="GF229" s="1064"/>
      <c r="GG229" s="1064"/>
      <c r="GH229" s="1064"/>
      <c r="GI229" s="1064"/>
      <c r="GJ229" s="1064"/>
      <c r="GK229" s="1064"/>
      <c r="GL229" s="1064"/>
      <c r="GM229" s="1064"/>
      <c r="GN229" s="1064"/>
      <c r="GO229" s="1064"/>
      <c r="GP229" s="1064"/>
      <c r="GQ229" s="1064"/>
      <c r="GR229" s="1064"/>
      <c r="GS229" s="1064"/>
      <c r="GT229" s="1064"/>
      <c r="GU229" s="1064"/>
      <c r="GV229" s="1064"/>
      <c r="GW229" s="1064"/>
      <c r="GX229" s="1064"/>
      <c r="GY229" s="1064"/>
      <c r="GZ229" s="1064"/>
      <c r="HA229" s="1064"/>
      <c r="HB229" s="1064"/>
      <c r="HC229" s="1064"/>
      <c r="HD229" s="1064"/>
      <c r="HE229" s="1064"/>
      <c r="HF229" s="1064"/>
      <c r="HG229" s="1064"/>
      <c r="HH229" s="1064"/>
      <c r="HI229" s="1064"/>
      <c r="HJ229" s="1064"/>
      <c r="HK229" s="1064"/>
      <c r="HL229" s="1064"/>
      <c r="HM229" s="1064"/>
      <c r="HN229" s="1064"/>
      <c r="HO229" s="1064"/>
      <c r="HP229" s="1064"/>
      <c r="HQ229" s="1064"/>
      <c r="HR229" s="1064"/>
      <c r="HS229" s="1064"/>
      <c r="HT229" s="1064"/>
      <c r="HU229" s="1064"/>
      <c r="HV229" s="1064"/>
      <c r="HW229" s="1064"/>
      <c r="HX229" s="1064"/>
      <c r="HY229" s="1064"/>
      <c r="HZ229" s="1064"/>
      <c r="IA229" s="1064"/>
      <c r="IB229" s="1064"/>
      <c r="IC229" s="1064"/>
      <c r="ID229" s="1064"/>
      <c r="IE229" s="1064"/>
      <c r="IF229" s="1064"/>
      <c r="IG229" s="1064"/>
      <c r="IH229" s="1064"/>
      <c r="II229" s="1064"/>
      <c r="IJ229" s="1064"/>
      <c r="IK229" s="1064"/>
      <c r="IL229" s="1064"/>
      <c r="IM229" s="1064"/>
      <c r="IN229" s="1064"/>
      <c r="IO229" s="1064"/>
      <c r="IP229" s="1064"/>
      <c r="IQ229" s="1064"/>
      <c r="IR229" s="1064"/>
      <c r="IS229" s="1064"/>
      <c r="IT229" s="1064"/>
      <c r="IU229" s="1064"/>
      <c r="IV229" s="1064"/>
    </row>
    <row r="230" spans="1:256" ht="12.75">
      <c r="A230" s="1063"/>
      <c r="B230" s="1070"/>
      <c r="C230" s="1070"/>
      <c r="D230" s="1063"/>
      <c r="E230" s="1063"/>
      <c r="F230" s="1063"/>
      <c r="G230" s="1063"/>
      <c r="H230" s="1063"/>
      <c r="I230" s="1063"/>
      <c r="J230" s="1063"/>
      <c r="K230" s="1063"/>
      <c r="L230" s="1063"/>
      <c r="M230" s="1063"/>
      <c r="N230" s="1063"/>
      <c r="O230" s="1063"/>
      <c r="P230" s="1063"/>
      <c r="Q230" s="1063"/>
      <c r="R230" s="1063"/>
      <c r="S230" s="1063"/>
      <c r="T230" s="1063"/>
      <c r="U230" s="1063"/>
      <c r="V230" s="1063"/>
      <c r="W230" s="1063"/>
      <c r="X230" s="1063"/>
      <c r="Y230" s="1063"/>
      <c r="Z230" s="1063"/>
      <c r="AA230" s="1063"/>
      <c r="AB230" s="1063"/>
      <c r="AC230" s="1063"/>
      <c r="AD230" s="1063"/>
      <c r="AE230" s="1063"/>
      <c r="AF230" s="1063"/>
      <c r="AG230" s="1063"/>
      <c r="AH230" s="1063"/>
      <c r="AI230" s="1063"/>
      <c r="AJ230" s="1063"/>
      <c r="AK230" s="1063"/>
      <c r="AL230" s="1063"/>
      <c r="AM230" s="1063"/>
      <c r="AN230" s="1063"/>
      <c r="AO230" s="1063"/>
      <c r="AP230" s="1063"/>
      <c r="AQ230" s="1063"/>
      <c r="AR230" s="1063"/>
      <c r="AS230" s="1063"/>
      <c r="AT230" s="1063"/>
      <c r="AU230" s="1063"/>
      <c r="AV230" s="1063"/>
      <c r="AW230" s="1063"/>
      <c r="AX230" s="1063"/>
      <c r="AY230" s="1063"/>
      <c r="AZ230" s="1063"/>
      <c r="BA230" s="1072"/>
      <c r="BB230" s="1063"/>
      <c r="BC230" s="1063"/>
      <c r="BD230" s="1063"/>
      <c r="BE230" s="1063"/>
      <c r="BF230" s="1063"/>
      <c r="BG230" s="1063"/>
      <c r="BH230" s="1072"/>
      <c r="BI230" s="1063"/>
      <c r="BJ230" s="1072"/>
      <c r="BK230" s="1063"/>
      <c r="BL230" s="1063"/>
      <c r="BM230" s="1063"/>
      <c r="BN230" s="1063"/>
      <c r="BO230" s="1063"/>
      <c r="BP230" s="1064"/>
      <c r="BQ230" s="1064"/>
      <c r="BR230" s="1064"/>
      <c r="BS230" s="1064"/>
      <c r="BT230" s="1064"/>
      <c r="BU230" s="1064"/>
      <c r="BV230" s="1064"/>
      <c r="BW230" s="1064"/>
      <c r="BX230" s="1064"/>
      <c r="BY230" s="1064"/>
      <c r="BZ230" s="1064"/>
      <c r="CA230" s="1064"/>
      <c r="CB230" s="1064"/>
      <c r="CC230" s="1064"/>
      <c r="CD230" s="1064"/>
      <c r="CE230" s="1064"/>
      <c r="CF230" s="1064"/>
      <c r="CG230" s="1064"/>
      <c r="CH230" s="1064"/>
      <c r="CI230" s="1064"/>
      <c r="CJ230" s="1064"/>
      <c r="CK230" s="1064"/>
      <c r="CL230" s="1064"/>
      <c r="CM230" s="1064"/>
      <c r="CN230" s="1064"/>
      <c r="CO230" s="1064"/>
      <c r="CP230" s="1064"/>
      <c r="CQ230" s="1064"/>
      <c r="CR230" s="1064"/>
      <c r="CS230" s="1064"/>
      <c r="CT230" s="1064"/>
      <c r="CU230" s="1064"/>
      <c r="CV230" s="1064"/>
      <c r="CW230" s="1064"/>
      <c r="CX230" s="1064"/>
      <c r="CY230" s="1064"/>
      <c r="CZ230" s="1064"/>
      <c r="DA230" s="1064"/>
      <c r="DB230" s="1064"/>
      <c r="DC230" s="1064"/>
      <c r="DD230" s="1064"/>
      <c r="DE230" s="1064"/>
      <c r="DF230" s="1064"/>
      <c r="DG230" s="1064"/>
      <c r="DH230" s="1064"/>
      <c r="DI230" s="1064"/>
      <c r="DJ230" s="1064"/>
      <c r="DK230" s="1064"/>
      <c r="DL230" s="1064"/>
      <c r="DM230" s="1064"/>
      <c r="DN230" s="1064"/>
      <c r="DO230" s="1064"/>
      <c r="DP230" s="1064"/>
      <c r="DQ230" s="1064"/>
      <c r="DR230" s="1064"/>
      <c r="DS230" s="1064"/>
      <c r="DT230" s="1064"/>
      <c r="DU230" s="1064"/>
      <c r="DV230" s="1064"/>
      <c r="DW230" s="1064"/>
      <c r="DX230" s="1064"/>
      <c r="DY230" s="1064"/>
      <c r="DZ230" s="1064"/>
      <c r="EA230" s="1064"/>
      <c r="EB230" s="1064"/>
      <c r="EC230" s="1064"/>
      <c r="ED230" s="1064"/>
      <c r="EE230" s="1064"/>
      <c r="EF230" s="1064"/>
      <c r="EG230" s="1064"/>
      <c r="EH230" s="1064"/>
      <c r="EI230" s="1064"/>
      <c r="EJ230" s="1064"/>
      <c r="EK230" s="1064"/>
      <c r="EL230" s="1064"/>
      <c r="EM230" s="1064"/>
      <c r="EN230" s="1064"/>
      <c r="EO230" s="1064"/>
      <c r="EP230" s="1064"/>
      <c r="EQ230" s="1064"/>
      <c r="ER230" s="1064"/>
      <c r="ES230" s="1064"/>
      <c r="ET230" s="1064"/>
      <c r="EU230" s="1064"/>
      <c r="EV230" s="1064"/>
      <c r="EW230" s="1064"/>
      <c r="EX230" s="1064"/>
      <c r="EY230" s="1064"/>
      <c r="EZ230" s="1064"/>
      <c r="FA230" s="1064"/>
      <c r="FB230" s="1064"/>
      <c r="FC230" s="1064"/>
      <c r="FD230" s="1064"/>
      <c r="FE230" s="1064"/>
      <c r="FF230" s="1064"/>
      <c r="FG230" s="1064"/>
      <c r="FH230" s="1064"/>
      <c r="FI230" s="1064"/>
      <c r="FJ230" s="1064"/>
      <c r="FK230" s="1064"/>
      <c r="FL230" s="1064"/>
      <c r="FM230" s="1064"/>
      <c r="FN230" s="1064"/>
      <c r="FO230" s="1064"/>
      <c r="FP230" s="1064"/>
      <c r="FQ230" s="1064"/>
      <c r="FR230" s="1064"/>
      <c r="FS230" s="1064"/>
      <c r="FT230" s="1064"/>
      <c r="FU230" s="1064"/>
      <c r="FV230" s="1064"/>
      <c r="FW230" s="1064"/>
      <c r="FX230" s="1064"/>
      <c r="FY230" s="1064"/>
      <c r="FZ230" s="1064"/>
      <c r="GA230" s="1064"/>
      <c r="GB230" s="1064"/>
      <c r="GC230" s="1064"/>
      <c r="GD230" s="1064"/>
      <c r="GE230" s="1064"/>
      <c r="GF230" s="1064"/>
      <c r="GG230" s="1064"/>
      <c r="GH230" s="1064"/>
      <c r="GI230" s="1064"/>
      <c r="GJ230" s="1064"/>
      <c r="GK230" s="1064"/>
      <c r="GL230" s="1064"/>
      <c r="GM230" s="1064"/>
      <c r="GN230" s="1064"/>
      <c r="GO230" s="1064"/>
      <c r="GP230" s="1064"/>
      <c r="GQ230" s="1064"/>
      <c r="GR230" s="1064"/>
      <c r="GS230" s="1064"/>
      <c r="GT230" s="1064"/>
      <c r="GU230" s="1064"/>
      <c r="GV230" s="1064"/>
      <c r="GW230" s="1064"/>
      <c r="GX230" s="1064"/>
      <c r="GY230" s="1064"/>
      <c r="GZ230" s="1064"/>
      <c r="HA230" s="1064"/>
      <c r="HB230" s="1064"/>
      <c r="HC230" s="1064"/>
      <c r="HD230" s="1064"/>
      <c r="HE230" s="1064"/>
      <c r="HF230" s="1064"/>
      <c r="HG230" s="1064"/>
      <c r="HH230" s="1064"/>
      <c r="HI230" s="1064"/>
      <c r="HJ230" s="1064"/>
      <c r="HK230" s="1064"/>
      <c r="HL230" s="1064"/>
      <c r="HM230" s="1064"/>
      <c r="HN230" s="1064"/>
      <c r="HO230" s="1064"/>
      <c r="HP230" s="1064"/>
      <c r="HQ230" s="1064"/>
      <c r="HR230" s="1064"/>
      <c r="HS230" s="1064"/>
      <c r="HT230" s="1064"/>
      <c r="HU230" s="1064"/>
      <c r="HV230" s="1064"/>
      <c r="HW230" s="1064"/>
      <c r="HX230" s="1064"/>
      <c r="HY230" s="1064"/>
      <c r="HZ230" s="1064"/>
      <c r="IA230" s="1064"/>
      <c r="IB230" s="1064"/>
      <c r="IC230" s="1064"/>
      <c r="ID230" s="1064"/>
      <c r="IE230" s="1064"/>
      <c r="IF230" s="1064"/>
      <c r="IG230" s="1064"/>
      <c r="IH230" s="1064"/>
      <c r="II230" s="1064"/>
      <c r="IJ230" s="1064"/>
      <c r="IK230" s="1064"/>
      <c r="IL230" s="1064"/>
      <c r="IM230" s="1064"/>
      <c r="IN230" s="1064"/>
      <c r="IO230" s="1064"/>
      <c r="IP230" s="1064"/>
      <c r="IQ230" s="1064"/>
      <c r="IR230" s="1064"/>
      <c r="IS230" s="1064"/>
      <c r="IT230" s="1064"/>
      <c r="IU230" s="1064"/>
      <c r="IV230" s="1064"/>
    </row>
    <row r="231" spans="1:256" ht="12.75">
      <c r="A231" s="1063"/>
      <c r="B231" s="1070"/>
      <c r="C231" s="1070"/>
      <c r="D231" s="1063"/>
      <c r="E231" s="1063"/>
      <c r="F231" s="1063"/>
      <c r="G231" s="1063"/>
      <c r="H231" s="1063"/>
      <c r="I231" s="1063"/>
      <c r="J231" s="1063"/>
      <c r="K231" s="1063"/>
      <c r="L231" s="1063"/>
      <c r="M231" s="1063"/>
      <c r="N231" s="1063"/>
      <c r="O231" s="1063"/>
      <c r="P231" s="1063"/>
      <c r="Q231" s="1063"/>
      <c r="R231" s="1063"/>
      <c r="S231" s="1063"/>
      <c r="T231" s="1063"/>
      <c r="U231" s="1063"/>
      <c r="V231" s="1063"/>
      <c r="W231" s="1063"/>
      <c r="X231" s="1063"/>
      <c r="Y231" s="1063"/>
      <c r="Z231" s="1063"/>
      <c r="AA231" s="1063"/>
      <c r="AB231" s="1063"/>
      <c r="AC231" s="1063"/>
      <c r="AD231" s="1063"/>
      <c r="AE231" s="1063"/>
      <c r="AF231" s="1063"/>
      <c r="AG231" s="1063"/>
      <c r="AH231" s="1063"/>
      <c r="AI231" s="1063"/>
      <c r="AJ231" s="1063"/>
      <c r="AK231" s="1063"/>
      <c r="AL231" s="1063"/>
      <c r="AM231" s="1063"/>
      <c r="AN231" s="1063"/>
      <c r="AO231" s="1063"/>
      <c r="AP231" s="1063"/>
      <c r="AQ231" s="1063"/>
      <c r="AR231" s="1063"/>
      <c r="AS231" s="1063"/>
      <c r="AT231" s="1063"/>
      <c r="AU231" s="1063"/>
      <c r="AV231" s="1063"/>
      <c r="AW231" s="1063"/>
      <c r="AX231" s="1063"/>
      <c r="AY231" s="1063"/>
      <c r="AZ231" s="1063"/>
      <c r="BA231" s="1063"/>
      <c r="BB231" s="1063"/>
      <c r="BC231" s="1063"/>
      <c r="BD231" s="1063"/>
      <c r="BE231" s="1063"/>
      <c r="BF231" s="1063"/>
      <c r="BG231" s="1063"/>
      <c r="BH231" s="1063"/>
      <c r="BI231" s="1063"/>
      <c r="BJ231" s="1063"/>
      <c r="BK231" s="1063"/>
      <c r="BL231" s="1063"/>
      <c r="BM231" s="1063"/>
      <c r="BN231" s="1063"/>
      <c r="BO231" s="1063"/>
      <c r="BP231" s="1064"/>
      <c r="BQ231" s="1064"/>
      <c r="BR231" s="1064"/>
      <c r="BS231" s="1064"/>
      <c r="BT231" s="1064"/>
      <c r="BU231" s="1064"/>
      <c r="BV231" s="1064"/>
      <c r="BW231" s="1064"/>
      <c r="BX231" s="1064"/>
      <c r="BY231" s="1064"/>
      <c r="BZ231" s="1064"/>
      <c r="CA231" s="1064"/>
      <c r="CB231" s="1064"/>
      <c r="CC231" s="1064"/>
      <c r="CD231" s="1064"/>
      <c r="CE231" s="1064"/>
      <c r="CF231" s="1064"/>
      <c r="CG231" s="1064"/>
      <c r="CH231" s="1064"/>
      <c r="CI231" s="1064"/>
      <c r="CJ231" s="1064"/>
      <c r="CK231" s="1064"/>
      <c r="CL231" s="1064"/>
      <c r="CM231" s="1064"/>
      <c r="CN231" s="1064"/>
      <c r="CO231" s="1064"/>
      <c r="CP231" s="1064"/>
      <c r="CQ231" s="1064"/>
      <c r="CR231" s="1064"/>
      <c r="CS231" s="1064"/>
      <c r="CT231" s="1064"/>
      <c r="CU231" s="1064"/>
      <c r="CV231" s="1064"/>
      <c r="CW231" s="1064"/>
      <c r="CX231" s="1064"/>
      <c r="CY231" s="1064"/>
      <c r="CZ231" s="1064"/>
      <c r="DA231" s="1064"/>
      <c r="DB231" s="1064"/>
      <c r="DC231" s="1064"/>
      <c r="DD231" s="1064"/>
      <c r="DE231" s="1064"/>
      <c r="DF231" s="1064"/>
      <c r="DG231" s="1064"/>
      <c r="DH231" s="1064"/>
      <c r="DI231" s="1064"/>
      <c r="DJ231" s="1064"/>
      <c r="DK231" s="1064"/>
      <c r="DL231" s="1064"/>
      <c r="DM231" s="1064"/>
      <c r="DN231" s="1064"/>
      <c r="DO231" s="1064"/>
      <c r="DP231" s="1064"/>
      <c r="DQ231" s="1064"/>
      <c r="DR231" s="1064"/>
      <c r="DS231" s="1064"/>
      <c r="DT231" s="1064"/>
      <c r="DU231" s="1064"/>
      <c r="DV231" s="1064"/>
      <c r="DW231" s="1064"/>
      <c r="DX231" s="1064"/>
      <c r="DY231" s="1064"/>
      <c r="DZ231" s="1064"/>
      <c r="EA231" s="1064"/>
      <c r="EB231" s="1064"/>
      <c r="EC231" s="1064"/>
      <c r="ED231" s="1064"/>
      <c r="EE231" s="1064"/>
      <c r="EF231" s="1064"/>
      <c r="EG231" s="1064"/>
      <c r="EH231" s="1064"/>
      <c r="EI231" s="1064"/>
      <c r="EJ231" s="1064"/>
      <c r="EK231" s="1064"/>
      <c r="EL231" s="1064"/>
      <c r="EM231" s="1064"/>
      <c r="EN231" s="1064"/>
      <c r="EO231" s="1064"/>
      <c r="EP231" s="1064"/>
      <c r="EQ231" s="1064"/>
      <c r="ER231" s="1064"/>
      <c r="ES231" s="1064"/>
      <c r="ET231" s="1064"/>
      <c r="EU231" s="1064"/>
      <c r="EV231" s="1064"/>
      <c r="EW231" s="1064"/>
      <c r="EX231" s="1064"/>
      <c r="EY231" s="1064"/>
      <c r="EZ231" s="1064"/>
      <c r="FA231" s="1064"/>
      <c r="FB231" s="1064"/>
      <c r="FC231" s="1064"/>
      <c r="FD231" s="1064"/>
      <c r="FE231" s="1064"/>
      <c r="FF231" s="1064"/>
      <c r="FG231" s="1064"/>
      <c r="FH231" s="1064"/>
      <c r="FI231" s="1064"/>
      <c r="FJ231" s="1064"/>
      <c r="FK231" s="1064"/>
      <c r="FL231" s="1064"/>
      <c r="FM231" s="1064"/>
      <c r="FN231" s="1064"/>
      <c r="FO231" s="1064"/>
      <c r="FP231" s="1064"/>
      <c r="FQ231" s="1064"/>
      <c r="FR231" s="1064"/>
      <c r="FS231" s="1064"/>
      <c r="FT231" s="1064"/>
      <c r="FU231" s="1064"/>
      <c r="FV231" s="1064"/>
      <c r="FW231" s="1064"/>
      <c r="FX231" s="1064"/>
      <c r="FY231" s="1064"/>
      <c r="FZ231" s="1064"/>
      <c r="GA231" s="1064"/>
      <c r="GB231" s="1064"/>
      <c r="GC231" s="1064"/>
      <c r="GD231" s="1064"/>
      <c r="GE231" s="1064"/>
      <c r="GF231" s="1064"/>
      <c r="GG231" s="1064"/>
      <c r="GH231" s="1064"/>
      <c r="GI231" s="1064"/>
      <c r="GJ231" s="1064"/>
      <c r="GK231" s="1064"/>
      <c r="GL231" s="1064"/>
      <c r="GM231" s="1064"/>
      <c r="GN231" s="1064"/>
      <c r="GO231" s="1064"/>
      <c r="GP231" s="1064"/>
      <c r="GQ231" s="1064"/>
      <c r="GR231" s="1064"/>
      <c r="GS231" s="1064"/>
      <c r="GT231" s="1064"/>
      <c r="GU231" s="1064"/>
      <c r="GV231" s="1064"/>
      <c r="GW231" s="1064"/>
      <c r="GX231" s="1064"/>
      <c r="GY231" s="1064"/>
      <c r="GZ231" s="1064"/>
      <c r="HA231" s="1064"/>
      <c r="HB231" s="1064"/>
      <c r="HC231" s="1064"/>
      <c r="HD231" s="1064"/>
      <c r="HE231" s="1064"/>
      <c r="HF231" s="1064"/>
      <c r="HG231" s="1064"/>
      <c r="HH231" s="1064"/>
      <c r="HI231" s="1064"/>
      <c r="HJ231" s="1064"/>
      <c r="HK231" s="1064"/>
      <c r="HL231" s="1064"/>
      <c r="HM231" s="1064"/>
      <c r="HN231" s="1064"/>
      <c r="HO231" s="1064"/>
      <c r="HP231" s="1064"/>
      <c r="HQ231" s="1064"/>
      <c r="HR231" s="1064"/>
      <c r="HS231" s="1064"/>
      <c r="HT231" s="1064"/>
      <c r="HU231" s="1064"/>
      <c r="HV231" s="1064"/>
      <c r="HW231" s="1064"/>
      <c r="HX231" s="1064"/>
      <c r="HY231" s="1064"/>
      <c r="HZ231" s="1064"/>
      <c r="IA231" s="1064"/>
      <c r="IB231" s="1064"/>
      <c r="IC231" s="1064"/>
      <c r="ID231" s="1064"/>
      <c r="IE231" s="1064"/>
      <c r="IF231" s="1064"/>
      <c r="IG231" s="1064"/>
      <c r="IH231" s="1064"/>
      <c r="II231" s="1064"/>
      <c r="IJ231" s="1064"/>
      <c r="IK231" s="1064"/>
      <c r="IL231" s="1064"/>
      <c r="IM231" s="1064"/>
      <c r="IN231" s="1064"/>
      <c r="IO231" s="1064"/>
      <c r="IP231" s="1064"/>
      <c r="IQ231" s="1064"/>
      <c r="IR231" s="1064"/>
      <c r="IS231" s="1064"/>
      <c r="IT231" s="1064"/>
      <c r="IU231" s="1064"/>
      <c r="IV231" s="1064"/>
    </row>
    <row r="232" spans="1:256" ht="12.75">
      <c r="A232" s="1063"/>
      <c r="B232" s="1070"/>
      <c r="C232" s="1070"/>
      <c r="D232" s="1063"/>
      <c r="E232" s="1063"/>
      <c r="F232" s="1063"/>
      <c r="G232" s="1063"/>
      <c r="H232" s="1063"/>
      <c r="I232" s="1063"/>
      <c r="J232" s="1063"/>
      <c r="K232" s="1063"/>
      <c r="L232" s="1063"/>
      <c r="M232" s="1063"/>
      <c r="N232" s="1063"/>
      <c r="O232" s="1063"/>
      <c r="P232" s="1063"/>
      <c r="Q232" s="1063"/>
      <c r="R232" s="1063"/>
      <c r="S232" s="1063"/>
      <c r="T232" s="1063"/>
      <c r="U232" s="1063"/>
      <c r="V232" s="1063"/>
      <c r="W232" s="1063"/>
      <c r="X232" s="1063"/>
      <c r="Y232" s="1063"/>
      <c r="Z232" s="1063"/>
      <c r="AA232" s="1063"/>
      <c r="AB232" s="1063"/>
      <c r="AC232" s="1063"/>
      <c r="AD232" s="1063"/>
      <c r="AE232" s="1063"/>
      <c r="AF232" s="1063"/>
      <c r="AG232" s="1063"/>
      <c r="AH232" s="1063"/>
      <c r="AI232" s="1063"/>
      <c r="AJ232" s="1063"/>
      <c r="AK232" s="1063"/>
      <c r="AL232" s="1063"/>
      <c r="AM232" s="1063"/>
      <c r="AN232" s="1063"/>
      <c r="AO232" s="1063"/>
      <c r="AP232" s="1063"/>
      <c r="AQ232" s="1063"/>
      <c r="AR232" s="1063"/>
      <c r="AS232" s="1063"/>
      <c r="AT232" s="1063"/>
      <c r="AU232" s="1063"/>
      <c r="AV232" s="1063"/>
      <c r="AW232" s="1063"/>
      <c r="AX232" s="1063"/>
      <c r="AY232" s="1063"/>
      <c r="AZ232" s="1063"/>
      <c r="BA232" s="1063"/>
      <c r="BB232" s="1063"/>
      <c r="BC232" s="1063"/>
      <c r="BD232" s="1063"/>
      <c r="BE232" s="1063"/>
      <c r="BF232" s="1063"/>
      <c r="BG232" s="1063"/>
      <c r="BH232" s="1063"/>
      <c r="BI232" s="1063"/>
      <c r="BJ232" s="1063"/>
      <c r="BK232" s="1063"/>
      <c r="BL232" s="1063"/>
      <c r="BM232" s="1063"/>
      <c r="BN232" s="1063"/>
      <c r="BO232" s="1063"/>
      <c r="BP232" s="1064"/>
      <c r="BQ232" s="1064"/>
      <c r="BR232" s="1064"/>
      <c r="BS232" s="1064"/>
      <c r="BT232" s="1064"/>
      <c r="BU232" s="1064"/>
      <c r="BV232" s="1064"/>
      <c r="BW232" s="1064"/>
      <c r="BX232" s="1064"/>
      <c r="BY232" s="1064"/>
      <c r="BZ232" s="1064"/>
      <c r="CA232" s="1064"/>
      <c r="CB232" s="1064"/>
      <c r="CC232" s="1064"/>
      <c r="CD232" s="1064"/>
      <c r="CE232" s="1064"/>
      <c r="CF232" s="1064"/>
      <c r="CG232" s="1064"/>
      <c r="CH232" s="1064"/>
      <c r="CI232" s="1064"/>
      <c r="CJ232" s="1064"/>
      <c r="CK232" s="1064"/>
      <c r="CL232" s="1064"/>
      <c r="CM232" s="1064"/>
      <c r="CN232" s="1064"/>
      <c r="CO232" s="1064"/>
      <c r="CP232" s="1064"/>
      <c r="CQ232" s="1064"/>
      <c r="CR232" s="1064"/>
      <c r="CS232" s="1064"/>
      <c r="CT232" s="1064"/>
      <c r="CU232" s="1064"/>
      <c r="CV232" s="1064"/>
      <c r="CW232" s="1064"/>
      <c r="CX232" s="1064"/>
      <c r="CY232" s="1064"/>
      <c r="CZ232" s="1064"/>
      <c r="DA232" s="1064"/>
      <c r="DB232" s="1064"/>
      <c r="DC232" s="1064"/>
      <c r="DD232" s="1064"/>
      <c r="DE232" s="1064"/>
      <c r="DF232" s="1064"/>
      <c r="DG232" s="1064"/>
      <c r="DH232" s="1064"/>
      <c r="DI232" s="1064"/>
      <c r="DJ232" s="1064"/>
      <c r="DK232" s="1064"/>
      <c r="DL232" s="1064"/>
      <c r="DM232" s="1064"/>
      <c r="DN232" s="1064"/>
      <c r="DO232" s="1064"/>
      <c r="DP232" s="1064"/>
      <c r="DQ232" s="1064"/>
      <c r="DR232" s="1064"/>
      <c r="DS232" s="1064"/>
      <c r="DT232" s="1064"/>
      <c r="DU232" s="1064"/>
      <c r="DV232" s="1064"/>
      <c r="DW232" s="1064"/>
      <c r="DX232" s="1064"/>
      <c r="DY232" s="1064"/>
      <c r="DZ232" s="1064"/>
      <c r="EA232" s="1064"/>
      <c r="EB232" s="1064"/>
      <c r="EC232" s="1064"/>
      <c r="ED232" s="1064"/>
      <c r="EE232" s="1064"/>
      <c r="EF232" s="1064"/>
      <c r="EG232" s="1064"/>
      <c r="EH232" s="1064"/>
      <c r="EI232" s="1064"/>
      <c r="EJ232" s="1064"/>
      <c r="EK232" s="1064"/>
      <c r="EL232" s="1064"/>
      <c r="EM232" s="1064"/>
      <c r="EN232" s="1064"/>
      <c r="EO232" s="1064"/>
      <c r="EP232" s="1064"/>
      <c r="EQ232" s="1064"/>
      <c r="ER232" s="1064"/>
      <c r="ES232" s="1064"/>
      <c r="ET232" s="1064"/>
      <c r="EU232" s="1064"/>
      <c r="EV232" s="1064"/>
      <c r="EW232" s="1064"/>
      <c r="EX232" s="1064"/>
      <c r="EY232" s="1064"/>
      <c r="EZ232" s="1064"/>
      <c r="FA232" s="1064"/>
      <c r="FB232" s="1064"/>
      <c r="FC232" s="1064"/>
      <c r="FD232" s="1064"/>
      <c r="FE232" s="1064"/>
      <c r="FF232" s="1064"/>
      <c r="FG232" s="1064"/>
      <c r="FH232" s="1064"/>
      <c r="FI232" s="1064"/>
      <c r="FJ232" s="1064"/>
      <c r="FK232" s="1064"/>
      <c r="FL232" s="1064"/>
      <c r="FM232" s="1064"/>
      <c r="FN232" s="1064"/>
      <c r="FO232" s="1064"/>
      <c r="FP232" s="1064"/>
      <c r="FQ232" s="1064"/>
      <c r="FR232" s="1064"/>
      <c r="FS232" s="1064"/>
      <c r="FT232" s="1064"/>
      <c r="FU232" s="1064"/>
      <c r="FV232" s="1064"/>
      <c r="FW232" s="1064"/>
      <c r="FX232" s="1064"/>
      <c r="FY232" s="1064"/>
      <c r="FZ232" s="1064"/>
      <c r="GA232" s="1064"/>
      <c r="GB232" s="1064"/>
      <c r="GC232" s="1064"/>
      <c r="GD232" s="1064"/>
      <c r="GE232" s="1064"/>
      <c r="GF232" s="1064"/>
      <c r="GG232" s="1064"/>
      <c r="GH232" s="1064"/>
      <c r="GI232" s="1064"/>
      <c r="GJ232" s="1064"/>
      <c r="GK232" s="1064"/>
      <c r="GL232" s="1064"/>
      <c r="GM232" s="1064"/>
      <c r="GN232" s="1064"/>
      <c r="GO232" s="1064"/>
      <c r="GP232" s="1064"/>
      <c r="GQ232" s="1064"/>
      <c r="GR232" s="1064"/>
      <c r="GS232" s="1064"/>
      <c r="GT232" s="1064"/>
      <c r="GU232" s="1064"/>
      <c r="GV232" s="1064"/>
      <c r="GW232" s="1064"/>
      <c r="GX232" s="1064"/>
      <c r="GY232" s="1064"/>
      <c r="GZ232" s="1064"/>
      <c r="HA232" s="1064"/>
      <c r="HB232" s="1064"/>
      <c r="HC232" s="1064"/>
      <c r="HD232" s="1064"/>
      <c r="HE232" s="1064"/>
      <c r="HF232" s="1064"/>
      <c r="HG232" s="1064"/>
      <c r="HH232" s="1064"/>
      <c r="HI232" s="1064"/>
      <c r="HJ232" s="1064"/>
      <c r="HK232" s="1064"/>
      <c r="HL232" s="1064"/>
      <c r="HM232" s="1064"/>
      <c r="HN232" s="1064"/>
      <c r="HO232" s="1064"/>
      <c r="HP232" s="1064"/>
      <c r="HQ232" s="1064"/>
      <c r="HR232" s="1064"/>
      <c r="HS232" s="1064"/>
      <c r="HT232" s="1064"/>
      <c r="HU232" s="1064"/>
      <c r="HV232" s="1064"/>
      <c r="HW232" s="1064"/>
      <c r="HX232" s="1064"/>
      <c r="HY232" s="1064"/>
      <c r="HZ232" s="1064"/>
      <c r="IA232" s="1064"/>
      <c r="IB232" s="1064"/>
      <c r="IC232" s="1064"/>
      <c r="ID232" s="1064"/>
      <c r="IE232" s="1064"/>
      <c r="IF232" s="1064"/>
      <c r="IG232" s="1064"/>
      <c r="IH232" s="1064"/>
      <c r="II232" s="1064"/>
      <c r="IJ232" s="1064"/>
      <c r="IK232" s="1064"/>
      <c r="IL232" s="1064"/>
      <c r="IM232" s="1064"/>
      <c r="IN232" s="1064"/>
      <c r="IO232" s="1064"/>
      <c r="IP232" s="1064"/>
      <c r="IQ232" s="1064"/>
      <c r="IR232" s="1064"/>
      <c r="IS232" s="1064"/>
      <c r="IT232" s="1064"/>
      <c r="IU232" s="1064"/>
      <c r="IV232" s="1064"/>
    </row>
    <row r="233" spans="1:256" ht="12.75">
      <c r="A233" s="1063"/>
      <c r="B233" s="1070"/>
      <c r="C233" s="1070"/>
      <c r="D233" s="1063"/>
      <c r="E233" s="1063"/>
      <c r="F233" s="1063"/>
      <c r="G233" s="1063"/>
      <c r="H233" s="1063"/>
      <c r="I233" s="1063"/>
      <c r="J233" s="1063"/>
      <c r="K233" s="1063"/>
      <c r="L233" s="1063"/>
      <c r="M233" s="1063"/>
      <c r="N233" s="1063"/>
      <c r="O233" s="1063"/>
      <c r="P233" s="1063"/>
      <c r="Q233" s="1063"/>
      <c r="R233" s="1063"/>
      <c r="S233" s="1063"/>
      <c r="T233" s="1063"/>
      <c r="U233" s="1063"/>
      <c r="V233" s="1063"/>
      <c r="W233" s="1063"/>
      <c r="X233" s="1063"/>
      <c r="Y233" s="1063"/>
      <c r="Z233" s="1063"/>
      <c r="AA233" s="1063"/>
      <c r="AB233" s="1063"/>
      <c r="AC233" s="1063"/>
      <c r="AD233" s="1063"/>
      <c r="AE233" s="1063"/>
      <c r="AF233" s="1063"/>
      <c r="AG233" s="1063"/>
      <c r="AH233" s="1063"/>
      <c r="AI233" s="1063"/>
      <c r="AJ233" s="1063"/>
      <c r="AK233" s="1063"/>
      <c r="AL233" s="1063"/>
      <c r="AM233" s="1063"/>
      <c r="AN233" s="1063"/>
      <c r="AO233" s="1063"/>
      <c r="AP233" s="1063"/>
      <c r="AQ233" s="1063"/>
      <c r="AR233" s="1063"/>
      <c r="AS233" s="1063"/>
      <c r="AT233" s="1063"/>
      <c r="AU233" s="2118"/>
      <c r="AV233" s="2118"/>
      <c r="AW233" s="2118"/>
      <c r="AX233" s="2118"/>
      <c r="AY233" s="2118"/>
      <c r="AZ233" s="2118"/>
      <c r="BA233" s="2118"/>
      <c r="BB233" s="1063"/>
      <c r="BC233" s="1063"/>
      <c r="BD233" s="2118"/>
      <c r="BE233" s="2118"/>
      <c r="BF233" s="2118"/>
      <c r="BG233" s="2118"/>
      <c r="BH233" s="2118"/>
      <c r="BI233" s="2118"/>
      <c r="BJ233" s="2118"/>
      <c r="BK233" s="1063"/>
      <c r="BL233" s="1063"/>
      <c r="BM233" s="1063"/>
      <c r="BN233" s="1063"/>
      <c r="BO233" s="1063"/>
      <c r="BP233" s="1064"/>
      <c r="BQ233" s="1064"/>
      <c r="BR233" s="1064"/>
      <c r="BS233" s="1064"/>
      <c r="BT233" s="1064"/>
      <c r="BU233" s="1064"/>
      <c r="BV233" s="1064"/>
      <c r="BW233" s="1064"/>
      <c r="BX233" s="1064"/>
      <c r="BY233" s="1064"/>
      <c r="BZ233" s="1064"/>
      <c r="CA233" s="1064"/>
      <c r="CB233" s="1064"/>
      <c r="CC233" s="1064"/>
      <c r="CD233" s="1064"/>
      <c r="CE233" s="1064"/>
      <c r="CF233" s="1064"/>
      <c r="CG233" s="1064"/>
      <c r="CH233" s="1064"/>
      <c r="CI233" s="1064"/>
      <c r="CJ233" s="1064"/>
      <c r="CK233" s="1064"/>
      <c r="CL233" s="1064"/>
      <c r="CM233" s="1064"/>
      <c r="CN233" s="1064"/>
      <c r="CO233" s="1064"/>
      <c r="CP233" s="1064"/>
      <c r="CQ233" s="1064"/>
      <c r="CR233" s="1064"/>
      <c r="CS233" s="1064"/>
      <c r="CT233" s="1064"/>
      <c r="CU233" s="1064"/>
      <c r="CV233" s="1064"/>
      <c r="CW233" s="1064"/>
      <c r="CX233" s="1064"/>
      <c r="CY233" s="1064"/>
      <c r="CZ233" s="1064"/>
      <c r="DA233" s="1064"/>
      <c r="DB233" s="1064"/>
      <c r="DC233" s="1064"/>
      <c r="DD233" s="1064"/>
      <c r="DE233" s="1064"/>
      <c r="DF233" s="1064"/>
      <c r="DG233" s="1064"/>
      <c r="DH233" s="1064"/>
      <c r="DI233" s="1064"/>
      <c r="DJ233" s="1064"/>
      <c r="DK233" s="1064"/>
      <c r="DL233" s="1064"/>
      <c r="DM233" s="1064"/>
      <c r="DN233" s="1064"/>
      <c r="DO233" s="1064"/>
      <c r="DP233" s="1064"/>
      <c r="DQ233" s="1064"/>
      <c r="DR233" s="1064"/>
      <c r="DS233" s="1064"/>
      <c r="DT233" s="1064"/>
      <c r="DU233" s="1064"/>
      <c r="DV233" s="1064"/>
      <c r="DW233" s="1064"/>
      <c r="DX233" s="1064"/>
      <c r="DY233" s="1064"/>
      <c r="DZ233" s="1064"/>
      <c r="EA233" s="1064"/>
      <c r="EB233" s="1064"/>
      <c r="EC233" s="1064"/>
      <c r="ED233" s="1064"/>
      <c r="EE233" s="1064"/>
      <c r="EF233" s="1064"/>
      <c r="EG233" s="1064"/>
      <c r="EH233" s="1064"/>
      <c r="EI233" s="1064"/>
      <c r="EJ233" s="1064"/>
      <c r="EK233" s="1064"/>
      <c r="EL233" s="1064"/>
      <c r="EM233" s="1064"/>
      <c r="EN233" s="1064"/>
      <c r="EO233" s="1064"/>
      <c r="EP233" s="1064"/>
      <c r="EQ233" s="1064"/>
      <c r="ER233" s="1064"/>
      <c r="ES233" s="1064"/>
      <c r="ET233" s="1064"/>
      <c r="EU233" s="1064"/>
      <c r="EV233" s="1064"/>
      <c r="EW233" s="1064"/>
      <c r="EX233" s="1064"/>
      <c r="EY233" s="1064"/>
      <c r="EZ233" s="1064"/>
      <c r="FA233" s="1064"/>
      <c r="FB233" s="1064"/>
      <c r="FC233" s="1064"/>
      <c r="FD233" s="1064"/>
      <c r="FE233" s="1064"/>
      <c r="FF233" s="1064"/>
      <c r="FG233" s="1064"/>
      <c r="FH233" s="1064"/>
      <c r="FI233" s="1064"/>
      <c r="FJ233" s="1064"/>
      <c r="FK233" s="1064"/>
      <c r="FL233" s="1064"/>
      <c r="FM233" s="1064"/>
      <c r="FN233" s="1064"/>
      <c r="FO233" s="1064"/>
      <c r="FP233" s="1064"/>
      <c r="FQ233" s="1064"/>
      <c r="FR233" s="1064"/>
      <c r="FS233" s="1064"/>
      <c r="FT233" s="1064"/>
      <c r="FU233" s="1064"/>
      <c r="FV233" s="1064"/>
      <c r="FW233" s="1064"/>
      <c r="FX233" s="1064"/>
      <c r="FY233" s="1064"/>
      <c r="FZ233" s="1064"/>
      <c r="GA233" s="1064"/>
      <c r="GB233" s="1064"/>
      <c r="GC233" s="1064"/>
      <c r="GD233" s="1064"/>
      <c r="GE233" s="1064"/>
      <c r="GF233" s="1064"/>
      <c r="GG233" s="1064"/>
      <c r="GH233" s="1064"/>
      <c r="GI233" s="1064"/>
      <c r="GJ233" s="1064"/>
      <c r="GK233" s="1064"/>
      <c r="GL233" s="1064"/>
      <c r="GM233" s="1064"/>
      <c r="GN233" s="1064"/>
      <c r="GO233" s="1064"/>
      <c r="GP233" s="1064"/>
      <c r="GQ233" s="1064"/>
      <c r="GR233" s="1064"/>
      <c r="GS233" s="1064"/>
      <c r="GT233" s="1064"/>
      <c r="GU233" s="1064"/>
      <c r="GV233" s="1064"/>
      <c r="GW233" s="1064"/>
      <c r="GX233" s="1064"/>
      <c r="GY233" s="1064"/>
      <c r="GZ233" s="1064"/>
      <c r="HA233" s="1064"/>
      <c r="HB233" s="1064"/>
      <c r="HC233" s="1064"/>
      <c r="HD233" s="1064"/>
      <c r="HE233" s="1064"/>
      <c r="HF233" s="1064"/>
      <c r="HG233" s="1064"/>
      <c r="HH233" s="1064"/>
      <c r="HI233" s="1064"/>
      <c r="HJ233" s="1064"/>
      <c r="HK233" s="1064"/>
      <c r="HL233" s="1064"/>
      <c r="HM233" s="1064"/>
      <c r="HN233" s="1064"/>
      <c r="HO233" s="1064"/>
      <c r="HP233" s="1064"/>
      <c r="HQ233" s="1064"/>
      <c r="HR233" s="1064"/>
      <c r="HS233" s="1064"/>
      <c r="HT233" s="1064"/>
      <c r="HU233" s="1064"/>
      <c r="HV233" s="1064"/>
      <c r="HW233" s="1064"/>
      <c r="HX233" s="1064"/>
      <c r="HY233" s="1064"/>
      <c r="HZ233" s="1064"/>
      <c r="IA233" s="1064"/>
      <c r="IB233" s="1064"/>
      <c r="IC233" s="1064"/>
      <c r="ID233" s="1064"/>
      <c r="IE233" s="1064"/>
      <c r="IF233" s="1064"/>
      <c r="IG233" s="1064"/>
      <c r="IH233" s="1064"/>
      <c r="II233" s="1064"/>
      <c r="IJ233" s="1064"/>
      <c r="IK233" s="1064"/>
      <c r="IL233" s="1064"/>
      <c r="IM233" s="1064"/>
      <c r="IN233" s="1064"/>
      <c r="IO233" s="1064"/>
      <c r="IP233" s="1064"/>
      <c r="IQ233" s="1064"/>
      <c r="IR233" s="1064"/>
      <c r="IS233" s="1064"/>
      <c r="IT233" s="1064"/>
      <c r="IU233" s="1064"/>
      <c r="IV233" s="1064"/>
    </row>
    <row r="234" spans="1:256" ht="12.75">
      <c r="A234" s="1063"/>
      <c r="B234" s="1070"/>
      <c r="C234" s="1070"/>
      <c r="D234" s="1063"/>
      <c r="E234" s="1063"/>
      <c r="F234" s="1063"/>
      <c r="G234" s="1063"/>
      <c r="H234" s="1063"/>
      <c r="I234" s="1063"/>
      <c r="J234" s="1063"/>
      <c r="K234" s="1063"/>
      <c r="L234" s="1063"/>
      <c r="M234" s="1063"/>
      <c r="N234" s="1063"/>
      <c r="O234" s="1063"/>
      <c r="P234" s="1063"/>
      <c r="Q234" s="1063"/>
      <c r="R234" s="1063"/>
      <c r="S234" s="1063"/>
      <c r="T234" s="1063"/>
      <c r="U234" s="1063"/>
      <c r="V234" s="1063"/>
      <c r="W234" s="1063"/>
      <c r="X234" s="1063"/>
      <c r="Y234" s="1063"/>
      <c r="Z234" s="1063"/>
      <c r="AA234" s="1063"/>
      <c r="AB234" s="1063"/>
      <c r="AC234" s="1063"/>
      <c r="AD234" s="1063"/>
      <c r="AE234" s="1063"/>
      <c r="AF234" s="1063"/>
      <c r="AG234" s="1063"/>
      <c r="AH234" s="1063"/>
      <c r="AI234" s="1063"/>
      <c r="AJ234" s="1063"/>
      <c r="AK234" s="1063"/>
      <c r="AL234" s="1063"/>
      <c r="AM234" s="1063"/>
      <c r="AN234" s="1063"/>
      <c r="AO234" s="1063"/>
      <c r="AP234" s="1063"/>
      <c r="AQ234" s="1063"/>
      <c r="AR234" s="1063"/>
      <c r="AS234" s="1063"/>
      <c r="AT234" s="1063"/>
      <c r="AU234" s="858"/>
      <c r="AV234" s="1063"/>
      <c r="AW234" s="1063"/>
      <c r="AX234" s="1063"/>
      <c r="AY234" s="1063"/>
      <c r="AZ234" s="1063"/>
      <c r="BA234" s="1063"/>
      <c r="BB234" s="1063"/>
      <c r="BC234" s="1063"/>
      <c r="BD234" s="858"/>
      <c r="BE234" s="1063"/>
      <c r="BF234" s="1063"/>
      <c r="BG234" s="1063"/>
      <c r="BH234" s="1063"/>
      <c r="BI234" s="858"/>
      <c r="BJ234" s="858"/>
      <c r="BK234" s="1063"/>
      <c r="BL234" s="1063"/>
      <c r="BM234" s="1063"/>
      <c r="BN234" s="1063"/>
      <c r="BO234" s="1063"/>
      <c r="BP234" s="1064"/>
      <c r="BQ234" s="1064"/>
      <c r="BR234" s="1064"/>
      <c r="BS234" s="1064"/>
      <c r="BT234" s="1064"/>
      <c r="BU234" s="1064"/>
      <c r="BV234" s="1064"/>
      <c r="BW234" s="1064"/>
      <c r="BX234" s="1064"/>
      <c r="BY234" s="1064"/>
      <c r="BZ234" s="1064"/>
      <c r="CA234" s="1064"/>
      <c r="CB234" s="1064"/>
      <c r="CC234" s="1064"/>
      <c r="CD234" s="1064"/>
      <c r="CE234" s="1064"/>
      <c r="CF234" s="1064"/>
      <c r="CG234" s="1064"/>
      <c r="CH234" s="1064"/>
      <c r="CI234" s="1064"/>
      <c r="CJ234" s="1064"/>
      <c r="CK234" s="1064"/>
      <c r="CL234" s="1064"/>
      <c r="CM234" s="1064"/>
      <c r="CN234" s="1064"/>
      <c r="CO234" s="1064"/>
      <c r="CP234" s="1064"/>
      <c r="CQ234" s="1064"/>
      <c r="CR234" s="1064"/>
      <c r="CS234" s="1064"/>
      <c r="CT234" s="1064"/>
      <c r="CU234" s="1064"/>
      <c r="CV234" s="1064"/>
      <c r="CW234" s="1064"/>
      <c r="CX234" s="1064"/>
      <c r="CY234" s="1064"/>
      <c r="CZ234" s="1064"/>
      <c r="DA234" s="1064"/>
      <c r="DB234" s="1064"/>
      <c r="DC234" s="1064"/>
      <c r="DD234" s="1064"/>
      <c r="DE234" s="1064"/>
      <c r="DF234" s="1064"/>
      <c r="DG234" s="1064"/>
      <c r="DH234" s="1064"/>
      <c r="DI234" s="1064"/>
      <c r="DJ234" s="1064"/>
      <c r="DK234" s="1064"/>
      <c r="DL234" s="1064"/>
      <c r="DM234" s="1064"/>
      <c r="DN234" s="1064"/>
      <c r="DO234" s="1064"/>
      <c r="DP234" s="1064"/>
      <c r="DQ234" s="1064"/>
      <c r="DR234" s="1064"/>
      <c r="DS234" s="1064"/>
      <c r="DT234" s="1064"/>
      <c r="DU234" s="1064"/>
      <c r="DV234" s="1064"/>
      <c r="DW234" s="1064"/>
      <c r="DX234" s="1064"/>
      <c r="DY234" s="1064"/>
      <c r="DZ234" s="1064"/>
      <c r="EA234" s="1064"/>
      <c r="EB234" s="1064"/>
      <c r="EC234" s="1064"/>
      <c r="ED234" s="1064"/>
      <c r="EE234" s="1064"/>
      <c r="EF234" s="1064"/>
      <c r="EG234" s="1064"/>
      <c r="EH234" s="1064"/>
      <c r="EI234" s="1064"/>
      <c r="EJ234" s="1064"/>
      <c r="EK234" s="1064"/>
      <c r="EL234" s="1064"/>
      <c r="EM234" s="1064"/>
      <c r="EN234" s="1064"/>
      <c r="EO234" s="1064"/>
      <c r="EP234" s="1064"/>
      <c r="EQ234" s="1064"/>
      <c r="ER234" s="1064"/>
      <c r="ES234" s="1064"/>
      <c r="ET234" s="1064"/>
      <c r="EU234" s="1064"/>
      <c r="EV234" s="1064"/>
      <c r="EW234" s="1064"/>
      <c r="EX234" s="1064"/>
      <c r="EY234" s="1064"/>
      <c r="EZ234" s="1064"/>
      <c r="FA234" s="1064"/>
      <c r="FB234" s="1064"/>
      <c r="FC234" s="1064"/>
      <c r="FD234" s="1064"/>
      <c r="FE234" s="1064"/>
      <c r="FF234" s="1064"/>
      <c r="FG234" s="1064"/>
      <c r="FH234" s="1064"/>
      <c r="FI234" s="1064"/>
      <c r="FJ234" s="1064"/>
      <c r="FK234" s="1064"/>
      <c r="FL234" s="1064"/>
      <c r="FM234" s="1064"/>
      <c r="FN234" s="1064"/>
      <c r="FO234" s="1064"/>
      <c r="FP234" s="1064"/>
      <c r="FQ234" s="1064"/>
      <c r="FR234" s="1064"/>
      <c r="FS234" s="1064"/>
      <c r="FT234" s="1064"/>
      <c r="FU234" s="1064"/>
      <c r="FV234" s="1064"/>
      <c r="FW234" s="1064"/>
      <c r="FX234" s="1064"/>
      <c r="FY234" s="1064"/>
      <c r="FZ234" s="1064"/>
      <c r="GA234" s="1064"/>
      <c r="GB234" s="1064"/>
      <c r="GC234" s="1064"/>
      <c r="GD234" s="1064"/>
      <c r="GE234" s="1064"/>
      <c r="GF234" s="1064"/>
      <c r="GG234" s="1064"/>
      <c r="GH234" s="1064"/>
      <c r="GI234" s="1064"/>
      <c r="GJ234" s="1064"/>
      <c r="GK234" s="1064"/>
      <c r="GL234" s="1064"/>
      <c r="GM234" s="1064"/>
      <c r="GN234" s="1064"/>
      <c r="GO234" s="1064"/>
      <c r="GP234" s="1064"/>
      <c r="GQ234" s="1064"/>
      <c r="GR234" s="1064"/>
      <c r="GS234" s="1064"/>
      <c r="GT234" s="1064"/>
      <c r="GU234" s="1064"/>
      <c r="GV234" s="1064"/>
      <c r="GW234" s="1064"/>
      <c r="GX234" s="1064"/>
      <c r="GY234" s="1064"/>
      <c r="GZ234" s="1064"/>
      <c r="HA234" s="1064"/>
      <c r="HB234" s="1064"/>
      <c r="HC234" s="1064"/>
      <c r="HD234" s="1064"/>
      <c r="HE234" s="1064"/>
      <c r="HF234" s="1064"/>
      <c r="HG234" s="1064"/>
      <c r="HH234" s="1064"/>
      <c r="HI234" s="1064"/>
      <c r="HJ234" s="1064"/>
      <c r="HK234" s="1064"/>
      <c r="HL234" s="1064"/>
      <c r="HM234" s="1064"/>
      <c r="HN234" s="1064"/>
      <c r="HO234" s="1064"/>
      <c r="HP234" s="1064"/>
      <c r="HQ234" s="1064"/>
      <c r="HR234" s="1064"/>
      <c r="HS234" s="1064"/>
      <c r="HT234" s="1064"/>
      <c r="HU234" s="1064"/>
      <c r="HV234" s="1064"/>
      <c r="HW234" s="1064"/>
      <c r="HX234" s="1064"/>
      <c r="HY234" s="1064"/>
      <c r="HZ234" s="1064"/>
      <c r="IA234" s="1064"/>
      <c r="IB234" s="1064"/>
      <c r="IC234" s="1064"/>
      <c r="ID234" s="1064"/>
      <c r="IE234" s="1064"/>
      <c r="IF234" s="1064"/>
      <c r="IG234" s="1064"/>
      <c r="IH234" s="1064"/>
      <c r="II234" s="1064"/>
      <c r="IJ234" s="1064"/>
      <c r="IK234" s="1064"/>
      <c r="IL234" s="1064"/>
      <c r="IM234" s="1064"/>
      <c r="IN234" s="1064"/>
      <c r="IO234" s="1064"/>
      <c r="IP234" s="1064"/>
      <c r="IQ234" s="1064"/>
      <c r="IR234" s="1064"/>
      <c r="IS234" s="1064"/>
      <c r="IT234" s="1064"/>
      <c r="IU234" s="1064"/>
      <c r="IV234" s="1064"/>
    </row>
    <row r="235" spans="1:256" ht="12.75">
      <c r="A235" s="1063"/>
      <c r="B235" s="1070"/>
      <c r="C235" s="1070"/>
      <c r="D235" s="1063"/>
      <c r="E235" s="1063"/>
      <c r="F235" s="1063"/>
      <c r="G235" s="1063"/>
      <c r="H235" s="1063"/>
      <c r="I235" s="1063"/>
      <c r="J235" s="1063"/>
      <c r="K235" s="1063"/>
      <c r="L235" s="1063"/>
      <c r="M235" s="1063"/>
      <c r="N235" s="1063"/>
      <c r="O235" s="1063"/>
      <c r="P235" s="1063"/>
      <c r="Q235" s="1063"/>
      <c r="R235" s="1063"/>
      <c r="S235" s="1063"/>
      <c r="T235" s="1063"/>
      <c r="U235" s="1063"/>
      <c r="V235" s="1063"/>
      <c r="W235" s="1063"/>
      <c r="X235" s="1063"/>
      <c r="Y235" s="1063"/>
      <c r="Z235" s="1063"/>
      <c r="AA235" s="1063"/>
      <c r="AB235" s="1063"/>
      <c r="AC235" s="1063"/>
      <c r="AD235" s="1063"/>
      <c r="AE235" s="1063"/>
      <c r="AF235" s="1063"/>
      <c r="AG235" s="1063"/>
      <c r="AH235" s="1063"/>
      <c r="AI235" s="1063"/>
      <c r="AJ235" s="1063"/>
      <c r="AK235" s="1063"/>
      <c r="AL235" s="1063"/>
      <c r="AM235" s="1063"/>
      <c r="AN235" s="1063"/>
      <c r="AO235" s="1063"/>
      <c r="AP235" s="1063"/>
      <c r="AQ235" s="1063"/>
      <c r="AR235" s="1063"/>
      <c r="AS235" s="1063"/>
      <c r="AT235" s="1063"/>
      <c r="AU235" s="1071"/>
      <c r="AV235" s="1063"/>
      <c r="AW235" s="1063"/>
      <c r="AX235" s="1063"/>
      <c r="AY235" s="1063"/>
      <c r="AZ235" s="1063"/>
      <c r="BA235" s="1072"/>
      <c r="BB235" s="1063"/>
      <c r="BC235" s="1063"/>
      <c r="BD235" s="1071"/>
      <c r="BE235" s="1063"/>
      <c r="BF235" s="1063"/>
      <c r="BG235" s="1073"/>
      <c r="BH235" s="1072"/>
      <c r="BI235" s="1071"/>
      <c r="BJ235" s="1072"/>
      <c r="BK235" s="1063"/>
      <c r="BL235" s="1063"/>
      <c r="BM235" s="1063"/>
      <c r="BN235" s="1063"/>
      <c r="BO235" s="1063"/>
      <c r="BP235" s="1064"/>
      <c r="BQ235" s="1064"/>
      <c r="BR235" s="1064"/>
      <c r="BS235" s="1064"/>
      <c r="BT235" s="1064"/>
      <c r="BU235" s="1064"/>
      <c r="BV235" s="1064"/>
      <c r="BW235" s="1064"/>
      <c r="BX235" s="1064"/>
      <c r="BY235" s="1064"/>
      <c r="BZ235" s="1064"/>
      <c r="CA235" s="1064"/>
      <c r="CB235" s="1064"/>
      <c r="CC235" s="1064"/>
      <c r="CD235" s="1064"/>
      <c r="CE235" s="1064"/>
      <c r="CF235" s="1064"/>
      <c r="CG235" s="1064"/>
      <c r="CH235" s="1064"/>
      <c r="CI235" s="1064"/>
      <c r="CJ235" s="1064"/>
      <c r="CK235" s="1064"/>
      <c r="CL235" s="1064"/>
      <c r="CM235" s="1064"/>
      <c r="CN235" s="1064"/>
      <c r="CO235" s="1064"/>
      <c r="CP235" s="1064"/>
      <c r="CQ235" s="1064"/>
      <c r="CR235" s="1064"/>
      <c r="CS235" s="1064"/>
      <c r="CT235" s="1064"/>
      <c r="CU235" s="1064"/>
      <c r="CV235" s="1064"/>
      <c r="CW235" s="1064"/>
      <c r="CX235" s="1064"/>
      <c r="CY235" s="1064"/>
      <c r="CZ235" s="1064"/>
      <c r="DA235" s="1064"/>
      <c r="DB235" s="1064"/>
      <c r="DC235" s="1064"/>
      <c r="DD235" s="1064"/>
      <c r="DE235" s="1064"/>
      <c r="DF235" s="1064"/>
      <c r="DG235" s="1064"/>
      <c r="DH235" s="1064"/>
      <c r="DI235" s="1064"/>
      <c r="DJ235" s="1064"/>
      <c r="DK235" s="1064"/>
      <c r="DL235" s="1064"/>
      <c r="DM235" s="1064"/>
      <c r="DN235" s="1064"/>
      <c r="DO235" s="1064"/>
      <c r="DP235" s="1064"/>
      <c r="DQ235" s="1064"/>
      <c r="DR235" s="1064"/>
      <c r="DS235" s="1064"/>
      <c r="DT235" s="1064"/>
      <c r="DU235" s="1064"/>
      <c r="DV235" s="1064"/>
      <c r="DW235" s="1064"/>
      <c r="DX235" s="1064"/>
      <c r="DY235" s="1064"/>
      <c r="DZ235" s="1064"/>
      <c r="EA235" s="1064"/>
      <c r="EB235" s="1064"/>
      <c r="EC235" s="1064"/>
      <c r="ED235" s="1064"/>
      <c r="EE235" s="1064"/>
      <c r="EF235" s="1064"/>
      <c r="EG235" s="1064"/>
      <c r="EH235" s="1064"/>
      <c r="EI235" s="1064"/>
      <c r="EJ235" s="1064"/>
      <c r="EK235" s="1064"/>
      <c r="EL235" s="1064"/>
      <c r="EM235" s="1064"/>
      <c r="EN235" s="1064"/>
      <c r="EO235" s="1064"/>
      <c r="EP235" s="1064"/>
      <c r="EQ235" s="1064"/>
      <c r="ER235" s="1064"/>
      <c r="ES235" s="1064"/>
      <c r="ET235" s="1064"/>
      <c r="EU235" s="1064"/>
      <c r="EV235" s="1064"/>
      <c r="EW235" s="1064"/>
      <c r="EX235" s="1064"/>
      <c r="EY235" s="1064"/>
      <c r="EZ235" s="1064"/>
      <c r="FA235" s="1064"/>
      <c r="FB235" s="1064"/>
      <c r="FC235" s="1064"/>
      <c r="FD235" s="1064"/>
      <c r="FE235" s="1064"/>
      <c r="FF235" s="1064"/>
      <c r="FG235" s="1064"/>
      <c r="FH235" s="1064"/>
      <c r="FI235" s="1064"/>
      <c r="FJ235" s="1064"/>
      <c r="FK235" s="1064"/>
      <c r="FL235" s="1064"/>
      <c r="FM235" s="1064"/>
      <c r="FN235" s="1064"/>
      <c r="FO235" s="1064"/>
      <c r="FP235" s="1064"/>
      <c r="FQ235" s="1064"/>
      <c r="FR235" s="1064"/>
      <c r="FS235" s="1064"/>
      <c r="FT235" s="1064"/>
      <c r="FU235" s="1064"/>
      <c r="FV235" s="1064"/>
      <c r="FW235" s="1064"/>
      <c r="FX235" s="1064"/>
      <c r="FY235" s="1064"/>
      <c r="FZ235" s="1064"/>
      <c r="GA235" s="1064"/>
      <c r="GB235" s="1064"/>
      <c r="GC235" s="1064"/>
      <c r="GD235" s="1064"/>
      <c r="GE235" s="1064"/>
      <c r="GF235" s="1064"/>
      <c r="GG235" s="1064"/>
      <c r="GH235" s="1064"/>
      <c r="GI235" s="1064"/>
      <c r="GJ235" s="1064"/>
      <c r="GK235" s="1064"/>
      <c r="GL235" s="1064"/>
      <c r="GM235" s="1064"/>
      <c r="GN235" s="1064"/>
      <c r="GO235" s="1064"/>
      <c r="GP235" s="1064"/>
      <c r="GQ235" s="1064"/>
      <c r="GR235" s="1064"/>
      <c r="GS235" s="1064"/>
      <c r="GT235" s="1064"/>
      <c r="GU235" s="1064"/>
      <c r="GV235" s="1064"/>
      <c r="GW235" s="1064"/>
      <c r="GX235" s="1064"/>
      <c r="GY235" s="1064"/>
      <c r="GZ235" s="1064"/>
      <c r="HA235" s="1064"/>
      <c r="HB235" s="1064"/>
      <c r="HC235" s="1064"/>
      <c r="HD235" s="1064"/>
      <c r="HE235" s="1064"/>
      <c r="HF235" s="1064"/>
      <c r="HG235" s="1064"/>
      <c r="HH235" s="1064"/>
      <c r="HI235" s="1064"/>
      <c r="HJ235" s="1064"/>
      <c r="HK235" s="1064"/>
      <c r="HL235" s="1064"/>
      <c r="HM235" s="1064"/>
      <c r="HN235" s="1064"/>
      <c r="HO235" s="1064"/>
      <c r="HP235" s="1064"/>
      <c r="HQ235" s="1064"/>
      <c r="HR235" s="1064"/>
      <c r="HS235" s="1064"/>
      <c r="HT235" s="1064"/>
      <c r="HU235" s="1064"/>
      <c r="HV235" s="1064"/>
      <c r="HW235" s="1064"/>
      <c r="HX235" s="1064"/>
      <c r="HY235" s="1064"/>
      <c r="HZ235" s="1064"/>
      <c r="IA235" s="1064"/>
      <c r="IB235" s="1064"/>
      <c r="IC235" s="1064"/>
      <c r="ID235" s="1064"/>
      <c r="IE235" s="1064"/>
      <c r="IF235" s="1064"/>
      <c r="IG235" s="1064"/>
      <c r="IH235" s="1064"/>
      <c r="II235" s="1064"/>
      <c r="IJ235" s="1064"/>
      <c r="IK235" s="1064"/>
      <c r="IL235" s="1064"/>
      <c r="IM235" s="1064"/>
      <c r="IN235" s="1064"/>
      <c r="IO235" s="1064"/>
      <c r="IP235" s="1064"/>
      <c r="IQ235" s="1064"/>
      <c r="IR235" s="1064"/>
      <c r="IS235" s="1064"/>
      <c r="IT235" s="1064"/>
      <c r="IU235" s="1064"/>
      <c r="IV235" s="1064"/>
    </row>
    <row r="236" spans="1:256" ht="12.75">
      <c r="A236" s="1063"/>
      <c r="B236" s="1070"/>
      <c r="C236" s="1070"/>
      <c r="D236" s="1063"/>
      <c r="E236" s="1063"/>
      <c r="F236" s="1063"/>
      <c r="G236" s="1063"/>
      <c r="H236" s="1063"/>
      <c r="I236" s="1063"/>
      <c r="J236" s="1063"/>
      <c r="K236" s="1063"/>
      <c r="L236" s="1063"/>
      <c r="M236" s="1063"/>
      <c r="N236" s="1063"/>
      <c r="O236" s="1063"/>
      <c r="P236" s="1063"/>
      <c r="Q236" s="1063"/>
      <c r="R236" s="1063"/>
      <c r="S236" s="1063"/>
      <c r="T236" s="1063"/>
      <c r="U236" s="1063"/>
      <c r="V236" s="1063"/>
      <c r="W236" s="1063"/>
      <c r="X236" s="1063"/>
      <c r="Y236" s="1063"/>
      <c r="Z236" s="1063"/>
      <c r="AA236" s="1063"/>
      <c r="AB236" s="1063"/>
      <c r="AC236" s="1063"/>
      <c r="AD236" s="1063"/>
      <c r="AE236" s="1063"/>
      <c r="AF236" s="1063"/>
      <c r="AG236" s="1063"/>
      <c r="AH236" s="1063"/>
      <c r="AI236" s="1063"/>
      <c r="AJ236" s="1063"/>
      <c r="AK236" s="1063"/>
      <c r="AL236" s="1063"/>
      <c r="AM236" s="1063"/>
      <c r="AN236" s="1063"/>
      <c r="AO236" s="1063"/>
      <c r="AP236" s="1063"/>
      <c r="AQ236" s="1063"/>
      <c r="AR236" s="1063"/>
      <c r="AS236" s="1063"/>
      <c r="AT236" s="1063"/>
      <c r="AU236" s="1071"/>
      <c r="AV236" s="1063"/>
      <c r="AW236" s="1063"/>
      <c r="AX236" s="1063"/>
      <c r="AY236" s="1063"/>
      <c r="AZ236" s="1063"/>
      <c r="BA236" s="1072"/>
      <c r="BB236" s="1063"/>
      <c r="BC236" s="1063"/>
      <c r="BD236" s="1071"/>
      <c r="BE236" s="1063"/>
      <c r="BF236" s="1063"/>
      <c r="BG236" s="1073"/>
      <c r="BH236" s="1072"/>
      <c r="BI236" s="1071"/>
      <c r="BJ236" s="1072"/>
      <c r="BK236" s="1063"/>
      <c r="BL236" s="1063"/>
      <c r="BM236" s="1063"/>
      <c r="BN236" s="1063"/>
      <c r="BO236" s="1063"/>
      <c r="BP236" s="1064"/>
      <c r="BQ236" s="1064"/>
      <c r="BR236" s="1064"/>
      <c r="BS236" s="1064"/>
      <c r="BT236" s="1064"/>
      <c r="BU236" s="1064"/>
      <c r="BV236" s="1064"/>
      <c r="BW236" s="1064"/>
      <c r="BX236" s="1064"/>
      <c r="BY236" s="1064"/>
      <c r="BZ236" s="1064"/>
      <c r="CA236" s="1064"/>
      <c r="CB236" s="1064"/>
      <c r="CC236" s="1064"/>
      <c r="CD236" s="1064"/>
      <c r="CE236" s="1064"/>
      <c r="CF236" s="1064"/>
      <c r="CG236" s="1064"/>
      <c r="CH236" s="1064"/>
      <c r="CI236" s="1064"/>
      <c r="CJ236" s="1064"/>
      <c r="CK236" s="1064"/>
      <c r="CL236" s="1064"/>
      <c r="CM236" s="1064"/>
      <c r="CN236" s="1064"/>
      <c r="CO236" s="1064"/>
      <c r="CP236" s="1064"/>
      <c r="CQ236" s="1064"/>
      <c r="CR236" s="1064"/>
      <c r="CS236" s="1064"/>
      <c r="CT236" s="1064"/>
      <c r="CU236" s="1064"/>
      <c r="CV236" s="1064"/>
      <c r="CW236" s="1064"/>
      <c r="CX236" s="1064"/>
      <c r="CY236" s="1064"/>
      <c r="CZ236" s="1064"/>
      <c r="DA236" s="1064"/>
      <c r="DB236" s="1064"/>
      <c r="DC236" s="1064"/>
      <c r="DD236" s="1064"/>
      <c r="DE236" s="1064"/>
      <c r="DF236" s="1064"/>
      <c r="DG236" s="1064"/>
      <c r="DH236" s="1064"/>
      <c r="DI236" s="1064"/>
      <c r="DJ236" s="1064"/>
      <c r="DK236" s="1064"/>
      <c r="DL236" s="1064"/>
      <c r="DM236" s="1064"/>
      <c r="DN236" s="1064"/>
      <c r="DO236" s="1064"/>
      <c r="DP236" s="1064"/>
      <c r="DQ236" s="1064"/>
      <c r="DR236" s="1064"/>
      <c r="DS236" s="1064"/>
      <c r="DT236" s="1064"/>
      <c r="DU236" s="1064"/>
      <c r="DV236" s="1064"/>
      <c r="DW236" s="1064"/>
      <c r="DX236" s="1064"/>
      <c r="DY236" s="1064"/>
      <c r="DZ236" s="1064"/>
      <c r="EA236" s="1064"/>
      <c r="EB236" s="1064"/>
      <c r="EC236" s="1064"/>
      <c r="ED236" s="1064"/>
      <c r="EE236" s="1064"/>
      <c r="EF236" s="1064"/>
      <c r="EG236" s="1064"/>
      <c r="EH236" s="1064"/>
      <c r="EI236" s="1064"/>
      <c r="EJ236" s="1064"/>
      <c r="EK236" s="1064"/>
      <c r="EL236" s="1064"/>
      <c r="EM236" s="1064"/>
      <c r="EN236" s="1064"/>
      <c r="EO236" s="1064"/>
      <c r="EP236" s="1064"/>
      <c r="EQ236" s="1064"/>
      <c r="ER236" s="1064"/>
      <c r="ES236" s="1064"/>
      <c r="ET236" s="1064"/>
      <c r="EU236" s="1064"/>
      <c r="EV236" s="1064"/>
      <c r="EW236" s="1064"/>
      <c r="EX236" s="1064"/>
      <c r="EY236" s="1064"/>
      <c r="EZ236" s="1064"/>
      <c r="FA236" s="1064"/>
      <c r="FB236" s="1064"/>
      <c r="FC236" s="1064"/>
      <c r="FD236" s="1064"/>
      <c r="FE236" s="1064"/>
      <c r="FF236" s="1064"/>
      <c r="FG236" s="1064"/>
      <c r="FH236" s="1064"/>
      <c r="FI236" s="1064"/>
      <c r="FJ236" s="1064"/>
      <c r="FK236" s="1064"/>
      <c r="FL236" s="1064"/>
      <c r="FM236" s="1064"/>
      <c r="FN236" s="1064"/>
      <c r="FO236" s="1064"/>
      <c r="FP236" s="1064"/>
      <c r="FQ236" s="1064"/>
      <c r="FR236" s="1064"/>
      <c r="FS236" s="1064"/>
      <c r="FT236" s="1064"/>
      <c r="FU236" s="1064"/>
      <c r="FV236" s="1064"/>
      <c r="FW236" s="1064"/>
      <c r="FX236" s="1064"/>
      <c r="FY236" s="1064"/>
      <c r="FZ236" s="1064"/>
      <c r="GA236" s="1064"/>
      <c r="GB236" s="1064"/>
      <c r="GC236" s="1064"/>
      <c r="GD236" s="1064"/>
      <c r="GE236" s="1064"/>
      <c r="GF236" s="1064"/>
      <c r="GG236" s="1064"/>
      <c r="GH236" s="1064"/>
      <c r="GI236" s="1064"/>
      <c r="GJ236" s="1064"/>
      <c r="GK236" s="1064"/>
      <c r="GL236" s="1064"/>
      <c r="GM236" s="1064"/>
      <c r="GN236" s="1064"/>
      <c r="GO236" s="1064"/>
      <c r="GP236" s="1064"/>
      <c r="GQ236" s="1064"/>
      <c r="GR236" s="1064"/>
      <c r="GS236" s="1064"/>
      <c r="GT236" s="1064"/>
      <c r="GU236" s="1064"/>
      <c r="GV236" s="1064"/>
      <c r="GW236" s="1064"/>
      <c r="GX236" s="1064"/>
      <c r="GY236" s="1064"/>
      <c r="GZ236" s="1064"/>
      <c r="HA236" s="1064"/>
      <c r="HB236" s="1064"/>
      <c r="HC236" s="1064"/>
      <c r="HD236" s="1064"/>
      <c r="HE236" s="1064"/>
      <c r="HF236" s="1064"/>
      <c r="HG236" s="1064"/>
      <c r="HH236" s="1064"/>
      <c r="HI236" s="1064"/>
      <c r="HJ236" s="1064"/>
      <c r="HK236" s="1064"/>
      <c r="HL236" s="1064"/>
      <c r="HM236" s="1064"/>
      <c r="HN236" s="1064"/>
      <c r="HO236" s="1064"/>
      <c r="HP236" s="1064"/>
      <c r="HQ236" s="1064"/>
      <c r="HR236" s="1064"/>
      <c r="HS236" s="1064"/>
      <c r="HT236" s="1064"/>
      <c r="HU236" s="1064"/>
      <c r="HV236" s="1064"/>
      <c r="HW236" s="1064"/>
      <c r="HX236" s="1064"/>
      <c r="HY236" s="1064"/>
      <c r="HZ236" s="1064"/>
      <c r="IA236" s="1064"/>
      <c r="IB236" s="1064"/>
      <c r="IC236" s="1064"/>
      <c r="ID236" s="1064"/>
      <c r="IE236" s="1064"/>
      <c r="IF236" s="1064"/>
      <c r="IG236" s="1064"/>
      <c r="IH236" s="1064"/>
      <c r="II236" s="1064"/>
      <c r="IJ236" s="1064"/>
      <c r="IK236" s="1064"/>
      <c r="IL236" s="1064"/>
      <c r="IM236" s="1064"/>
      <c r="IN236" s="1064"/>
      <c r="IO236" s="1064"/>
      <c r="IP236" s="1064"/>
      <c r="IQ236" s="1064"/>
      <c r="IR236" s="1064"/>
      <c r="IS236" s="1064"/>
      <c r="IT236" s="1064"/>
      <c r="IU236" s="1064"/>
      <c r="IV236" s="1064"/>
    </row>
    <row r="237" spans="1:256" ht="12.75">
      <c r="A237" s="1063"/>
      <c r="B237" s="1070"/>
      <c r="C237" s="1070"/>
      <c r="D237" s="1063"/>
      <c r="E237" s="1063"/>
      <c r="F237" s="1063"/>
      <c r="G237" s="1063"/>
      <c r="H237" s="1063"/>
      <c r="I237" s="1063"/>
      <c r="J237" s="1063"/>
      <c r="K237" s="1063"/>
      <c r="L237" s="1063"/>
      <c r="M237" s="1063"/>
      <c r="N237" s="1063"/>
      <c r="O237" s="1063"/>
      <c r="P237" s="1063"/>
      <c r="Q237" s="1063"/>
      <c r="R237" s="1063"/>
      <c r="S237" s="1063"/>
      <c r="T237" s="1063"/>
      <c r="U237" s="1063"/>
      <c r="V237" s="1063"/>
      <c r="W237" s="1063"/>
      <c r="X237" s="1063"/>
      <c r="Y237" s="1063"/>
      <c r="Z237" s="1063"/>
      <c r="AA237" s="1063"/>
      <c r="AB237" s="1063"/>
      <c r="AC237" s="1063"/>
      <c r="AD237" s="1063"/>
      <c r="AE237" s="1063"/>
      <c r="AF237" s="1063"/>
      <c r="AG237" s="1063"/>
      <c r="AH237" s="1063"/>
      <c r="AI237" s="1063"/>
      <c r="AJ237" s="1063"/>
      <c r="AK237" s="1063"/>
      <c r="AL237" s="1063"/>
      <c r="AM237" s="1063"/>
      <c r="AN237" s="1063"/>
      <c r="AO237" s="1063"/>
      <c r="AP237" s="1063"/>
      <c r="AQ237" s="1063"/>
      <c r="AR237" s="1063"/>
      <c r="AS237" s="1063"/>
      <c r="AT237" s="1063"/>
      <c r="AU237" s="1071"/>
      <c r="AV237" s="1063"/>
      <c r="AW237" s="1063"/>
      <c r="AX237" s="1063"/>
      <c r="AY237" s="1063"/>
      <c r="AZ237" s="1063"/>
      <c r="BA237" s="1072"/>
      <c r="BB237" s="1063"/>
      <c r="BC237" s="1063"/>
      <c r="BD237" s="1071"/>
      <c r="BE237" s="1063"/>
      <c r="BF237" s="1063"/>
      <c r="BG237" s="1073"/>
      <c r="BH237" s="1072"/>
      <c r="BI237" s="1071"/>
      <c r="BJ237" s="1072"/>
      <c r="BK237" s="1063"/>
      <c r="BL237" s="1063"/>
      <c r="BM237" s="1063"/>
      <c r="BN237" s="1063"/>
      <c r="BO237" s="1063"/>
      <c r="BP237" s="1064"/>
      <c r="BQ237" s="1064"/>
      <c r="BR237" s="1064"/>
      <c r="BS237" s="1064"/>
      <c r="BT237" s="1064"/>
      <c r="BU237" s="1064"/>
      <c r="BV237" s="1064"/>
      <c r="BW237" s="1064"/>
      <c r="BX237" s="1064"/>
      <c r="BY237" s="1064"/>
      <c r="BZ237" s="1064"/>
      <c r="CA237" s="1064"/>
      <c r="CB237" s="1064"/>
      <c r="CC237" s="1064"/>
      <c r="CD237" s="1064"/>
      <c r="CE237" s="1064"/>
      <c r="CF237" s="1064"/>
      <c r="CG237" s="1064"/>
      <c r="CH237" s="1064"/>
      <c r="CI237" s="1064"/>
      <c r="CJ237" s="1064"/>
      <c r="CK237" s="1064"/>
      <c r="CL237" s="1064"/>
      <c r="CM237" s="1064"/>
      <c r="CN237" s="1064"/>
      <c r="CO237" s="1064"/>
      <c r="CP237" s="1064"/>
      <c r="CQ237" s="1064"/>
      <c r="CR237" s="1064"/>
      <c r="CS237" s="1064"/>
      <c r="CT237" s="1064"/>
      <c r="CU237" s="1064"/>
      <c r="CV237" s="1064"/>
      <c r="CW237" s="1064"/>
      <c r="CX237" s="1064"/>
      <c r="CY237" s="1064"/>
      <c r="CZ237" s="1064"/>
      <c r="DA237" s="1064"/>
      <c r="DB237" s="1064"/>
      <c r="DC237" s="1064"/>
      <c r="DD237" s="1064"/>
      <c r="DE237" s="1064"/>
      <c r="DF237" s="1064"/>
      <c r="DG237" s="1064"/>
      <c r="DH237" s="1064"/>
      <c r="DI237" s="1064"/>
      <c r="DJ237" s="1064"/>
      <c r="DK237" s="1064"/>
      <c r="DL237" s="1064"/>
      <c r="DM237" s="1064"/>
      <c r="DN237" s="1064"/>
      <c r="DO237" s="1064"/>
      <c r="DP237" s="1064"/>
      <c r="DQ237" s="1064"/>
      <c r="DR237" s="1064"/>
      <c r="DS237" s="1064"/>
      <c r="DT237" s="1064"/>
      <c r="DU237" s="1064"/>
      <c r="DV237" s="1064"/>
      <c r="DW237" s="1064"/>
      <c r="DX237" s="1064"/>
      <c r="DY237" s="1064"/>
      <c r="DZ237" s="1064"/>
      <c r="EA237" s="1064"/>
      <c r="EB237" s="1064"/>
      <c r="EC237" s="1064"/>
      <c r="ED237" s="1064"/>
      <c r="EE237" s="1064"/>
      <c r="EF237" s="1064"/>
      <c r="EG237" s="1064"/>
      <c r="EH237" s="1064"/>
      <c r="EI237" s="1064"/>
      <c r="EJ237" s="1064"/>
      <c r="EK237" s="1064"/>
      <c r="EL237" s="1064"/>
      <c r="EM237" s="1064"/>
      <c r="EN237" s="1064"/>
      <c r="EO237" s="1064"/>
      <c r="EP237" s="1064"/>
      <c r="EQ237" s="1064"/>
      <c r="ER237" s="1064"/>
      <c r="ES237" s="1064"/>
      <c r="ET237" s="1064"/>
      <c r="EU237" s="1064"/>
      <c r="EV237" s="1064"/>
      <c r="EW237" s="1064"/>
      <c r="EX237" s="1064"/>
      <c r="EY237" s="1064"/>
      <c r="EZ237" s="1064"/>
      <c r="FA237" s="1064"/>
      <c r="FB237" s="1064"/>
      <c r="FC237" s="1064"/>
      <c r="FD237" s="1064"/>
      <c r="FE237" s="1064"/>
      <c r="FF237" s="1064"/>
      <c r="FG237" s="1064"/>
      <c r="FH237" s="1064"/>
      <c r="FI237" s="1064"/>
      <c r="FJ237" s="1064"/>
      <c r="FK237" s="1064"/>
      <c r="FL237" s="1064"/>
      <c r="FM237" s="1064"/>
      <c r="FN237" s="1064"/>
      <c r="FO237" s="1064"/>
      <c r="FP237" s="1064"/>
      <c r="FQ237" s="1064"/>
      <c r="FR237" s="1064"/>
      <c r="FS237" s="1064"/>
      <c r="FT237" s="1064"/>
      <c r="FU237" s="1064"/>
      <c r="FV237" s="1064"/>
      <c r="FW237" s="1064"/>
      <c r="FX237" s="1064"/>
      <c r="FY237" s="1064"/>
      <c r="FZ237" s="1064"/>
      <c r="GA237" s="1064"/>
      <c r="GB237" s="1064"/>
      <c r="GC237" s="1064"/>
      <c r="GD237" s="1064"/>
      <c r="GE237" s="1064"/>
      <c r="GF237" s="1064"/>
      <c r="GG237" s="1064"/>
      <c r="GH237" s="1064"/>
      <c r="GI237" s="1064"/>
      <c r="GJ237" s="1064"/>
      <c r="GK237" s="1064"/>
      <c r="GL237" s="1064"/>
      <c r="GM237" s="1064"/>
      <c r="GN237" s="1064"/>
      <c r="GO237" s="1064"/>
      <c r="GP237" s="1064"/>
      <c r="GQ237" s="1064"/>
      <c r="GR237" s="1064"/>
      <c r="GS237" s="1064"/>
      <c r="GT237" s="1064"/>
      <c r="GU237" s="1064"/>
      <c r="GV237" s="1064"/>
      <c r="GW237" s="1064"/>
      <c r="GX237" s="1064"/>
      <c r="GY237" s="1064"/>
      <c r="GZ237" s="1064"/>
      <c r="HA237" s="1064"/>
      <c r="HB237" s="1064"/>
      <c r="HC237" s="1064"/>
      <c r="HD237" s="1064"/>
      <c r="HE237" s="1064"/>
      <c r="HF237" s="1064"/>
      <c r="HG237" s="1064"/>
      <c r="HH237" s="1064"/>
      <c r="HI237" s="1064"/>
      <c r="HJ237" s="1064"/>
      <c r="HK237" s="1064"/>
      <c r="HL237" s="1064"/>
      <c r="HM237" s="1064"/>
      <c r="HN237" s="1064"/>
      <c r="HO237" s="1064"/>
      <c r="HP237" s="1064"/>
      <c r="HQ237" s="1064"/>
      <c r="HR237" s="1064"/>
      <c r="HS237" s="1064"/>
      <c r="HT237" s="1064"/>
      <c r="HU237" s="1064"/>
      <c r="HV237" s="1064"/>
      <c r="HW237" s="1064"/>
      <c r="HX237" s="1064"/>
      <c r="HY237" s="1064"/>
      <c r="HZ237" s="1064"/>
      <c r="IA237" s="1064"/>
      <c r="IB237" s="1064"/>
      <c r="IC237" s="1064"/>
      <c r="ID237" s="1064"/>
      <c r="IE237" s="1064"/>
      <c r="IF237" s="1064"/>
      <c r="IG237" s="1064"/>
      <c r="IH237" s="1064"/>
      <c r="II237" s="1064"/>
      <c r="IJ237" s="1064"/>
      <c r="IK237" s="1064"/>
      <c r="IL237" s="1064"/>
      <c r="IM237" s="1064"/>
      <c r="IN237" s="1064"/>
      <c r="IO237" s="1064"/>
      <c r="IP237" s="1064"/>
      <c r="IQ237" s="1064"/>
      <c r="IR237" s="1064"/>
      <c r="IS237" s="1064"/>
      <c r="IT237" s="1064"/>
      <c r="IU237" s="1064"/>
      <c r="IV237" s="1064"/>
    </row>
    <row r="238" spans="1:256" ht="12.75">
      <c r="A238" s="1063"/>
      <c r="B238" s="1070"/>
      <c r="C238" s="1070"/>
      <c r="D238" s="1063"/>
      <c r="E238" s="1063"/>
      <c r="F238" s="1063"/>
      <c r="G238" s="1063"/>
      <c r="H238" s="1063"/>
      <c r="I238" s="1063"/>
      <c r="J238" s="1063"/>
      <c r="K238" s="1063"/>
      <c r="L238" s="1063"/>
      <c r="M238" s="1063"/>
      <c r="N238" s="1063"/>
      <c r="O238" s="1063"/>
      <c r="P238" s="1063"/>
      <c r="Q238" s="1063"/>
      <c r="R238" s="1063"/>
      <c r="S238" s="1063"/>
      <c r="T238" s="1063"/>
      <c r="U238" s="1063"/>
      <c r="V238" s="1063"/>
      <c r="W238" s="1063"/>
      <c r="X238" s="1063"/>
      <c r="Y238" s="1063"/>
      <c r="Z238" s="1063"/>
      <c r="AA238" s="1063"/>
      <c r="AB238" s="1063"/>
      <c r="AC238" s="1063"/>
      <c r="AD238" s="1063"/>
      <c r="AE238" s="1063"/>
      <c r="AF238" s="1063"/>
      <c r="AG238" s="1063"/>
      <c r="AH238" s="1063"/>
      <c r="AI238" s="1063"/>
      <c r="AJ238" s="1063"/>
      <c r="AK238" s="1063"/>
      <c r="AL238" s="1063"/>
      <c r="AM238" s="1063"/>
      <c r="AN238" s="1063"/>
      <c r="AO238" s="1063"/>
      <c r="AP238" s="1063"/>
      <c r="AQ238" s="1063"/>
      <c r="AR238" s="1063"/>
      <c r="AS238" s="1063"/>
      <c r="AT238" s="1063"/>
      <c r="AU238" s="1063"/>
      <c r="AV238" s="1063"/>
      <c r="AW238" s="1063"/>
      <c r="AX238" s="1063"/>
      <c r="AY238" s="1063"/>
      <c r="AZ238" s="1063"/>
      <c r="BA238" s="1072"/>
      <c r="BB238" s="1063"/>
      <c r="BC238" s="1063"/>
      <c r="BD238" s="1063"/>
      <c r="BE238" s="1063"/>
      <c r="BF238" s="1063"/>
      <c r="BG238" s="1063"/>
      <c r="BH238" s="1072"/>
      <c r="BI238" s="1063"/>
      <c r="BJ238" s="1072"/>
      <c r="BK238" s="1063"/>
      <c r="BL238" s="1063"/>
      <c r="BM238" s="1063"/>
      <c r="BN238" s="1063"/>
      <c r="BO238" s="1063"/>
      <c r="BP238" s="1064"/>
      <c r="BQ238" s="1064"/>
      <c r="BR238" s="1064"/>
      <c r="BS238" s="1064"/>
      <c r="BT238" s="1064"/>
      <c r="BU238" s="1064"/>
      <c r="BV238" s="1064"/>
      <c r="BW238" s="1064"/>
      <c r="BX238" s="1064"/>
      <c r="BY238" s="1064"/>
      <c r="BZ238" s="1064"/>
      <c r="CA238" s="1064"/>
      <c r="CB238" s="1064"/>
      <c r="CC238" s="1064"/>
      <c r="CD238" s="1064"/>
      <c r="CE238" s="1064"/>
      <c r="CF238" s="1064"/>
      <c r="CG238" s="1064"/>
      <c r="CH238" s="1064"/>
      <c r="CI238" s="1064"/>
      <c r="CJ238" s="1064"/>
      <c r="CK238" s="1064"/>
      <c r="CL238" s="1064"/>
      <c r="CM238" s="1064"/>
      <c r="CN238" s="1064"/>
      <c r="CO238" s="1064"/>
      <c r="CP238" s="1064"/>
      <c r="CQ238" s="1064"/>
      <c r="CR238" s="1064"/>
      <c r="CS238" s="1064"/>
      <c r="CT238" s="1064"/>
      <c r="CU238" s="1064"/>
      <c r="CV238" s="1064"/>
      <c r="CW238" s="1064"/>
      <c r="CX238" s="1064"/>
      <c r="CY238" s="1064"/>
      <c r="CZ238" s="1064"/>
      <c r="DA238" s="1064"/>
      <c r="DB238" s="1064"/>
      <c r="DC238" s="1064"/>
      <c r="DD238" s="1064"/>
      <c r="DE238" s="1064"/>
      <c r="DF238" s="1064"/>
      <c r="DG238" s="1064"/>
      <c r="DH238" s="1064"/>
      <c r="DI238" s="1064"/>
      <c r="DJ238" s="1064"/>
      <c r="DK238" s="1064"/>
      <c r="DL238" s="1064"/>
      <c r="DM238" s="1064"/>
      <c r="DN238" s="1064"/>
      <c r="DO238" s="1064"/>
      <c r="DP238" s="1064"/>
      <c r="DQ238" s="1064"/>
      <c r="DR238" s="1064"/>
      <c r="DS238" s="1064"/>
      <c r="DT238" s="1064"/>
      <c r="DU238" s="1064"/>
      <c r="DV238" s="1064"/>
      <c r="DW238" s="1064"/>
      <c r="DX238" s="1064"/>
      <c r="DY238" s="1064"/>
      <c r="DZ238" s="1064"/>
      <c r="EA238" s="1064"/>
      <c r="EB238" s="1064"/>
      <c r="EC238" s="1064"/>
      <c r="ED238" s="1064"/>
      <c r="EE238" s="1064"/>
      <c r="EF238" s="1064"/>
      <c r="EG238" s="1064"/>
      <c r="EH238" s="1064"/>
      <c r="EI238" s="1064"/>
      <c r="EJ238" s="1064"/>
      <c r="EK238" s="1064"/>
      <c r="EL238" s="1064"/>
      <c r="EM238" s="1064"/>
      <c r="EN238" s="1064"/>
      <c r="EO238" s="1064"/>
      <c r="EP238" s="1064"/>
      <c r="EQ238" s="1064"/>
      <c r="ER238" s="1064"/>
      <c r="ES238" s="1064"/>
      <c r="ET238" s="1064"/>
      <c r="EU238" s="1064"/>
      <c r="EV238" s="1064"/>
      <c r="EW238" s="1064"/>
      <c r="EX238" s="1064"/>
      <c r="EY238" s="1064"/>
      <c r="EZ238" s="1064"/>
      <c r="FA238" s="1064"/>
      <c r="FB238" s="1064"/>
      <c r="FC238" s="1064"/>
      <c r="FD238" s="1064"/>
      <c r="FE238" s="1064"/>
      <c r="FF238" s="1064"/>
      <c r="FG238" s="1064"/>
      <c r="FH238" s="1064"/>
      <c r="FI238" s="1064"/>
      <c r="FJ238" s="1064"/>
      <c r="FK238" s="1064"/>
      <c r="FL238" s="1064"/>
      <c r="FM238" s="1064"/>
      <c r="FN238" s="1064"/>
      <c r="FO238" s="1064"/>
      <c r="FP238" s="1064"/>
      <c r="FQ238" s="1064"/>
      <c r="FR238" s="1064"/>
      <c r="FS238" s="1064"/>
      <c r="FT238" s="1064"/>
      <c r="FU238" s="1064"/>
      <c r="FV238" s="1064"/>
      <c r="FW238" s="1064"/>
      <c r="FX238" s="1064"/>
      <c r="FY238" s="1064"/>
      <c r="FZ238" s="1064"/>
      <c r="GA238" s="1064"/>
      <c r="GB238" s="1064"/>
      <c r="GC238" s="1064"/>
      <c r="GD238" s="1064"/>
      <c r="GE238" s="1064"/>
      <c r="GF238" s="1064"/>
      <c r="GG238" s="1064"/>
      <c r="GH238" s="1064"/>
      <c r="GI238" s="1064"/>
      <c r="GJ238" s="1064"/>
      <c r="GK238" s="1064"/>
      <c r="GL238" s="1064"/>
      <c r="GM238" s="1064"/>
      <c r="GN238" s="1064"/>
      <c r="GO238" s="1064"/>
      <c r="GP238" s="1064"/>
      <c r="GQ238" s="1064"/>
      <c r="GR238" s="1064"/>
      <c r="GS238" s="1064"/>
      <c r="GT238" s="1064"/>
      <c r="GU238" s="1064"/>
      <c r="GV238" s="1064"/>
      <c r="GW238" s="1064"/>
      <c r="GX238" s="1064"/>
      <c r="GY238" s="1064"/>
      <c r="GZ238" s="1064"/>
      <c r="HA238" s="1064"/>
      <c r="HB238" s="1064"/>
      <c r="HC238" s="1064"/>
      <c r="HD238" s="1064"/>
      <c r="HE238" s="1064"/>
      <c r="HF238" s="1064"/>
      <c r="HG238" s="1064"/>
      <c r="HH238" s="1064"/>
      <c r="HI238" s="1064"/>
      <c r="HJ238" s="1064"/>
      <c r="HK238" s="1064"/>
      <c r="HL238" s="1064"/>
      <c r="HM238" s="1064"/>
      <c r="HN238" s="1064"/>
      <c r="HO238" s="1064"/>
      <c r="HP238" s="1064"/>
      <c r="HQ238" s="1064"/>
      <c r="HR238" s="1064"/>
      <c r="HS238" s="1064"/>
      <c r="HT238" s="1064"/>
      <c r="HU238" s="1064"/>
      <c r="HV238" s="1064"/>
      <c r="HW238" s="1064"/>
      <c r="HX238" s="1064"/>
      <c r="HY238" s="1064"/>
      <c r="HZ238" s="1064"/>
      <c r="IA238" s="1064"/>
      <c r="IB238" s="1064"/>
      <c r="IC238" s="1064"/>
      <c r="ID238" s="1064"/>
      <c r="IE238" s="1064"/>
      <c r="IF238" s="1064"/>
      <c r="IG238" s="1064"/>
      <c r="IH238" s="1064"/>
      <c r="II238" s="1064"/>
      <c r="IJ238" s="1064"/>
      <c r="IK238" s="1064"/>
      <c r="IL238" s="1064"/>
      <c r="IM238" s="1064"/>
      <c r="IN238" s="1064"/>
      <c r="IO238" s="1064"/>
      <c r="IP238" s="1064"/>
      <c r="IQ238" s="1064"/>
      <c r="IR238" s="1064"/>
      <c r="IS238" s="1064"/>
      <c r="IT238" s="1064"/>
      <c r="IU238" s="1064"/>
      <c r="IV238" s="1064"/>
    </row>
    <row r="239" spans="1:67" ht="12.75">
      <c r="A239" s="1063"/>
      <c r="B239" s="1070"/>
      <c r="C239" s="1070"/>
      <c r="D239" s="1063"/>
      <c r="E239" s="1063"/>
      <c r="F239" s="1063"/>
      <c r="G239" s="1063"/>
      <c r="H239" s="1063"/>
      <c r="I239" s="1063"/>
      <c r="J239" s="1063"/>
      <c r="K239" s="1063"/>
      <c r="L239" s="1063"/>
      <c r="M239" s="1063"/>
      <c r="N239" s="1063"/>
      <c r="O239" s="1063"/>
      <c r="P239" s="1063"/>
      <c r="Q239" s="1063"/>
      <c r="R239" s="1063"/>
      <c r="S239" s="1063"/>
      <c r="T239" s="1063"/>
      <c r="U239" s="1063"/>
      <c r="V239" s="1063"/>
      <c r="W239" s="1063"/>
      <c r="X239" s="1063"/>
      <c r="Y239" s="1063"/>
      <c r="Z239" s="1063"/>
      <c r="AA239" s="1063"/>
      <c r="AB239" s="1063"/>
      <c r="AC239" s="1063"/>
      <c r="AD239" s="1063"/>
      <c r="AE239" s="1063"/>
      <c r="AF239" s="1063"/>
      <c r="AG239" s="1063"/>
      <c r="AH239" s="1063"/>
      <c r="AI239" s="1063"/>
      <c r="AJ239" s="1063"/>
      <c r="AK239" s="1063"/>
      <c r="AL239" s="1063"/>
      <c r="AM239" s="1063"/>
      <c r="AN239" s="1063"/>
      <c r="AO239" s="1063"/>
      <c r="AP239" s="1063"/>
      <c r="AQ239" s="1063"/>
      <c r="AR239" s="1063"/>
      <c r="AS239" s="1063"/>
      <c r="AT239" s="1063"/>
      <c r="AU239" s="1063"/>
      <c r="AV239" s="1063"/>
      <c r="AW239" s="1063"/>
      <c r="AX239" s="1063"/>
      <c r="AY239" s="1063"/>
      <c r="AZ239" s="1063"/>
      <c r="BA239" s="1063"/>
      <c r="BB239" s="1063"/>
      <c r="BC239" s="1063"/>
      <c r="BD239" s="1063"/>
      <c r="BE239" s="1063"/>
      <c r="BF239" s="1063"/>
      <c r="BG239" s="1063"/>
      <c r="BH239" s="1063"/>
      <c r="BI239" s="1063"/>
      <c r="BJ239" s="1063"/>
      <c r="BK239" s="1063"/>
      <c r="BL239" s="1063"/>
      <c r="BM239" s="1063"/>
      <c r="BN239" s="1063"/>
      <c r="BO239" s="1063"/>
    </row>
    <row r="240" spans="1:67" ht="12.75">
      <c r="A240" s="1063"/>
      <c r="B240" s="1070"/>
      <c r="C240" s="1070"/>
      <c r="D240" s="1063"/>
      <c r="E240" s="1063"/>
      <c r="F240" s="1063"/>
      <c r="G240" s="1063"/>
      <c r="H240" s="1063"/>
      <c r="I240" s="1063"/>
      <c r="J240" s="1063"/>
      <c r="K240" s="1063"/>
      <c r="L240" s="1063"/>
      <c r="M240" s="1063"/>
      <c r="N240" s="1063"/>
      <c r="O240" s="1063"/>
      <c r="P240" s="1063"/>
      <c r="Q240" s="1063"/>
      <c r="R240" s="1063"/>
      <c r="S240" s="1063"/>
      <c r="T240" s="1063"/>
      <c r="U240" s="1063"/>
      <c r="V240" s="1063"/>
      <c r="W240" s="1063"/>
      <c r="X240" s="1063"/>
      <c r="Y240" s="1063"/>
      <c r="Z240" s="1063"/>
      <c r="AA240" s="1063"/>
      <c r="AB240" s="1063"/>
      <c r="AC240" s="1063"/>
      <c r="AD240" s="1063"/>
      <c r="AE240" s="1063"/>
      <c r="AF240" s="1063"/>
      <c r="AG240" s="1063"/>
      <c r="AH240" s="1063"/>
      <c r="AI240" s="1063"/>
      <c r="AJ240" s="1063"/>
      <c r="AK240" s="1063"/>
      <c r="AL240" s="1063"/>
      <c r="AM240" s="1063"/>
      <c r="AN240" s="1063"/>
      <c r="AO240" s="1063"/>
      <c r="AP240" s="1063"/>
      <c r="AQ240" s="1063"/>
      <c r="AR240" s="1063"/>
      <c r="AS240" s="1063"/>
      <c r="AT240" s="1063"/>
      <c r="AU240" s="1063"/>
      <c r="AV240" s="1063"/>
      <c r="AW240" s="1063"/>
      <c r="AX240" s="1063"/>
      <c r="AY240" s="1063"/>
      <c r="AZ240" s="1063"/>
      <c r="BA240" s="1063"/>
      <c r="BB240" s="1063"/>
      <c r="BC240" s="1063"/>
      <c r="BD240" s="1063"/>
      <c r="BE240" s="1063"/>
      <c r="BF240" s="1063"/>
      <c r="BG240" s="1063"/>
      <c r="BH240" s="1063"/>
      <c r="BI240" s="1063"/>
      <c r="BJ240" s="1063"/>
      <c r="BK240" s="1063"/>
      <c r="BL240" s="1063"/>
      <c r="BM240" s="1063"/>
      <c r="BN240" s="1063"/>
      <c r="BO240" s="1063"/>
    </row>
    <row r="241" spans="1:67" ht="12.75">
      <c r="A241" s="1074"/>
      <c r="B241" s="1070"/>
      <c r="C241" s="1070"/>
      <c r="D241" s="1063"/>
      <c r="E241" s="1063"/>
      <c r="F241" s="1063"/>
      <c r="G241" s="1063"/>
      <c r="H241" s="1063"/>
      <c r="I241" s="1063"/>
      <c r="J241" s="1063"/>
      <c r="K241" s="1063"/>
      <c r="L241" s="1063"/>
      <c r="M241" s="1063"/>
      <c r="N241" s="1063"/>
      <c r="O241" s="1063"/>
      <c r="P241" s="1063"/>
      <c r="Q241" s="1063"/>
      <c r="R241" s="1063"/>
      <c r="S241" s="1063"/>
      <c r="T241" s="1063"/>
      <c r="U241" s="1063"/>
      <c r="V241" s="1063"/>
      <c r="W241" s="1063"/>
      <c r="X241" s="1063"/>
      <c r="Y241" s="1063"/>
      <c r="Z241" s="1063"/>
      <c r="AA241" s="1063"/>
      <c r="AB241" s="1063"/>
      <c r="AC241" s="1063"/>
      <c r="AD241" s="1063"/>
      <c r="AE241" s="1063"/>
      <c r="AF241" s="1063"/>
      <c r="AG241" s="1063"/>
      <c r="AH241" s="1063"/>
      <c r="AI241" s="1063"/>
      <c r="AJ241" s="1063"/>
      <c r="AK241" s="1063"/>
      <c r="AL241" s="1063"/>
      <c r="AM241" s="1063"/>
      <c r="AN241" s="1063"/>
      <c r="AO241" s="1063"/>
      <c r="AP241" s="1063"/>
      <c r="AQ241" s="1063"/>
      <c r="AR241" s="858"/>
      <c r="AS241" s="858"/>
      <c r="AT241" s="858"/>
      <c r="AU241" s="858"/>
      <c r="AV241" s="858"/>
      <c r="AW241" s="858"/>
      <c r="AX241" s="858"/>
      <c r="AY241" s="1063"/>
      <c r="AZ241" s="1063"/>
      <c r="BA241" s="1063"/>
      <c r="BB241" s="1063"/>
      <c r="BC241" s="1063"/>
      <c r="BD241" s="1063"/>
      <c r="BE241" s="1063"/>
      <c r="BF241" s="1063"/>
      <c r="BG241" s="1063"/>
      <c r="BH241" s="1063"/>
      <c r="BI241" s="1063"/>
      <c r="BJ241" s="1063"/>
      <c r="BK241" s="1063"/>
      <c r="BL241" s="1063"/>
      <c r="BM241" s="1063"/>
      <c r="BN241" s="1063"/>
      <c r="BO241" s="1063"/>
    </row>
    <row r="242" spans="1:67" ht="12.75">
      <c r="A242" s="1063"/>
      <c r="B242" s="1070"/>
      <c r="C242" s="1070"/>
      <c r="D242" s="1063"/>
      <c r="E242" s="1063"/>
      <c r="F242" s="1063"/>
      <c r="G242" s="1063"/>
      <c r="H242" s="1075"/>
      <c r="I242" s="1075"/>
      <c r="J242" s="1075"/>
      <c r="K242" s="1075"/>
      <c r="L242" s="1075"/>
      <c r="M242" s="1075"/>
      <c r="N242" s="1075"/>
      <c r="O242" s="1075"/>
      <c r="P242" s="1075"/>
      <c r="Q242" s="1075"/>
      <c r="R242" s="1075"/>
      <c r="S242" s="1075"/>
      <c r="T242" s="1075"/>
      <c r="U242" s="1075"/>
      <c r="V242" s="1075"/>
      <c r="W242" s="1075"/>
      <c r="X242" s="1075"/>
      <c r="Y242" s="1075"/>
      <c r="Z242" s="1075"/>
      <c r="AA242" s="1075"/>
      <c r="AB242" s="1075"/>
      <c r="AC242" s="1075"/>
      <c r="AD242" s="1075"/>
      <c r="AE242" s="1075"/>
      <c r="AF242" s="1075"/>
      <c r="AG242" s="1075"/>
      <c r="AH242" s="1075"/>
      <c r="AI242" s="1075"/>
      <c r="AJ242" s="1075"/>
      <c r="AK242" s="1075"/>
      <c r="AL242" s="1075"/>
      <c r="AM242" s="1075"/>
      <c r="AN242" s="1075"/>
      <c r="AO242" s="1075"/>
      <c r="AP242" s="1075"/>
      <c r="AQ242" s="1075"/>
      <c r="AR242" s="1075"/>
      <c r="AS242" s="1063"/>
      <c r="AT242" s="1063"/>
      <c r="AU242" s="1075"/>
      <c r="AV242" s="1063"/>
      <c r="AW242" s="1063"/>
      <c r="AX242" s="1075"/>
      <c r="AY242" s="1063"/>
      <c r="AZ242" s="1063"/>
      <c r="BA242" s="1063"/>
      <c r="BB242" s="1063"/>
      <c r="BC242" s="1063"/>
      <c r="BD242" s="1063"/>
      <c r="BE242" s="1063"/>
      <c r="BF242" s="1063"/>
      <c r="BG242" s="1063"/>
      <c r="BH242" s="1063"/>
      <c r="BI242" s="1063"/>
      <c r="BJ242" s="1063"/>
      <c r="BK242" s="1063"/>
      <c r="BL242" s="1063"/>
      <c r="BM242" s="1063"/>
      <c r="BN242" s="1063"/>
      <c r="BO242" s="1063"/>
    </row>
    <row r="243" spans="1:67" ht="12.75">
      <c r="A243" s="1063"/>
      <c r="B243" s="1070"/>
      <c r="C243" s="1070"/>
      <c r="D243" s="1063"/>
      <c r="E243" s="1063"/>
      <c r="F243" s="1063"/>
      <c r="G243" s="1063"/>
      <c r="H243" s="1075"/>
      <c r="I243" s="1075"/>
      <c r="J243" s="1075"/>
      <c r="K243" s="1075"/>
      <c r="L243" s="1075"/>
      <c r="M243" s="1075"/>
      <c r="N243" s="1075"/>
      <c r="O243" s="1075"/>
      <c r="P243" s="1075"/>
      <c r="Q243" s="1075"/>
      <c r="R243" s="1075"/>
      <c r="S243" s="1075"/>
      <c r="T243" s="1075"/>
      <c r="U243" s="1075"/>
      <c r="V243" s="1075"/>
      <c r="W243" s="1075"/>
      <c r="X243" s="1075"/>
      <c r="Y243" s="1075"/>
      <c r="Z243" s="1075"/>
      <c r="AA243" s="1075"/>
      <c r="AB243" s="1075"/>
      <c r="AC243" s="1075"/>
      <c r="AD243" s="1075"/>
      <c r="AE243" s="1075"/>
      <c r="AF243" s="1075"/>
      <c r="AG243" s="1075"/>
      <c r="AH243" s="1075"/>
      <c r="AI243" s="1075"/>
      <c r="AJ243" s="1075"/>
      <c r="AK243" s="1075"/>
      <c r="AL243" s="1075"/>
      <c r="AM243" s="1075"/>
      <c r="AN243" s="1075"/>
      <c r="AO243" s="1075"/>
      <c r="AP243" s="1075"/>
      <c r="AQ243" s="1075"/>
      <c r="AR243" s="1075"/>
      <c r="AS243" s="1063"/>
      <c r="AT243" s="1063"/>
      <c r="AU243" s="1075"/>
      <c r="AV243" s="1063"/>
      <c r="AW243" s="1063"/>
      <c r="AX243" s="1075"/>
      <c r="AY243" s="1063"/>
      <c r="AZ243" s="1063"/>
      <c r="BA243" s="1063"/>
      <c r="BB243" s="1063"/>
      <c r="BC243" s="1063"/>
      <c r="BD243" s="1063"/>
      <c r="BE243" s="1063"/>
      <c r="BF243" s="1063"/>
      <c r="BG243" s="1063"/>
      <c r="BH243" s="1063"/>
      <c r="BI243" s="1063"/>
      <c r="BJ243" s="1063"/>
      <c r="BK243" s="1063"/>
      <c r="BL243" s="1063"/>
      <c r="BM243" s="1063"/>
      <c r="BN243" s="1063"/>
      <c r="BO243" s="1063"/>
    </row>
    <row r="244" spans="1:67" ht="12.75">
      <c r="A244" s="1063"/>
      <c r="B244" s="1070"/>
      <c r="C244" s="1070"/>
      <c r="D244" s="1063"/>
      <c r="E244" s="1063"/>
      <c r="F244" s="1063"/>
      <c r="G244" s="1063"/>
      <c r="H244" s="1063"/>
      <c r="I244" s="1063"/>
      <c r="J244" s="1063"/>
      <c r="K244" s="1063"/>
      <c r="L244" s="1063"/>
      <c r="M244" s="1063"/>
      <c r="N244" s="1063"/>
      <c r="O244" s="1063"/>
      <c r="P244" s="1063"/>
      <c r="Q244" s="1063"/>
      <c r="R244" s="1063"/>
      <c r="S244" s="1063"/>
      <c r="T244" s="1063"/>
      <c r="U244" s="1063"/>
      <c r="V244" s="1063"/>
      <c r="W244" s="1063"/>
      <c r="X244" s="1063"/>
      <c r="Y244" s="1063"/>
      <c r="Z244" s="1063"/>
      <c r="AA244" s="1063"/>
      <c r="AB244" s="1063"/>
      <c r="AC244" s="1063"/>
      <c r="AD244" s="1063"/>
      <c r="AE244" s="1063"/>
      <c r="AF244" s="1063"/>
      <c r="AG244" s="1063"/>
      <c r="AH244" s="1063"/>
      <c r="AI244" s="1063"/>
      <c r="AJ244" s="1063"/>
      <c r="AK244" s="1063"/>
      <c r="AL244" s="1063"/>
      <c r="AM244" s="1063"/>
      <c r="AN244" s="1063"/>
      <c r="AO244" s="1063"/>
      <c r="AP244" s="1063"/>
      <c r="AQ244" s="1063"/>
      <c r="AR244" s="1063"/>
      <c r="AS244" s="1063"/>
      <c r="AT244" s="1063"/>
      <c r="AU244" s="1063"/>
      <c r="AV244" s="1063"/>
      <c r="AW244" s="1063"/>
      <c r="AX244" s="1063"/>
      <c r="AY244" s="1063"/>
      <c r="AZ244" s="1063"/>
      <c r="BA244" s="1063"/>
      <c r="BB244" s="1063"/>
      <c r="BC244" s="1063"/>
      <c r="BD244" s="1063"/>
      <c r="BE244" s="1063"/>
      <c r="BF244" s="1063"/>
      <c r="BG244" s="1063"/>
      <c r="BH244" s="1063"/>
      <c r="BI244" s="1063"/>
      <c r="BJ244" s="1063"/>
      <c r="BK244" s="1063"/>
      <c r="BL244" s="1063"/>
      <c r="BM244" s="1063"/>
      <c r="BN244" s="1063"/>
      <c r="BO244" s="1063"/>
    </row>
    <row r="245" spans="1:67" ht="12.75">
      <c r="A245" s="1063"/>
      <c r="B245" s="1070"/>
      <c r="C245" s="1070"/>
      <c r="D245" s="1063"/>
      <c r="E245" s="1063"/>
      <c r="F245" s="1063"/>
      <c r="G245" s="1063"/>
      <c r="H245" s="1063"/>
      <c r="I245" s="1063"/>
      <c r="J245" s="1063"/>
      <c r="K245" s="1063"/>
      <c r="L245" s="1063"/>
      <c r="M245" s="1063"/>
      <c r="N245" s="1063"/>
      <c r="O245" s="1063"/>
      <c r="P245" s="1063"/>
      <c r="Q245" s="1063"/>
      <c r="R245" s="1063"/>
      <c r="S245" s="1063"/>
      <c r="T245" s="1063"/>
      <c r="U245" s="1063"/>
      <c r="V245" s="1063"/>
      <c r="W245" s="1063"/>
      <c r="X245" s="1063"/>
      <c r="Y245" s="1063"/>
      <c r="Z245" s="1076"/>
      <c r="AA245" s="1063"/>
      <c r="AB245" s="1063"/>
      <c r="AC245" s="1076"/>
      <c r="AD245" s="1063"/>
      <c r="AE245" s="1063"/>
      <c r="AF245" s="1076"/>
      <c r="AG245" s="1063"/>
      <c r="AH245" s="1063"/>
      <c r="AI245" s="1076"/>
      <c r="AJ245" s="1063"/>
      <c r="AK245" s="1063"/>
      <c r="AL245" s="1076"/>
      <c r="AM245" s="1063"/>
      <c r="AN245" s="1063"/>
      <c r="AO245" s="1076"/>
      <c r="AP245" s="1063"/>
      <c r="AQ245" s="1063"/>
      <c r="AR245" s="1063"/>
      <c r="AS245" s="1063"/>
      <c r="AT245" s="1063"/>
      <c r="AU245" s="1063"/>
      <c r="AV245" s="1063"/>
      <c r="AW245" s="1063"/>
      <c r="AX245" s="1063"/>
      <c r="AY245" s="1063"/>
      <c r="AZ245" s="1063"/>
      <c r="BA245" s="1063"/>
      <c r="BB245" s="1063"/>
      <c r="BC245" s="1063"/>
      <c r="BD245" s="1063"/>
      <c r="BE245" s="1063"/>
      <c r="BF245" s="1063"/>
      <c r="BG245" s="1063"/>
      <c r="BH245" s="1063"/>
      <c r="BI245" s="1063"/>
      <c r="BJ245" s="1063"/>
      <c r="BK245" s="1063"/>
      <c r="BL245" s="1063"/>
      <c r="BM245" s="1063"/>
      <c r="BN245" s="1063"/>
      <c r="BO245" s="1063"/>
    </row>
    <row r="246" spans="1:67" ht="12.75">
      <c r="A246" s="1063"/>
      <c r="B246" s="1070"/>
      <c r="C246" s="1070"/>
      <c r="D246" s="1063"/>
      <c r="E246" s="1063"/>
      <c r="F246" s="1063"/>
      <c r="G246" s="1063"/>
      <c r="H246" s="1072"/>
      <c r="I246" s="1072"/>
      <c r="J246" s="1072"/>
      <c r="K246" s="1072"/>
      <c r="L246" s="1072"/>
      <c r="M246" s="1072"/>
      <c r="N246" s="1072"/>
      <c r="O246" s="1072"/>
      <c r="P246" s="1072"/>
      <c r="Q246" s="1072"/>
      <c r="R246" s="1072"/>
      <c r="S246" s="1072"/>
      <c r="T246" s="1072"/>
      <c r="U246" s="1072"/>
      <c r="V246" s="1072"/>
      <c r="W246" s="1072"/>
      <c r="X246" s="1072"/>
      <c r="Y246" s="1072"/>
      <c r="Z246" s="1072"/>
      <c r="AA246" s="1072"/>
      <c r="AB246" s="1072"/>
      <c r="AC246" s="1072"/>
      <c r="AD246" s="1072"/>
      <c r="AE246" s="1072"/>
      <c r="AF246" s="1072"/>
      <c r="AG246" s="1072"/>
      <c r="AH246" s="1072"/>
      <c r="AI246" s="1072"/>
      <c r="AJ246" s="1072"/>
      <c r="AK246" s="1072"/>
      <c r="AL246" s="1072"/>
      <c r="AM246" s="1072"/>
      <c r="AN246" s="1072"/>
      <c r="AO246" s="1072"/>
      <c r="AP246" s="1072"/>
      <c r="AQ246" s="1072"/>
      <c r="AR246" s="1072"/>
      <c r="AS246" s="1072"/>
      <c r="AT246" s="1072"/>
      <c r="AU246" s="1072"/>
      <c r="AV246" s="1063"/>
      <c r="AW246" s="1063"/>
      <c r="AX246" s="1072"/>
      <c r="AY246" s="1063"/>
      <c r="AZ246" s="1063"/>
      <c r="BA246" s="1063"/>
      <c r="BB246" s="1063"/>
      <c r="BC246" s="1063"/>
      <c r="BD246" s="1063"/>
      <c r="BE246" s="1063"/>
      <c r="BF246" s="1063"/>
      <c r="BG246" s="1063"/>
      <c r="BH246" s="1063"/>
      <c r="BI246" s="1063"/>
      <c r="BJ246" s="1063"/>
      <c r="BK246" s="1063"/>
      <c r="BL246" s="1063"/>
      <c r="BM246" s="1063"/>
      <c r="BN246" s="1063"/>
      <c r="BO246" s="1063"/>
    </row>
    <row r="247" spans="1:67" ht="12.75">
      <c r="A247" s="1063"/>
      <c r="B247" s="1070"/>
      <c r="C247" s="1070"/>
      <c r="D247" s="1063"/>
      <c r="E247" s="1063"/>
      <c r="F247" s="1063"/>
      <c r="G247" s="1063"/>
      <c r="H247" s="1072"/>
      <c r="I247" s="1072"/>
      <c r="J247" s="1072"/>
      <c r="K247" s="1072"/>
      <c r="L247" s="1072"/>
      <c r="M247" s="1072"/>
      <c r="N247" s="1072"/>
      <c r="O247" s="1072"/>
      <c r="P247" s="1072"/>
      <c r="Q247" s="1072"/>
      <c r="R247" s="1072"/>
      <c r="S247" s="1072"/>
      <c r="T247" s="1072"/>
      <c r="U247" s="1072"/>
      <c r="V247" s="1072"/>
      <c r="W247" s="1072"/>
      <c r="X247" s="1072"/>
      <c r="Y247" s="1072"/>
      <c r="Z247" s="1072"/>
      <c r="AA247" s="1072"/>
      <c r="AB247" s="1072"/>
      <c r="AC247" s="1072"/>
      <c r="AD247" s="1072"/>
      <c r="AE247" s="1072"/>
      <c r="AF247" s="1072"/>
      <c r="AG247" s="1072"/>
      <c r="AH247" s="1072"/>
      <c r="AI247" s="1072"/>
      <c r="AJ247" s="1072"/>
      <c r="AK247" s="1072"/>
      <c r="AL247" s="1072"/>
      <c r="AM247" s="1072"/>
      <c r="AN247" s="1072"/>
      <c r="AO247" s="1072"/>
      <c r="AP247" s="1072"/>
      <c r="AQ247" s="1072"/>
      <c r="AR247" s="1072"/>
      <c r="AS247" s="1063"/>
      <c r="AT247" s="1063"/>
      <c r="AU247" s="1072"/>
      <c r="AV247" s="1063"/>
      <c r="AW247" s="1063"/>
      <c r="AX247" s="1072"/>
      <c r="AY247" s="1063"/>
      <c r="AZ247" s="1063"/>
      <c r="BA247" s="1063"/>
      <c r="BB247" s="1063"/>
      <c r="BC247" s="1063"/>
      <c r="BD247" s="1063"/>
      <c r="BE247" s="1063"/>
      <c r="BF247" s="1063"/>
      <c r="BG247" s="1063"/>
      <c r="BH247" s="1063"/>
      <c r="BI247" s="1063"/>
      <c r="BJ247" s="1063"/>
      <c r="BK247" s="1063"/>
      <c r="BL247" s="1063"/>
      <c r="BM247" s="1063"/>
      <c r="BN247" s="1063"/>
      <c r="BO247" s="1063"/>
    </row>
    <row r="248" spans="1:67" ht="12.75">
      <c r="A248" s="1066"/>
      <c r="B248" s="1077"/>
      <c r="C248" s="1077"/>
      <c r="D248" s="1066"/>
      <c r="E248" s="1066"/>
      <c r="F248" s="1066"/>
      <c r="G248" s="1066"/>
      <c r="H248" s="1078"/>
      <c r="I248" s="1078"/>
      <c r="J248" s="1078"/>
      <c r="K248" s="1078"/>
      <c r="L248" s="1078"/>
      <c r="M248" s="1078"/>
      <c r="N248" s="1078"/>
      <c r="O248" s="1078"/>
      <c r="P248" s="1078"/>
      <c r="Q248" s="1078"/>
      <c r="R248" s="1078"/>
      <c r="S248" s="1078"/>
      <c r="T248" s="1078"/>
      <c r="U248" s="1078"/>
      <c r="V248" s="1078"/>
      <c r="W248" s="1078"/>
      <c r="X248" s="1078"/>
      <c r="Y248" s="1078"/>
      <c r="Z248" s="1078"/>
      <c r="AA248" s="1078"/>
      <c r="AB248" s="1078"/>
      <c r="AC248" s="1078"/>
      <c r="AD248" s="1078"/>
      <c r="AE248" s="1078"/>
      <c r="AF248" s="1078"/>
      <c r="AG248" s="1078"/>
      <c r="AH248" s="1078"/>
      <c r="AI248" s="1078"/>
      <c r="AJ248" s="1078"/>
      <c r="AK248" s="1078"/>
      <c r="AL248" s="1078"/>
      <c r="AM248" s="1078"/>
      <c r="AN248" s="1078"/>
      <c r="AO248" s="1078"/>
      <c r="AP248" s="1078"/>
      <c r="AQ248" s="1078"/>
      <c r="AR248" s="1078"/>
      <c r="AS248" s="1066"/>
      <c r="AT248" s="1066"/>
      <c r="AU248" s="1078"/>
      <c r="AV248" s="1066"/>
      <c r="AW248" s="1066"/>
      <c r="AX248" s="1078"/>
      <c r="AY248" s="1063"/>
      <c r="AZ248" s="1063"/>
      <c r="BA248" s="1063"/>
      <c r="BB248" s="1063"/>
      <c r="BC248" s="1063"/>
      <c r="BD248" s="1063"/>
      <c r="BE248" s="1063"/>
      <c r="BF248" s="1063"/>
      <c r="BG248" s="1063"/>
      <c r="BH248" s="1063"/>
      <c r="BI248" s="1063"/>
      <c r="BJ248" s="1063"/>
      <c r="BK248" s="1063"/>
      <c r="BL248" s="1063"/>
      <c r="BM248" s="1063"/>
      <c r="BN248" s="1063"/>
      <c r="BO248" s="1063"/>
    </row>
    <row r="249" spans="1:71" ht="12.75">
      <c r="A249" s="1063"/>
      <c r="B249" s="1070"/>
      <c r="C249" s="1070"/>
      <c r="D249" s="1063"/>
      <c r="E249" s="1063"/>
      <c r="F249" s="1063"/>
      <c r="G249" s="1063"/>
      <c r="H249" s="1063"/>
      <c r="I249" s="1063"/>
      <c r="J249" s="1063"/>
      <c r="K249" s="1063"/>
      <c r="L249" s="1063"/>
      <c r="M249" s="1063"/>
      <c r="N249" s="1063"/>
      <c r="O249" s="1063"/>
      <c r="P249" s="1063"/>
      <c r="Q249" s="1063"/>
      <c r="R249" s="1063"/>
      <c r="S249" s="1063"/>
      <c r="T249" s="1063"/>
      <c r="U249" s="1063"/>
      <c r="V249" s="1063"/>
      <c r="W249" s="1063"/>
      <c r="X249" s="1063"/>
      <c r="Y249" s="1063"/>
      <c r="Z249" s="1063"/>
      <c r="AA249" s="1063"/>
      <c r="AB249" s="1063"/>
      <c r="AC249" s="1063"/>
      <c r="AD249" s="1063"/>
      <c r="AE249" s="1063"/>
      <c r="AF249" s="1063"/>
      <c r="AG249" s="1063"/>
      <c r="AH249" s="1063"/>
      <c r="AI249" s="1063"/>
      <c r="AJ249" s="1063"/>
      <c r="AK249" s="1063"/>
      <c r="AL249" s="1063"/>
      <c r="AM249" s="1063"/>
      <c r="AN249" s="1063"/>
      <c r="AO249" s="1063"/>
      <c r="AP249" s="1063"/>
      <c r="AQ249" s="1063"/>
      <c r="AR249" s="1063"/>
      <c r="AS249" s="1063"/>
      <c r="AT249" s="1063"/>
      <c r="AU249" s="1063"/>
      <c r="AV249" s="1063"/>
      <c r="AW249" s="1063"/>
      <c r="AX249" s="1063"/>
      <c r="AY249" s="1063"/>
      <c r="AZ249" s="1063"/>
      <c r="BA249" s="1063"/>
      <c r="BB249" s="1063"/>
      <c r="BC249" s="1063"/>
      <c r="BD249" s="1063"/>
      <c r="BE249" s="1063"/>
      <c r="BF249" s="1063"/>
      <c r="BG249" s="1063"/>
      <c r="BH249" s="1063"/>
      <c r="BI249" s="1063"/>
      <c r="BJ249" s="1063"/>
      <c r="BK249" s="1063"/>
      <c r="BL249" s="1063"/>
      <c r="BM249" s="1063"/>
      <c r="BN249" s="1063"/>
      <c r="BO249" s="1063"/>
      <c r="BP249" s="1063"/>
      <c r="BQ249" s="1063"/>
      <c r="BR249" s="1063"/>
      <c r="BS249" s="1063"/>
    </row>
    <row r="250" spans="1:71" ht="12.75">
      <c r="A250" s="1063"/>
      <c r="B250" s="1070"/>
      <c r="C250" s="1070"/>
      <c r="D250" s="1063"/>
      <c r="E250" s="1063"/>
      <c r="F250" s="1063"/>
      <c r="G250" s="1063"/>
      <c r="H250" s="1063"/>
      <c r="I250" s="1063"/>
      <c r="J250" s="1063"/>
      <c r="K250" s="1063"/>
      <c r="L250" s="1063"/>
      <c r="M250" s="1063"/>
      <c r="N250" s="1063"/>
      <c r="O250" s="1063"/>
      <c r="P250" s="1063"/>
      <c r="Q250" s="1063"/>
      <c r="R250" s="1063"/>
      <c r="S250" s="1063"/>
      <c r="T250" s="1063"/>
      <c r="U250" s="1063"/>
      <c r="V250" s="1063"/>
      <c r="W250" s="1063"/>
      <c r="X250" s="1063"/>
      <c r="Y250" s="1063"/>
      <c r="Z250" s="1063"/>
      <c r="AA250" s="1063"/>
      <c r="AB250" s="1063"/>
      <c r="AC250" s="1063"/>
      <c r="AD250" s="1063"/>
      <c r="AE250" s="1063"/>
      <c r="AF250" s="1063"/>
      <c r="AG250" s="1063"/>
      <c r="AH250" s="1063"/>
      <c r="AI250" s="1063"/>
      <c r="AJ250" s="1063"/>
      <c r="AK250" s="1063"/>
      <c r="AL250" s="1066"/>
      <c r="AM250" s="1063"/>
      <c r="AN250" s="1063"/>
      <c r="AO250" s="1063"/>
      <c r="AP250" s="1063"/>
      <c r="AQ250" s="1063"/>
      <c r="AR250" s="1063"/>
      <c r="AS250" s="1063"/>
      <c r="AT250" s="1063"/>
      <c r="AU250" s="2118"/>
      <c r="AV250" s="2118"/>
      <c r="AW250" s="2118"/>
      <c r="AX250" s="2118"/>
      <c r="AY250" s="2118"/>
      <c r="AZ250" s="2118"/>
      <c r="BA250" s="2118"/>
      <c r="BB250" s="1063"/>
      <c r="BC250" s="1063"/>
      <c r="BD250" s="2118"/>
      <c r="BE250" s="2118"/>
      <c r="BF250" s="2118"/>
      <c r="BG250" s="2118"/>
      <c r="BH250" s="2118"/>
      <c r="BI250" s="2118"/>
      <c r="BJ250" s="2118"/>
      <c r="BK250" s="1063"/>
      <c r="BL250" s="1063"/>
      <c r="BM250" s="1063"/>
      <c r="BN250" s="1063"/>
      <c r="BO250" s="1063"/>
      <c r="BP250" s="1063"/>
      <c r="BQ250" s="1063"/>
      <c r="BR250" s="1063"/>
      <c r="BS250" s="1063"/>
    </row>
    <row r="251" spans="1:71" ht="12.75">
      <c r="A251" s="1063"/>
      <c r="B251" s="1070"/>
      <c r="C251" s="1070"/>
      <c r="D251" s="1063"/>
      <c r="E251" s="1063"/>
      <c r="F251" s="1063"/>
      <c r="G251" s="1063"/>
      <c r="H251" s="1063"/>
      <c r="I251" s="1063"/>
      <c r="J251" s="1063"/>
      <c r="K251" s="1063"/>
      <c r="L251" s="1063"/>
      <c r="M251" s="1063"/>
      <c r="N251" s="1063"/>
      <c r="O251" s="1063"/>
      <c r="P251" s="1063"/>
      <c r="Q251" s="1063"/>
      <c r="R251" s="1063"/>
      <c r="S251" s="1063"/>
      <c r="T251" s="1063"/>
      <c r="U251" s="1063"/>
      <c r="V251" s="1063"/>
      <c r="W251" s="1063"/>
      <c r="X251" s="1063"/>
      <c r="Y251" s="1063"/>
      <c r="Z251" s="1063"/>
      <c r="AA251" s="1063"/>
      <c r="AB251" s="1063"/>
      <c r="AC251" s="1063"/>
      <c r="AD251" s="1063"/>
      <c r="AE251" s="1063"/>
      <c r="AF251" s="1063"/>
      <c r="AG251" s="1063"/>
      <c r="AH251" s="1063"/>
      <c r="AI251" s="1063"/>
      <c r="AJ251" s="1063"/>
      <c r="AK251" s="1063"/>
      <c r="AL251" s="1063"/>
      <c r="AM251" s="1063"/>
      <c r="AN251" s="1063"/>
      <c r="AO251" s="1063"/>
      <c r="AP251" s="1063"/>
      <c r="AQ251" s="1063"/>
      <c r="AR251" s="1063"/>
      <c r="AS251" s="1063"/>
      <c r="AT251" s="1063"/>
      <c r="AU251" s="858"/>
      <c r="AV251" s="1063"/>
      <c r="AW251" s="1063"/>
      <c r="AX251" s="1063"/>
      <c r="AY251" s="1063"/>
      <c r="AZ251" s="1063"/>
      <c r="BA251" s="1063"/>
      <c r="BB251" s="1063"/>
      <c r="BC251" s="1063"/>
      <c r="BD251" s="858"/>
      <c r="BE251" s="1063"/>
      <c r="BF251" s="1063"/>
      <c r="BG251" s="1063"/>
      <c r="BH251" s="1063"/>
      <c r="BI251" s="858"/>
      <c r="BJ251" s="858"/>
      <c r="BK251" s="1063"/>
      <c r="BL251" s="1063"/>
      <c r="BM251" s="1063"/>
      <c r="BN251" s="1063"/>
      <c r="BO251" s="1063"/>
      <c r="BP251" s="1063"/>
      <c r="BQ251" s="1063"/>
      <c r="BR251" s="1063"/>
      <c r="BS251" s="1063"/>
    </row>
    <row r="252" spans="1:71" ht="12.75">
      <c r="A252" s="1063"/>
      <c r="B252" s="1070"/>
      <c r="C252" s="1070"/>
      <c r="D252" s="1063"/>
      <c r="E252" s="1063"/>
      <c r="F252" s="1063"/>
      <c r="G252" s="1063"/>
      <c r="H252" s="1063"/>
      <c r="I252" s="1063"/>
      <c r="J252" s="1063"/>
      <c r="K252" s="1063"/>
      <c r="L252" s="1063"/>
      <c r="M252" s="1063"/>
      <c r="N252" s="1063"/>
      <c r="O252" s="1063"/>
      <c r="P252" s="1063"/>
      <c r="Q252" s="1063"/>
      <c r="R252" s="1063"/>
      <c r="S252" s="1063"/>
      <c r="T252" s="1063"/>
      <c r="U252" s="1063"/>
      <c r="V252" s="1063"/>
      <c r="W252" s="1063"/>
      <c r="X252" s="1063"/>
      <c r="Y252" s="1063"/>
      <c r="Z252" s="1063"/>
      <c r="AA252" s="1063"/>
      <c r="AB252" s="1063"/>
      <c r="AC252" s="1063"/>
      <c r="AD252" s="1063"/>
      <c r="AE252" s="1063"/>
      <c r="AF252" s="1063"/>
      <c r="AG252" s="1063"/>
      <c r="AH252" s="1063"/>
      <c r="AI252" s="1063"/>
      <c r="AJ252" s="1063"/>
      <c r="AK252" s="1063"/>
      <c r="AL252" s="1063"/>
      <c r="AM252" s="1063"/>
      <c r="AN252" s="1063"/>
      <c r="AO252" s="1063"/>
      <c r="AP252" s="1063"/>
      <c r="AQ252" s="1063"/>
      <c r="AR252" s="1063"/>
      <c r="AS252" s="1063"/>
      <c r="AT252" s="1063"/>
      <c r="AU252" s="1071"/>
      <c r="AV252" s="1063"/>
      <c r="AW252" s="1063"/>
      <c r="AX252" s="1063"/>
      <c r="AY252" s="1063"/>
      <c r="AZ252" s="1063"/>
      <c r="BA252" s="1072"/>
      <c r="BB252" s="1063"/>
      <c r="BC252" s="1063"/>
      <c r="BD252" s="1071"/>
      <c r="BE252" s="1063"/>
      <c r="BF252" s="1063"/>
      <c r="BG252" s="1063"/>
      <c r="BH252" s="1072"/>
      <c r="BI252" s="1071"/>
      <c r="BJ252" s="1072"/>
      <c r="BK252" s="1063"/>
      <c r="BL252" s="1063"/>
      <c r="BM252" s="1063"/>
      <c r="BN252" s="1063"/>
      <c r="BO252" s="1063"/>
      <c r="BP252" s="1063"/>
      <c r="BQ252" s="1063"/>
      <c r="BR252" s="1063"/>
      <c r="BS252" s="1063"/>
    </row>
    <row r="253" spans="1:71" ht="12.75">
      <c r="A253" s="1063"/>
      <c r="B253" s="1070"/>
      <c r="C253" s="1070"/>
      <c r="D253" s="1063"/>
      <c r="E253" s="1063"/>
      <c r="F253" s="1063"/>
      <c r="G253" s="1063"/>
      <c r="H253" s="1063"/>
      <c r="I253" s="1063"/>
      <c r="J253" s="1063"/>
      <c r="K253" s="1063"/>
      <c r="L253" s="1063"/>
      <c r="M253" s="1063"/>
      <c r="N253" s="1063"/>
      <c r="O253" s="1063"/>
      <c r="P253" s="1063"/>
      <c r="Q253" s="1063"/>
      <c r="R253" s="1063"/>
      <c r="S253" s="1063"/>
      <c r="T253" s="1063"/>
      <c r="U253" s="1063"/>
      <c r="V253" s="1063"/>
      <c r="W253" s="1063"/>
      <c r="X253" s="1063"/>
      <c r="Y253" s="1063"/>
      <c r="Z253" s="1063"/>
      <c r="AA253" s="1063"/>
      <c r="AB253" s="1063"/>
      <c r="AC253" s="1063"/>
      <c r="AD253" s="1063"/>
      <c r="AE253" s="1063"/>
      <c r="AF253" s="1063"/>
      <c r="AG253" s="1063"/>
      <c r="AH253" s="1063"/>
      <c r="AI253" s="1063"/>
      <c r="AJ253" s="1063"/>
      <c r="AK253" s="1063"/>
      <c r="AL253" s="1063"/>
      <c r="AM253" s="1063"/>
      <c r="AN253" s="1063"/>
      <c r="AO253" s="1063"/>
      <c r="AP253" s="1063"/>
      <c r="AQ253" s="1063"/>
      <c r="AR253" s="1063"/>
      <c r="AS253" s="1063"/>
      <c r="AT253" s="1063"/>
      <c r="AU253" s="1071"/>
      <c r="AV253" s="1063"/>
      <c r="AW253" s="1063"/>
      <c r="AX253" s="1063"/>
      <c r="AY253" s="1063"/>
      <c r="AZ253" s="1063"/>
      <c r="BA253" s="1072"/>
      <c r="BB253" s="1063"/>
      <c r="BC253" s="1063"/>
      <c r="BD253" s="1071"/>
      <c r="BE253" s="1063"/>
      <c r="BF253" s="1063"/>
      <c r="BG253" s="1076"/>
      <c r="BH253" s="1072"/>
      <c r="BI253" s="1071"/>
      <c r="BJ253" s="1072"/>
      <c r="BK253" s="1063"/>
      <c r="BL253" s="1063"/>
      <c r="BM253" s="1063"/>
      <c r="BN253" s="1063"/>
      <c r="BO253" s="1063"/>
      <c r="BP253" s="1063"/>
      <c r="BQ253" s="1063"/>
      <c r="BR253" s="1063"/>
      <c r="BS253" s="1063"/>
    </row>
    <row r="254" spans="1:71" ht="12.75">
      <c r="A254" s="1063"/>
      <c r="B254" s="1070"/>
      <c r="C254" s="1070"/>
      <c r="D254" s="1063"/>
      <c r="E254" s="1063"/>
      <c r="F254" s="1063"/>
      <c r="G254" s="1063"/>
      <c r="H254" s="1063"/>
      <c r="I254" s="1063"/>
      <c r="J254" s="1063"/>
      <c r="K254" s="1063"/>
      <c r="L254" s="1063"/>
      <c r="M254" s="1063"/>
      <c r="N254" s="1063"/>
      <c r="O254" s="1063"/>
      <c r="P254" s="1063"/>
      <c r="Q254" s="1063"/>
      <c r="R254" s="1063"/>
      <c r="S254" s="1063"/>
      <c r="T254" s="1063"/>
      <c r="U254" s="1063"/>
      <c r="V254" s="1063"/>
      <c r="W254" s="1063"/>
      <c r="X254" s="1063"/>
      <c r="Y254" s="1063"/>
      <c r="Z254" s="1063"/>
      <c r="AA254" s="1063"/>
      <c r="AB254" s="1063"/>
      <c r="AC254" s="1063"/>
      <c r="AD254" s="1063"/>
      <c r="AE254" s="1063"/>
      <c r="AF254" s="1063"/>
      <c r="AG254" s="1063"/>
      <c r="AH254" s="1063"/>
      <c r="AI254" s="1063"/>
      <c r="AJ254" s="1063"/>
      <c r="AK254" s="1063"/>
      <c r="AL254" s="1063"/>
      <c r="AM254" s="1063"/>
      <c r="AN254" s="1063"/>
      <c r="AO254" s="1063"/>
      <c r="AP254" s="1063"/>
      <c r="AQ254" s="1063"/>
      <c r="AR254" s="1063"/>
      <c r="AS254" s="1063"/>
      <c r="AT254" s="1063"/>
      <c r="AU254" s="1071"/>
      <c r="AV254" s="1063"/>
      <c r="AW254" s="1063"/>
      <c r="AX254" s="1063"/>
      <c r="AY254" s="1063"/>
      <c r="AZ254" s="1063"/>
      <c r="BA254" s="1072"/>
      <c r="BB254" s="1063"/>
      <c r="BC254" s="1063"/>
      <c r="BD254" s="1071"/>
      <c r="BE254" s="1063"/>
      <c r="BF254" s="1063"/>
      <c r="BG254" s="1063"/>
      <c r="BH254" s="1072"/>
      <c r="BI254" s="1071"/>
      <c r="BJ254" s="1072"/>
      <c r="BK254" s="1063"/>
      <c r="BL254" s="1063"/>
      <c r="BM254" s="1068"/>
      <c r="BN254" s="1063"/>
      <c r="BO254" s="1063"/>
      <c r="BP254" s="1063"/>
      <c r="BQ254" s="1063"/>
      <c r="BR254" s="1063"/>
      <c r="BS254" s="1063"/>
    </row>
    <row r="255" spans="1:71" ht="12.75">
      <c r="A255" s="1063"/>
      <c r="B255" s="1070"/>
      <c r="C255" s="1070"/>
      <c r="D255" s="1063"/>
      <c r="E255" s="1063"/>
      <c r="F255" s="1063"/>
      <c r="G255" s="1063"/>
      <c r="H255" s="1063"/>
      <c r="I255" s="1063"/>
      <c r="J255" s="1063"/>
      <c r="K255" s="1063"/>
      <c r="L255" s="1063"/>
      <c r="M255" s="1063"/>
      <c r="N255" s="1063"/>
      <c r="O255" s="1063"/>
      <c r="P255" s="1063"/>
      <c r="Q255" s="1063"/>
      <c r="R255" s="1063"/>
      <c r="S255" s="1063"/>
      <c r="T255" s="1063"/>
      <c r="U255" s="1063"/>
      <c r="V255" s="1063"/>
      <c r="W255" s="1063"/>
      <c r="X255" s="1063"/>
      <c r="Y255" s="1063"/>
      <c r="Z255" s="1063"/>
      <c r="AA255" s="1063"/>
      <c r="AB255" s="1063"/>
      <c r="AC255" s="1063"/>
      <c r="AD255" s="1063"/>
      <c r="AE255" s="1063"/>
      <c r="AF255" s="1063"/>
      <c r="AG255" s="1063"/>
      <c r="AH255" s="1063"/>
      <c r="AI255" s="1063"/>
      <c r="AJ255" s="1063"/>
      <c r="AK255" s="1063"/>
      <c r="AL255" s="1063"/>
      <c r="AM255" s="1063"/>
      <c r="AN255" s="1063"/>
      <c r="AO255" s="1063"/>
      <c r="AP255" s="1063"/>
      <c r="AQ255" s="1063"/>
      <c r="AR255" s="1063"/>
      <c r="AS255" s="1063"/>
      <c r="AT255" s="1063"/>
      <c r="AU255" s="1071"/>
      <c r="AV255" s="1063"/>
      <c r="AW255" s="1063"/>
      <c r="AX255" s="1063"/>
      <c r="AY255" s="1063"/>
      <c r="AZ255" s="1063"/>
      <c r="BA255" s="1072"/>
      <c r="BB255" s="1063"/>
      <c r="BC255" s="1063"/>
      <c r="BD255" s="1071"/>
      <c r="BE255" s="1063"/>
      <c r="BF255" s="1063"/>
      <c r="BG255" s="1063"/>
      <c r="BH255" s="1072"/>
      <c r="BI255" s="1071"/>
      <c r="BJ255" s="1072"/>
      <c r="BK255" s="1063"/>
      <c r="BL255" s="1063"/>
      <c r="BM255" s="1069"/>
      <c r="BN255" s="1063"/>
      <c r="BO255" s="1063"/>
      <c r="BP255" s="1063"/>
      <c r="BQ255" s="1063"/>
      <c r="BR255" s="1063"/>
      <c r="BS255" s="1063"/>
    </row>
    <row r="256" spans="1:71" ht="12.75">
      <c r="A256" s="1063"/>
      <c r="B256" s="1070"/>
      <c r="C256" s="1070"/>
      <c r="D256" s="1063"/>
      <c r="E256" s="1063"/>
      <c r="F256" s="1063"/>
      <c r="G256" s="1063"/>
      <c r="H256" s="1063"/>
      <c r="I256" s="1063"/>
      <c r="J256" s="1063"/>
      <c r="K256" s="1063"/>
      <c r="L256" s="1063"/>
      <c r="M256" s="1063"/>
      <c r="N256" s="1063"/>
      <c r="O256" s="1063"/>
      <c r="P256" s="1063"/>
      <c r="Q256" s="1063"/>
      <c r="R256" s="1063"/>
      <c r="S256" s="1063"/>
      <c r="T256" s="1063"/>
      <c r="U256" s="1063"/>
      <c r="V256" s="1063"/>
      <c r="W256" s="1063"/>
      <c r="X256" s="1063"/>
      <c r="Y256" s="1063"/>
      <c r="Z256" s="1063"/>
      <c r="AA256" s="1063"/>
      <c r="AB256" s="1063"/>
      <c r="AC256" s="1063"/>
      <c r="AD256" s="1063"/>
      <c r="AE256" s="1063"/>
      <c r="AF256" s="1063"/>
      <c r="AG256" s="1063"/>
      <c r="AH256" s="1063"/>
      <c r="AI256" s="1063"/>
      <c r="AJ256" s="1063"/>
      <c r="AK256" s="1063"/>
      <c r="AL256" s="1063"/>
      <c r="AM256" s="1063"/>
      <c r="AN256" s="1063"/>
      <c r="AO256" s="1063"/>
      <c r="AP256" s="1063"/>
      <c r="AQ256" s="1063"/>
      <c r="AR256" s="1063"/>
      <c r="AS256" s="1063"/>
      <c r="AT256" s="1063"/>
      <c r="AU256" s="1071"/>
      <c r="AV256" s="1063"/>
      <c r="AW256" s="1063"/>
      <c r="AX256" s="1063"/>
      <c r="AY256" s="1063"/>
      <c r="AZ256" s="1063"/>
      <c r="BA256" s="1072"/>
      <c r="BB256" s="1063"/>
      <c r="BC256" s="1063"/>
      <c r="BD256" s="1071"/>
      <c r="BE256" s="1063"/>
      <c r="BF256" s="1063"/>
      <c r="BG256" s="1076"/>
      <c r="BH256" s="1072"/>
      <c r="BI256" s="1071"/>
      <c r="BJ256" s="1072"/>
      <c r="BK256" s="1063"/>
      <c r="BL256" s="1063"/>
      <c r="BM256" s="1063"/>
      <c r="BN256" s="1063"/>
      <c r="BO256" s="1063"/>
      <c r="BP256" s="1063"/>
      <c r="BQ256" s="1063"/>
      <c r="BR256" s="1063"/>
      <c r="BS256" s="1063"/>
    </row>
    <row r="257" spans="1:71" ht="12.75">
      <c r="A257" s="1063"/>
      <c r="B257" s="1070"/>
      <c r="C257" s="1070"/>
      <c r="D257" s="1063"/>
      <c r="E257" s="1063"/>
      <c r="F257" s="1063"/>
      <c r="G257" s="1063"/>
      <c r="H257" s="1063"/>
      <c r="I257" s="1063"/>
      <c r="J257" s="1063"/>
      <c r="K257" s="1063"/>
      <c r="L257" s="1063"/>
      <c r="M257" s="1063"/>
      <c r="N257" s="1063"/>
      <c r="O257" s="1063"/>
      <c r="P257" s="1063"/>
      <c r="Q257" s="1063"/>
      <c r="R257" s="1063"/>
      <c r="S257" s="1063"/>
      <c r="T257" s="1063"/>
      <c r="U257" s="1063"/>
      <c r="V257" s="1063"/>
      <c r="W257" s="1063"/>
      <c r="X257" s="1063"/>
      <c r="Y257" s="1063"/>
      <c r="Z257" s="1063"/>
      <c r="AA257" s="1063"/>
      <c r="AB257" s="1063"/>
      <c r="AC257" s="1063"/>
      <c r="AD257" s="1063"/>
      <c r="AE257" s="1063"/>
      <c r="AF257" s="1063"/>
      <c r="AG257" s="1063"/>
      <c r="AH257" s="1063"/>
      <c r="AI257" s="1063"/>
      <c r="AJ257" s="1063"/>
      <c r="AK257" s="1063"/>
      <c r="AL257" s="1063"/>
      <c r="AM257" s="1063"/>
      <c r="AN257" s="1063"/>
      <c r="AO257" s="1063"/>
      <c r="AP257" s="1063"/>
      <c r="AQ257" s="1063"/>
      <c r="AR257" s="1063"/>
      <c r="AS257" s="1063"/>
      <c r="AT257" s="1063"/>
      <c r="AU257" s="1071"/>
      <c r="AV257" s="1063"/>
      <c r="AW257" s="1063"/>
      <c r="AX257" s="1063"/>
      <c r="AY257" s="1063"/>
      <c r="AZ257" s="1063"/>
      <c r="BA257" s="1072"/>
      <c r="BB257" s="1063"/>
      <c r="BC257" s="1063"/>
      <c r="BD257" s="1071"/>
      <c r="BE257" s="1063"/>
      <c r="BF257" s="1063"/>
      <c r="BG257" s="1063"/>
      <c r="BH257" s="1072"/>
      <c r="BI257" s="1071"/>
      <c r="BJ257" s="1072"/>
      <c r="BK257" s="1063"/>
      <c r="BL257" s="1063"/>
      <c r="BM257" s="1063"/>
      <c r="BN257" s="1063"/>
      <c r="BO257" s="1063"/>
      <c r="BP257" s="1063"/>
      <c r="BQ257" s="1063"/>
      <c r="BR257" s="1063"/>
      <c r="BS257" s="1063"/>
    </row>
    <row r="258" spans="1:71" ht="12.75">
      <c r="A258" s="1063"/>
      <c r="B258" s="1070"/>
      <c r="C258" s="1070"/>
      <c r="D258" s="1063"/>
      <c r="E258" s="1063"/>
      <c r="F258" s="1063"/>
      <c r="G258" s="1063"/>
      <c r="H258" s="1063"/>
      <c r="I258" s="1063"/>
      <c r="J258" s="1063"/>
      <c r="K258" s="1063"/>
      <c r="L258" s="1063"/>
      <c r="M258" s="1063"/>
      <c r="N258" s="1063"/>
      <c r="O258" s="1063"/>
      <c r="P258" s="1063"/>
      <c r="Q258" s="1063"/>
      <c r="R258" s="1063"/>
      <c r="S258" s="1063"/>
      <c r="T258" s="1063"/>
      <c r="U258" s="1063"/>
      <c r="V258" s="1063"/>
      <c r="W258" s="1063"/>
      <c r="X258" s="1063"/>
      <c r="Y258" s="1063"/>
      <c r="Z258" s="1063"/>
      <c r="AA258" s="1063"/>
      <c r="AB258" s="1063"/>
      <c r="AC258" s="1063"/>
      <c r="AD258" s="1063"/>
      <c r="AE258" s="1063"/>
      <c r="AF258" s="1063"/>
      <c r="AG258" s="1063"/>
      <c r="AH258" s="1063"/>
      <c r="AI258" s="1063"/>
      <c r="AJ258" s="1063"/>
      <c r="AK258" s="1063"/>
      <c r="AL258" s="1063"/>
      <c r="AM258" s="1063"/>
      <c r="AN258" s="1063"/>
      <c r="AO258" s="1063"/>
      <c r="AP258" s="1063"/>
      <c r="AQ258" s="1063"/>
      <c r="AR258" s="1063"/>
      <c r="AS258" s="1063"/>
      <c r="AT258" s="1063"/>
      <c r="AU258" s="1071"/>
      <c r="AV258" s="1063"/>
      <c r="AW258" s="1063"/>
      <c r="AX258" s="1063"/>
      <c r="AY258" s="1063"/>
      <c r="AZ258" s="1063"/>
      <c r="BA258" s="1072"/>
      <c r="BB258" s="1063"/>
      <c r="BC258" s="1063"/>
      <c r="BD258" s="1071"/>
      <c r="BE258" s="1063"/>
      <c r="BF258" s="1063"/>
      <c r="BG258" s="1063"/>
      <c r="BH258" s="1072"/>
      <c r="BI258" s="1071"/>
      <c r="BJ258" s="1072"/>
      <c r="BK258" s="1063"/>
      <c r="BL258" s="1063"/>
      <c r="BM258" s="1063"/>
      <c r="BN258" s="1063"/>
      <c r="BO258" s="1063"/>
      <c r="BP258" s="1063"/>
      <c r="BQ258" s="1063"/>
      <c r="BR258" s="1063"/>
      <c r="BS258" s="1063"/>
    </row>
    <row r="259" spans="1:71" ht="12.75">
      <c r="A259" s="1063"/>
      <c r="B259" s="1070"/>
      <c r="C259" s="1070"/>
      <c r="D259" s="1063"/>
      <c r="E259" s="1063"/>
      <c r="F259" s="1063"/>
      <c r="G259" s="1063"/>
      <c r="H259" s="1063"/>
      <c r="I259" s="1063"/>
      <c r="J259" s="1063"/>
      <c r="K259" s="1063"/>
      <c r="L259" s="1063"/>
      <c r="M259" s="1063"/>
      <c r="N259" s="1063"/>
      <c r="O259" s="1063"/>
      <c r="P259" s="1063"/>
      <c r="Q259" s="1063"/>
      <c r="R259" s="1063"/>
      <c r="S259" s="1063"/>
      <c r="T259" s="1063"/>
      <c r="U259" s="1063"/>
      <c r="V259" s="1063"/>
      <c r="W259" s="1063"/>
      <c r="X259" s="1063"/>
      <c r="Y259" s="1063"/>
      <c r="Z259" s="1063"/>
      <c r="AA259" s="1063"/>
      <c r="AB259" s="1063"/>
      <c r="AC259" s="1063"/>
      <c r="AD259" s="1063"/>
      <c r="AE259" s="1063"/>
      <c r="AF259" s="1063"/>
      <c r="AG259" s="1063"/>
      <c r="AH259" s="1063"/>
      <c r="AI259" s="1063"/>
      <c r="AJ259" s="1063"/>
      <c r="AK259" s="1063"/>
      <c r="AL259" s="1063"/>
      <c r="AM259" s="1063"/>
      <c r="AN259" s="1063"/>
      <c r="AO259" s="1063"/>
      <c r="AP259" s="1063"/>
      <c r="AQ259" s="1063"/>
      <c r="AR259" s="1063"/>
      <c r="AS259" s="1063"/>
      <c r="AT259" s="1063"/>
      <c r="AU259" s="1071"/>
      <c r="AV259" s="1063"/>
      <c r="AW259" s="1063"/>
      <c r="AX259" s="1063"/>
      <c r="AY259" s="1063"/>
      <c r="AZ259" s="1063"/>
      <c r="BA259" s="1072"/>
      <c r="BB259" s="1063"/>
      <c r="BC259" s="1063"/>
      <c r="BD259" s="1071"/>
      <c r="BE259" s="1063"/>
      <c r="BF259" s="1063"/>
      <c r="BG259" s="1076"/>
      <c r="BH259" s="1072"/>
      <c r="BI259" s="1071"/>
      <c r="BJ259" s="1072"/>
      <c r="BK259" s="1063"/>
      <c r="BL259" s="1063"/>
      <c r="BM259" s="1063"/>
      <c r="BN259" s="1063"/>
      <c r="BO259" s="1063"/>
      <c r="BP259" s="1063"/>
      <c r="BQ259" s="1063"/>
      <c r="BR259" s="1063"/>
      <c r="BS259" s="1063"/>
    </row>
    <row r="260" spans="1:71" ht="12.75">
      <c r="A260" s="1063"/>
      <c r="B260" s="1070"/>
      <c r="C260" s="1070"/>
      <c r="D260" s="1063"/>
      <c r="E260" s="1063"/>
      <c r="F260" s="1063"/>
      <c r="G260" s="1063"/>
      <c r="H260" s="1063"/>
      <c r="I260" s="1063"/>
      <c r="J260" s="1063"/>
      <c r="K260" s="1063"/>
      <c r="L260" s="1063"/>
      <c r="M260" s="1063"/>
      <c r="N260" s="1063"/>
      <c r="O260" s="1063"/>
      <c r="P260" s="1063"/>
      <c r="Q260" s="1063"/>
      <c r="R260" s="1063"/>
      <c r="S260" s="1063"/>
      <c r="T260" s="1063"/>
      <c r="U260" s="1063"/>
      <c r="V260" s="1063"/>
      <c r="W260" s="1063"/>
      <c r="X260" s="1063"/>
      <c r="Y260" s="1063"/>
      <c r="Z260" s="1063"/>
      <c r="AA260" s="1063"/>
      <c r="AB260" s="1063"/>
      <c r="AC260" s="1063"/>
      <c r="AD260" s="1063"/>
      <c r="AE260" s="1063"/>
      <c r="AF260" s="1063"/>
      <c r="AG260" s="1063"/>
      <c r="AH260" s="1063"/>
      <c r="AI260" s="1063"/>
      <c r="AJ260" s="1063"/>
      <c r="AK260" s="1063"/>
      <c r="AL260" s="1063"/>
      <c r="AM260" s="1063"/>
      <c r="AN260" s="1063"/>
      <c r="AO260" s="1063"/>
      <c r="AP260" s="1063"/>
      <c r="AQ260" s="1063"/>
      <c r="AR260" s="1063"/>
      <c r="AS260" s="1063"/>
      <c r="AT260" s="1063"/>
      <c r="AU260" s="1071"/>
      <c r="AV260" s="1063"/>
      <c r="AW260" s="1063"/>
      <c r="AX260" s="1063"/>
      <c r="AY260" s="1063"/>
      <c r="AZ260" s="1063"/>
      <c r="BA260" s="1072"/>
      <c r="BB260" s="1063"/>
      <c r="BC260" s="1063"/>
      <c r="BD260" s="1071"/>
      <c r="BE260" s="1063"/>
      <c r="BF260" s="1063"/>
      <c r="BG260" s="1063"/>
      <c r="BH260" s="1072"/>
      <c r="BI260" s="1071"/>
      <c r="BJ260" s="1072"/>
      <c r="BK260" s="1063"/>
      <c r="BL260" s="1063"/>
      <c r="BM260" s="1063"/>
      <c r="BN260" s="1063"/>
      <c r="BO260" s="1063"/>
      <c r="BP260" s="1063"/>
      <c r="BQ260" s="1063"/>
      <c r="BR260" s="1063"/>
      <c r="BS260" s="1063"/>
    </row>
    <row r="261" spans="1:71" ht="12.75">
      <c r="A261" s="1063"/>
      <c r="B261" s="1070"/>
      <c r="C261" s="1070"/>
      <c r="D261" s="1063"/>
      <c r="E261" s="1063"/>
      <c r="F261" s="1063"/>
      <c r="G261" s="1063"/>
      <c r="H261" s="1063"/>
      <c r="I261" s="1063"/>
      <c r="J261" s="1063"/>
      <c r="K261" s="1063"/>
      <c r="L261" s="1063"/>
      <c r="M261" s="1063"/>
      <c r="N261" s="1063"/>
      <c r="O261" s="1063"/>
      <c r="P261" s="1063"/>
      <c r="Q261" s="1063"/>
      <c r="R261" s="1063"/>
      <c r="S261" s="1063"/>
      <c r="T261" s="1063"/>
      <c r="U261" s="1063"/>
      <c r="V261" s="1063"/>
      <c r="W261" s="1063"/>
      <c r="X261" s="1063"/>
      <c r="Y261" s="1063"/>
      <c r="Z261" s="1063"/>
      <c r="AA261" s="1063"/>
      <c r="AB261" s="1063"/>
      <c r="AC261" s="1063"/>
      <c r="AD261" s="1063"/>
      <c r="AE261" s="1063"/>
      <c r="AF261" s="1063"/>
      <c r="AG261" s="1063"/>
      <c r="AH261" s="1063"/>
      <c r="AI261" s="1063"/>
      <c r="AJ261" s="1063"/>
      <c r="AK261" s="1063"/>
      <c r="AL261" s="1063"/>
      <c r="AM261" s="1063"/>
      <c r="AN261" s="1063"/>
      <c r="AO261" s="1063"/>
      <c r="AP261" s="1063"/>
      <c r="AQ261" s="1063"/>
      <c r="AR261" s="1063"/>
      <c r="AS261" s="1063"/>
      <c r="AT261" s="1063"/>
      <c r="AU261" s="1063"/>
      <c r="AV261" s="1063"/>
      <c r="AW261" s="1063"/>
      <c r="AX261" s="1063"/>
      <c r="AY261" s="1063"/>
      <c r="AZ261" s="1063"/>
      <c r="BA261" s="1063"/>
      <c r="BB261" s="1063"/>
      <c r="BC261" s="1063"/>
      <c r="BD261" s="1063"/>
      <c r="BE261" s="1063"/>
      <c r="BF261" s="1063"/>
      <c r="BG261" s="1063"/>
      <c r="BH261" s="1063"/>
      <c r="BI261" s="1063"/>
      <c r="BJ261" s="1063"/>
      <c r="BK261" s="1063"/>
      <c r="BL261" s="1063"/>
      <c r="BM261" s="1063"/>
      <c r="BN261" s="1063"/>
      <c r="BO261" s="1063"/>
      <c r="BP261" s="1063"/>
      <c r="BQ261" s="1063"/>
      <c r="BR261" s="1063"/>
      <c r="BS261" s="1063"/>
    </row>
    <row r="262" spans="1:71" ht="12.75">
      <c r="A262" s="1063"/>
      <c r="B262" s="1070"/>
      <c r="C262" s="1070"/>
      <c r="D262" s="1063"/>
      <c r="E262" s="1063"/>
      <c r="F262" s="1063"/>
      <c r="G262" s="1063"/>
      <c r="H262" s="1063"/>
      <c r="I262" s="1063"/>
      <c r="J262" s="1063"/>
      <c r="K262" s="1063"/>
      <c r="L262" s="1063"/>
      <c r="M262" s="1063"/>
      <c r="N262" s="1063"/>
      <c r="O262" s="1063"/>
      <c r="P262" s="1063"/>
      <c r="Q262" s="1063"/>
      <c r="R262" s="1063"/>
      <c r="S262" s="1063"/>
      <c r="T262" s="1063"/>
      <c r="U262" s="1063"/>
      <c r="V262" s="1063"/>
      <c r="W262" s="1063"/>
      <c r="X262" s="1063"/>
      <c r="Y262" s="1063"/>
      <c r="Z262" s="1063"/>
      <c r="AA262" s="1063"/>
      <c r="AB262" s="1063"/>
      <c r="AC262" s="1063"/>
      <c r="AD262" s="1063"/>
      <c r="AE262" s="1063"/>
      <c r="AF262" s="1063"/>
      <c r="AG262" s="1063"/>
      <c r="AH262" s="1063"/>
      <c r="AI262" s="1063"/>
      <c r="AJ262" s="1063"/>
      <c r="AK262" s="1063"/>
      <c r="AL262" s="1063"/>
      <c r="AM262" s="1063"/>
      <c r="AN262" s="1063"/>
      <c r="AO262" s="1063"/>
      <c r="AP262" s="1063"/>
      <c r="AQ262" s="1063"/>
      <c r="AR262" s="1063"/>
      <c r="AS262" s="1063"/>
      <c r="AT262" s="1063"/>
      <c r="AU262" s="1063"/>
      <c r="AV262" s="1063"/>
      <c r="AW262" s="1063"/>
      <c r="AX262" s="1063"/>
      <c r="AY262" s="1063"/>
      <c r="AZ262" s="1063"/>
      <c r="BA262" s="1063"/>
      <c r="BB262" s="1063"/>
      <c r="BC262" s="1063"/>
      <c r="BD262" s="1063"/>
      <c r="BE262" s="1063"/>
      <c r="BF262" s="1063"/>
      <c r="BG262" s="1063"/>
      <c r="BH262" s="1063"/>
      <c r="BI262" s="1063"/>
      <c r="BJ262" s="1063"/>
      <c r="BK262" s="1063"/>
      <c r="BL262" s="1063"/>
      <c r="BM262" s="1063"/>
      <c r="BN262" s="1063"/>
      <c r="BO262" s="1063"/>
      <c r="BP262" s="1063"/>
      <c r="BQ262" s="1063"/>
      <c r="BR262" s="1063"/>
      <c r="BS262" s="1063"/>
    </row>
    <row r="263" spans="1:71" ht="12.75">
      <c r="A263" s="1066"/>
      <c r="B263" s="1070"/>
      <c r="C263" s="1070"/>
      <c r="D263" s="1063"/>
      <c r="E263" s="1063"/>
      <c r="F263" s="1063"/>
      <c r="G263" s="1063"/>
      <c r="H263" s="1063"/>
      <c r="I263" s="1063"/>
      <c r="J263" s="1063"/>
      <c r="K263" s="1063"/>
      <c r="L263" s="1063"/>
      <c r="M263" s="1063"/>
      <c r="N263" s="1063"/>
      <c r="O263" s="1063"/>
      <c r="P263" s="1063"/>
      <c r="Q263" s="1063"/>
      <c r="R263" s="1063"/>
      <c r="S263" s="1063"/>
      <c r="T263" s="1063"/>
      <c r="U263" s="1063"/>
      <c r="V263" s="1063"/>
      <c r="W263" s="1063"/>
      <c r="X263" s="1063"/>
      <c r="Y263" s="1063"/>
      <c r="Z263" s="1063"/>
      <c r="AA263" s="1063"/>
      <c r="AB263" s="1063"/>
      <c r="AC263" s="1063"/>
      <c r="AD263" s="1063"/>
      <c r="AE263" s="1063"/>
      <c r="AF263" s="1063"/>
      <c r="AG263" s="1063"/>
      <c r="AH263" s="1063"/>
      <c r="AI263" s="1063"/>
      <c r="AJ263" s="1063"/>
      <c r="AK263" s="1063"/>
      <c r="AL263" s="1063"/>
      <c r="AM263" s="1063"/>
      <c r="AN263" s="1063"/>
      <c r="AO263" s="1063"/>
      <c r="AP263" s="1063"/>
      <c r="AQ263" s="1063"/>
      <c r="AR263" s="858"/>
      <c r="AS263" s="858"/>
      <c r="AT263" s="858"/>
      <c r="AU263" s="858"/>
      <c r="AV263" s="858"/>
      <c r="AW263" s="858"/>
      <c r="AX263" s="858"/>
      <c r="AY263" s="1063"/>
      <c r="AZ263" s="1063"/>
      <c r="BA263" s="1063"/>
      <c r="BB263" s="1063"/>
      <c r="BC263" s="1063"/>
      <c r="BD263" s="1063"/>
      <c r="BE263" s="1063"/>
      <c r="BF263" s="1063"/>
      <c r="BG263" s="1063"/>
      <c r="BH263" s="1063"/>
      <c r="BI263" s="1063"/>
      <c r="BJ263" s="1063"/>
      <c r="BK263" s="1063"/>
      <c r="BL263" s="1063"/>
      <c r="BM263" s="1063"/>
      <c r="BN263" s="1063"/>
      <c r="BO263" s="1063"/>
      <c r="BP263" s="1063"/>
      <c r="BQ263" s="1063"/>
      <c r="BR263" s="1063"/>
      <c r="BS263" s="1063"/>
    </row>
    <row r="264" spans="1:71" ht="12.75">
      <c r="A264" s="1063"/>
      <c r="B264" s="1070"/>
      <c r="C264" s="1070"/>
      <c r="D264" s="1063"/>
      <c r="E264" s="1063"/>
      <c r="F264" s="1063"/>
      <c r="G264" s="1063"/>
      <c r="H264" s="1075"/>
      <c r="I264" s="1075"/>
      <c r="J264" s="1075"/>
      <c r="K264" s="1075"/>
      <c r="L264" s="1075"/>
      <c r="M264" s="1075"/>
      <c r="N264" s="1075"/>
      <c r="O264" s="1075"/>
      <c r="P264" s="1075"/>
      <c r="Q264" s="1075"/>
      <c r="R264" s="1075"/>
      <c r="S264" s="1075"/>
      <c r="T264" s="1075"/>
      <c r="U264" s="1075"/>
      <c r="V264" s="1075"/>
      <c r="W264" s="1075"/>
      <c r="X264" s="1075"/>
      <c r="Y264" s="1075"/>
      <c r="Z264" s="1075"/>
      <c r="AA264" s="1075"/>
      <c r="AB264" s="1075"/>
      <c r="AC264" s="1075"/>
      <c r="AD264" s="1075"/>
      <c r="AE264" s="1075"/>
      <c r="AF264" s="1075"/>
      <c r="AG264" s="1075"/>
      <c r="AH264" s="1075"/>
      <c r="AI264" s="1075"/>
      <c r="AJ264" s="1075"/>
      <c r="AK264" s="1075"/>
      <c r="AL264" s="1075"/>
      <c r="AM264" s="1075"/>
      <c r="AN264" s="1075"/>
      <c r="AO264" s="1075"/>
      <c r="AP264" s="1075"/>
      <c r="AQ264" s="1075"/>
      <c r="AR264" s="1075"/>
      <c r="AS264" s="1075"/>
      <c r="AT264" s="1075"/>
      <c r="AU264" s="1075"/>
      <c r="AV264" s="1063"/>
      <c r="AW264" s="1063"/>
      <c r="AX264" s="1075"/>
      <c r="AY264" s="1063"/>
      <c r="AZ264" s="1063"/>
      <c r="BA264" s="1063"/>
      <c r="BB264" s="1063"/>
      <c r="BC264" s="1063"/>
      <c r="BD264" s="1063"/>
      <c r="BE264" s="1063"/>
      <c r="BF264" s="1063"/>
      <c r="BG264" s="1063"/>
      <c r="BH264" s="1063"/>
      <c r="BI264" s="1063"/>
      <c r="BJ264" s="1063"/>
      <c r="BK264" s="1063"/>
      <c r="BL264" s="1063"/>
      <c r="BM264" s="1063"/>
      <c r="BN264" s="1063"/>
      <c r="BO264" s="1063"/>
      <c r="BP264" s="1063"/>
      <c r="BQ264" s="1063"/>
      <c r="BR264" s="1063"/>
      <c r="BS264" s="1063"/>
    </row>
    <row r="265" spans="1:71" ht="12.75">
      <c r="A265" s="1063"/>
      <c r="B265" s="1070"/>
      <c r="C265" s="1070"/>
      <c r="D265" s="1063"/>
      <c r="E265" s="1063"/>
      <c r="F265" s="1063"/>
      <c r="G265" s="1063"/>
      <c r="H265" s="1063"/>
      <c r="I265" s="1063"/>
      <c r="J265" s="1063"/>
      <c r="K265" s="1063"/>
      <c r="L265" s="1063"/>
      <c r="M265" s="1063"/>
      <c r="N265" s="1063"/>
      <c r="O265" s="1063"/>
      <c r="P265" s="1063"/>
      <c r="Q265" s="1063"/>
      <c r="R265" s="1063"/>
      <c r="S265" s="1063"/>
      <c r="T265" s="1063"/>
      <c r="U265" s="1063"/>
      <c r="V265" s="1063"/>
      <c r="W265" s="1063"/>
      <c r="X265" s="1063"/>
      <c r="Y265" s="1063"/>
      <c r="Z265" s="1063"/>
      <c r="AA265" s="1063"/>
      <c r="AB265" s="1063"/>
      <c r="AC265" s="1063"/>
      <c r="AD265" s="1063"/>
      <c r="AE265" s="1063"/>
      <c r="AF265" s="1063"/>
      <c r="AG265" s="1063"/>
      <c r="AH265" s="1063"/>
      <c r="AI265" s="1063"/>
      <c r="AJ265" s="1063"/>
      <c r="AK265" s="1063"/>
      <c r="AL265" s="1063"/>
      <c r="AM265" s="1063"/>
      <c r="AN265" s="1063"/>
      <c r="AO265" s="1063"/>
      <c r="AP265" s="1063"/>
      <c r="AQ265" s="1063"/>
      <c r="AR265" s="1073"/>
      <c r="AS265" s="1063"/>
      <c r="AT265" s="1063"/>
      <c r="AU265" s="1063"/>
      <c r="AV265" s="1063"/>
      <c r="AW265" s="1063"/>
      <c r="AX265" s="1063"/>
      <c r="AY265" s="1063"/>
      <c r="AZ265" s="1063"/>
      <c r="BA265" s="1063"/>
      <c r="BB265" s="1063"/>
      <c r="BC265" s="1063"/>
      <c r="BD265" s="1063"/>
      <c r="BE265" s="1063"/>
      <c r="BF265" s="1063"/>
      <c r="BG265" s="1063"/>
      <c r="BH265" s="1063"/>
      <c r="BI265" s="1063"/>
      <c r="BJ265" s="1063"/>
      <c r="BK265" s="1063"/>
      <c r="BL265" s="1063"/>
      <c r="BM265" s="1063"/>
      <c r="BN265" s="1063"/>
      <c r="BO265" s="1063"/>
      <c r="BP265" s="1063"/>
      <c r="BQ265" s="1063"/>
      <c r="BR265" s="1063"/>
      <c r="BS265" s="1063"/>
    </row>
    <row r="266" spans="1:71" ht="12.75">
      <c r="A266" s="1066"/>
      <c r="B266" s="1077"/>
      <c r="C266" s="1077"/>
      <c r="D266" s="1066"/>
      <c r="E266" s="1066"/>
      <c r="F266" s="1066"/>
      <c r="G266" s="1066"/>
      <c r="H266" s="1078"/>
      <c r="I266" s="1078"/>
      <c r="J266" s="1078"/>
      <c r="K266" s="1078"/>
      <c r="L266" s="1078"/>
      <c r="M266" s="1078"/>
      <c r="N266" s="1078"/>
      <c r="O266" s="1078"/>
      <c r="P266" s="1078"/>
      <c r="Q266" s="1078"/>
      <c r="R266" s="1078"/>
      <c r="S266" s="1078"/>
      <c r="T266" s="1078"/>
      <c r="U266" s="1078"/>
      <c r="V266" s="1078"/>
      <c r="W266" s="1078"/>
      <c r="X266" s="1078"/>
      <c r="Y266" s="1078"/>
      <c r="Z266" s="1078"/>
      <c r="AA266" s="1078"/>
      <c r="AB266" s="1078"/>
      <c r="AC266" s="1078"/>
      <c r="AD266" s="1078"/>
      <c r="AE266" s="1078"/>
      <c r="AF266" s="1078"/>
      <c r="AG266" s="1078"/>
      <c r="AH266" s="1078"/>
      <c r="AI266" s="1078"/>
      <c r="AJ266" s="1078"/>
      <c r="AK266" s="1078"/>
      <c r="AL266" s="1078"/>
      <c r="AM266" s="1078"/>
      <c r="AN266" s="1078"/>
      <c r="AO266" s="1078"/>
      <c r="AP266" s="1078"/>
      <c r="AQ266" s="1078"/>
      <c r="AR266" s="1078"/>
      <c r="AS266" s="1078"/>
      <c r="AT266" s="1078"/>
      <c r="AU266" s="1078"/>
      <c r="AV266" s="1078"/>
      <c r="AW266" s="1078"/>
      <c r="AX266" s="1078"/>
      <c r="AY266" s="1063"/>
      <c r="AZ266" s="1063"/>
      <c r="BA266" s="1063"/>
      <c r="BB266" s="1063"/>
      <c r="BC266" s="1063"/>
      <c r="BD266" s="1063"/>
      <c r="BE266" s="1063"/>
      <c r="BF266" s="1063"/>
      <c r="BG266" s="1063"/>
      <c r="BH266" s="1063"/>
      <c r="BI266" s="1063"/>
      <c r="BJ266" s="1063"/>
      <c r="BK266" s="1063"/>
      <c r="BL266" s="1063"/>
      <c r="BM266" s="1063"/>
      <c r="BN266" s="1063"/>
      <c r="BO266" s="1063"/>
      <c r="BP266" s="1063"/>
      <c r="BQ266" s="1063"/>
      <c r="BR266" s="1063"/>
      <c r="BS266" s="1063"/>
    </row>
    <row r="267" spans="1:71" ht="12.75">
      <c r="A267" s="1063"/>
      <c r="B267" s="1070"/>
      <c r="C267" s="1070"/>
      <c r="D267" s="1063"/>
      <c r="E267" s="1063"/>
      <c r="F267" s="1063"/>
      <c r="G267" s="1063"/>
      <c r="H267" s="1063"/>
      <c r="I267" s="1063"/>
      <c r="J267" s="1063"/>
      <c r="K267" s="1063"/>
      <c r="L267" s="1063"/>
      <c r="M267" s="1063"/>
      <c r="N267" s="1063"/>
      <c r="O267" s="1063"/>
      <c r="P267" s="1063"/>
      <c r="Q267" s="1063"/>
      <c r="R267" s="1063"/>
      <c r="S267" s="1063"/>
      <c r="T267" s="1063"/>
      <c r="U267" s="1063"/>
      <c r="V267" s="1063"/>
      <c r="W267" s="1063"/>
      <c r="X267" s="1063"/>
      <c r="Y267" s="1063"/>
      <c r="Z267" s="1063"/>
      <c r="AA267" s="1063"/>
      <c r="AB267" s="1063"/>
      <c r="AC267" s="1063"/>
      <c r="AD267" s="1063"/>
      <c r="AE267" s="1063"/>
      <c r="AF267" s="1063"/>
      <c r="AG267" s="1063"/>
      <c r="AH267" s="1063"/>
      <c r="AI267" s="1063"/>
      <c r="AJ267" s="1063"/>
      <c r="AK267" s="1063"/>
      <c r="AL267" s="1063"/>
      <c r="AM267" s="1063"/>
      <c r="AN267" s="1063"/>
      <c r="AO267" s="1063"/>
      <c r="AP267" s="1063"/>
      <c r="AQ267" s="1063"/>
      <c r="AR267" s="1063"/>
      <c r="AS267" s="1063"/>
      <c r="AT267" s="1063"/>
      <c r="AU267" s="1063"/>
      <c r="AV267" s="1063"/>
      <c r="AW267" s="1063"/>
      <c r="AX267" s="1063"/>
      <c r="AY267" s="1063"/>
      <c r="AZ267" s="1063"/>
      <c r="BA267" s="1063"/>
      <c r="BB267" s="1063"/>
      <c r="BC267" s="1063"/>
      <c r="BD267" s="1063"/>
      <c r="BE267" s="1063"/>
      <c r="BF267" s="1063"/>
      <c r="BG267" s="1063"/>
      <c r="BH267" s="1063"/>
      <c r="BI267" s="1063"/>
      <c r="BJ267" s="1063"/>
      <c r="BK267" s="1063"/>
      <c r="BL267" s="1063"/>
      <c r="BM267" s="1063"/>
      <c r="BN267" s="1063"/>
      <c r="BO267" s="1063"/>
      <c r="BP267" s="1063"/>
      <c r="BQ267" s="1063"/>
      <c r="BR267" s="1063"/>
      <c r="BS267" s="1063"/>
    </row>
    <row r="268" spans="1:71" ht="12.75">
      <c r="A268" s="1063"/>
      <c r="B268" s="1070"/>
      <c r="C268" s="1070"/>
      <c r="D268" s="1063"/>
      <c r="E268" s="1063"/>
      <c r="F268" s="1063"/>
      <c r="G268" s="1063"/>
      <c r="H268" s="1063"/>
      <c r="I268" s="1063"/>
      <c r="J268" s="1063"/>
      <c r="K268" s="1063"/>
      <c r="L268" s="1063"/>
      <c r="M268" s="1063"/>
      <c r="N268" s="1063"/>
      <c r="O268" s="1063"/>
      <c r="P268" s="1063"/>
      <c r="Q268" s="1063"/>
      <c r="R268" s="1063"/>
      <c r="S268" s="1063"/>
      <c r="T268" s="1063"/>
      <c r="U268" s="1063"/>
      <c r="V268" s="1063"/>
      <c r="W268" s="1063"/>
      <c r="X268" s="1063"/>
      <c r="Y268" s="1063"/>
      <c r="Z268" s="1063"/>
      <c r="AA268" s="1063"/>
      <c r="AB268" s="1063"/>
      <c r="AC268" s="1063"/>
      <c r="AD268" s="1063"/>
      <c r="AE268" s="1063"/>
      <c r="AF268" s="1063"/>
      <c r="AG268" s="1063"/>
      <c r="AH268" s="1063"/>
      <c r="AI268" s="1063"/>
      <c r="AJ268" s="1063"/>
      <c r="AK268" s="1063"/>
      <c r="AL268" s="1063"/>
      <c r="AM268" s="1063"/>
      <c r="AN268" s="1063"/>
      <c r="AO268" s="1063"/>
      <c r="AP268" s="1063"/>
      <c r="AQ268" s="1063"/>
      <c r="AR268" s="1063"/>
      <c r="AS268" s="1063"/>
      <c r="AT268" s="1063"/>
      <c r="AU268" s="1063"/>
      <c r="AV268" s="1063"/>
      <c r="AW268" s="1063"/>
      <c r="AX268" s="1063"/>
      <c r="AY268" s="1063"/>
      <c r="AZ268" s="1063"/>
      <c r="BA268" s="1063"/>
      <c r="BB268" s="1063"/>
      <c r="BC268" s="1063"/>
      <c r="BD268" s="1063"/>
      <c r="BE268" s="1063"/>
      <c r="BF268" s="1063"/>
      <c r="BG268" s="1063"/>
      <c r="BH268" s="1063"/>
      <c r="BI268" s="1063"/>
      <c r="BJ268" s="1063"/>
      <c r="BK268" s="1063"/>
      <c r="BL268" s="1063"/>
      <c r="BM268" s="1063"/>
      <c r="BN268" s="1063"/>
      <c r="BO268" s="1063"/>
      <c r="BP268" s="1063"/>
      <c r="BQ268" s="1063"/>
      <c r="BR268" s="1063"/>
      <c r="BS268" s="1063"/>
    </row>
    <row r="269" spans="1:71" ht="12.75">
      <c r="A269" s="1066"/>
      <c r="B269" s="1070"/>
      <c r="C269" s="1070"/>
      <c r="D269" s="1063"/>
      <c r="E269" s="1063"/>
      <c r="F269" s="1063"/>
      <c r="G269" s="1063"/>
      <c r="H269" s="1063"/>
      <c r="I269" s="1063"/>
      <c r="J269" s="1063"/>
      <c r="K269" s="1063"/>
      <c r="L269" s="1063"/>
      <c r="M269" s="1063"/>
      <c r="N269" s="1063"/>
      <c r="O269" s="1063"/>
      <c r="P269" s="1063"/>
      <c r="Q269" s="1063"/>
      <c r="R269" s="1063"/>
      <c r="S269" s="1063"/>
      <c r="T269" s="1063"/>
      <c r="U269" s="1063"/>
      <c r="V269" s="1063"/>
      <c r="W269" s="1063"/>
      <c r="X269" s="1063"/>
      <c r="Y269" s="1063"/>
      <c r="Z269" s="1063"/>
      <c r="AA269" s="1063"/>
      <c r="AB269" s="1063"/>
      <c r="AC269" s="1063"/>
      <c r="AD269" s="1063"/>
      <c r="AE269" s="1063"/>
      <c r="AF269" s="1063"/>
      <c r="AG269" s="1063"/>
      <c r="AH269" s="1063"/>
      <c r="AI269" s="1063"/>
      <c r="AJ269" s="1063"/>
      <c r="AK269" s="1063"/>
      <c r="AL269" s="1063"/>
      <c r="AM269" s="1063"/>
      <c r="AN269" s="1063"/>
      <c r="AO269" s="1063"/>
      <c r="AP269" s="1063"/>
      <c r="AQ269" s="1063"/>
      <c r="AR269" s="1063"/>
      <c r="AS269" s="1063"/>
      <c r="AT269" s="1063"/>
      <c r="AU269" s="1063"/>
      <c r="AV269" s="1063"/>
      <c r="AW269" s="1063"/>
      <c r="AX269" s="1063"/>
      <c r="AY269" s="1063"/>
      <c r="AZ269" s="1063"/>
      <c r="BA269" s="1063"/>
      <c r="BB269" s="1063"/>
      <c r="BC269" s="1063"/>
      <c r="BD269" s="1063"/>
      <c r="BE269" s="1063"/>
      <c r="BF269" s="1063"/>
      <c r="BG269" s="1063"/>
      <c r="BH269" s="1063"/>
      <c r="BI269" s="1063"/>
      <c r="BJ269" s="1063"/>
      <c r="BK269" s="1063"/>
      <c r="BL269" s="1063"/>
      <c r="BM269" s="1063"/>
      <c r="BN269" s="1063"/>
      <c r="BO269" s="1063"/>
      <c r="BP269" s="1063"/>
      <c r="BQ269" s="1063"/>
      <c r="BR269" s="1063"/>
      <c r="BS269" s="1063"/>
    </row>
    <row r="270" spans="1:71" ht="12.75">
      <c r="A270" s="1063"/>
      <c r="B270" s="1070"/>
      <c r="C270" s="1070"/>
      <c r="D270" s="1063"/>
      <c r="E270" s="1063"/>
      <c r="F270" s="1063"/>
      <c r="G270" s="1063"/>
      <c r="H270" s="1075"/>
      <c r="I270" s="1075"/>
      <c r="J270" s="1075"/>
      <c r="K270" s="1075"/>
      <c r="L270" s="1075"/>
      <c r="M270" s="1075"/>
      <c r="N270" s="1075"/>
      <c r="O270" s="1075"/>
      <c r="P270" s="1075"/>
      <c r="Q270" s="1075"/>
      <c r="R270" s="1075"/>
      <c r="S270" s="1075"/>
      <c r="T270" s="1075"/>
      <c r="U270" s="1075"/>
      <c r="V270" s="1075"/>
      <c r="W270" s="1075"/>
      <c r="X270" s="1075"/>
      <c r="Y270" s="1075"/>
      <c r="Z270" s="1075"/>
      <c r="AA270" s="1075"/>
      <c r="AB270" s="1075"/>
      <c r="AC270" s="1075"/>
      <c r="AD270" s="1075"/>
      <c r="AE270" s="1075"/>
      <c r="AF270" s="1075"/>
      <c r="AG270" s="1075"/>
      <c r="AH270" s="1075"/>
      <c r="AI270" s="1075"/>
      <c r="AJ270" s="1075"/>
      <c r="AK270" s="1075"/>
      <c r="AL270" s="1075"/>
      <c r="AM270" s="1075"/>
      <c r="AN270" s="1075"/>
      <c r="AO270" s="1075"/>
      <c r="AP270" s="1075"/>
      <c r="AQ270" s="1075"/>
      <c r="AR270" s="1075"/>
      <c r="AS270" s="1063"/>
      <c r="AT270" s="1063"/>
      <c r="AU270" s="1075"/>
      <c r="AV270" s="1063"/>
      <c r="AW270" s="1063"/>
      <c r="AX270" s="1075"/>
      <c r="AY270" s="1063"/>
      <c r="AZ270" s="1063"/>
      <c r="BA270" s="1063"/>
      <c r="BB270" s="1063"/>
      <c r="BC270" s="1063"/>
      <c r="BD270" s="1063"/>
      <c r="BE270" s="1063"/>
      <c r="BF270" s="1063"/>
      <c r="BG270" s="1063"/>
      <c r="BH270" s="1063"/>
      <c r="BI270" s="1063"/>
      <c r="BJ270" s="1063"/>
      <c r="BK270" s="1063"/>
      <c r="BL270" s="1063"/>
      <c r="BM270" s="1063"/>
      <c r="BN270" s="1063"/>
      <c r="BO270" s="1063"/>
      <c r="BP270" s="1063"/>
      <c r="BQ270" s="1063"/>
      <c r="BR270" s="1063"/>
      <c r="BS270" s="1063"/>
    </row>
    <row r="271" spans="1:71" ht="12.75">
      <c r="A271" s="1063"/>
      <c r="B271" s="1070"/>
      <c r="C271" s="1070"/>
      <c r="D271" s="1063"/>
      <c r="E271" s="1063"/>
      <c r="F271" s="1063"/>
      <c r="G271" s="1063"/>
      <c r="H271" s="1063"/>
      <c r="I271" s="1063"/>
      <c r="J271" s="1063"/>
      <c r="K271" s="1063"/>
      <c r="L271" s="1063"/>
      <c r="M271" s="1063"/>
      <c r="N271" s="1063"/>
      <c r="O271" s="1063"/>
      <c r="P271" s="1063"/>
      <c r="Q271" s="1063"/>
      <c r="R271" s="1063"/>
      <c r="S271" s="1063"/>
      <c r="T271" s="1063"/>
      <c r="U271" s="1063"/>
      <c r="V271" s="1063"/>
      <c r="W271" s="1063"/>
      <c r="X271" s="1063"/>
      <c r="Y271" s="1063"/>
      <c r="Z271" s="1073"/>
      <c r="AA271" s="1073"/>
      <c r="AB271" s="1073"/>
      <c r="AC271" s="1073"/>
      <c r="AD271" s="1073"/>
      <c r="AE271" s="1073"/>
      <c r="AF271" s="1073"/>
      <c r="AG271" s="1073"/>
      <c r="AH271" s="1073"/>
      <c r="AI271" s="1073"/>
      <c r="AJ271" s="1073"/>
      <c r="AK271" s="1073"/>
      <c r="AL271" s="1073"/>
      <c r="AM271" s="1073"/>
      <c r="AN271" s="1073"/>
      <c r="AO271" s="1073"/>
      <c r="AP271" s="1073"/>
      <c r="AQ271" s="1073"/>
      <c r="AR271" s="1073"/>
      <c r="AS271" s="1063"/>
      <c r="AT271" s="1063"/>
      <c r="AU271" s="1063"/>
      <c r="AV271" s="1063"/>
      <c r="AW271" s="1063"/>
      <c r="AX271" s="1063"/>
      <c r="AY271" s="1063"/>
      <c r="AZ271" s="1063"/>
      <c r="BA271" s="1063"/>
      <c r="BB271" s="1063"/>
      <c r="BC271" s="1063"/>
      <c r="BD271" s="1063"/>
      <c r="BE271" s="1063"/>
      <c r="BF271" s="1063"/>
      <c r="BG271" s="1063"/>
      <c r="BH271" s="1072"/>
      <c r="BI271" s="1072"/>
      <c r="BJ271" s="1063"/>
      <c r="BK271" s="1063"/>
      <c r="BL271" s="1063"/>
      <c r="BM271" s="1063"/>
      <c r="BN271" s="1063"/>
      <c r="BO271" s="1063"/>
      <c r="BP271" s="1063"/>
      <c r="BQ271" s="1063"/>
      <c r="BR271" s="1063"/>
      <c r="BS271" s="1063"/>
    </row>
    <row r="272" spans="1:71" ht="12.75">
      <c r="A272" s="1066"/>
      <c r="B272" s="1077"/>
      <c r="C272" s="1077"/>
      <c r="D272" s="1066"/>
      <c r="E272" s="1066"/>
      <c r="F272" s="1066"/>
      <c r="G272" s="1066"/>
      <c r="H272" s="1078"/>
      <c r="I272" s="1078"/>
      <c r="J272" s="1078"/>
      <c r="K272" s="1078"/>
      <c r="L272" s="1078"/>
      <c r="M272" s="1078"/>
      <c r="N272" s="1078"/>
      <c r="O272" s="1078"/>
      <c r="P272" s="1078"/>
      <c r="Q272" s="1078"/>
      <c r="R272" s="1078"/>
      <c r="S272" s="1078"/>
      <c r="T272" s="1078"/>
      <c r="U272" s="1078"/>
      <c r="V272" s="1078"/>
      <c r="W272" s="1078"/>
      <c r="X272" s="1078"/>
      <c r="Y272" s="1078"/>
      <c r="Z272" s="1078"/>
      <c r="AA272" s="1078"/>
      <c r="AB272" s="1078"/>
      <c r="AC272" s="1078"/>
      <c r="AD272" s="1078"/>
      <c r="AE272" s="1078"/>
      <c r="AF272" s="1078"/>
      <c r="AG272" s="1078"/>
      <c r="AH272" s="1078"/>
      <c r="AI272" s="1078"/>
      <c r="AJ272" s="1078"/>
      <c r="AK272" s="1078"/>
      <c r="AL272" s="1078"/>
      <c r="AM272" s="1078"/>
      <c r="AN272" s="1078"/>
      <c r="AO272" s="1078"/>
      <c r="AP272" s="1078"/>
      <c r="AQ272" s="1078"/>
      <c r="AR272" s="1078"/>
      <c r="AS272" s="1066"/>
      <c r="AT272" s="1066"/>
      <c r="AU272" s="1078"/>
      <c r="AV272" s="1066"/>
      <c r="AW272" s="1066"/>
      <c r="AX272" s="1078"/>
      <c r="AY272" s="1063"/>
      <c r="AZ272" s="1063"/>
      <c r="BA272" s="1063"/>
      <c r="BB272" s="1063"/>
      <c r="BC272" s="1063"/>
      <c r="BD272" s="1063"/>
      <c r="BE272" s="1063"/>
      <c r="BF272" s="1063"/>
      <c r="BG272" s="1063"/>
      <c r="BH272" s="1063"/>
      <c r="BI272" s="1063"/>
      <c r="BJ272" s="1063"/>
      <c r="BK272" s="1063"/>
      <c r="BL272" s="1063"/>
      <c r="BM272" s="1063"/>
      <c r="BN272" s="1063"/>
      <c r="BO272" s="1063"/>
      <c r="BP272" s="1063"/>
      <c r="BQ272" s="1063"/>
      <c r="BR272" s="1063"/>
      <c r="BS272" s="1063"/>
    </row>
    <row r="273" spans="1:71" ht="12.75">
      <c r="A273" s="1063"/>
      <c r="B273" s="1070"/>
      <c r="C273" s="1070"/>
      <c r="D273" s="1063"/>
      <c r="E273" s="1063"/>
      <c r="F273" s="1063"/>
      <c r="G273" s="1063"/>
      <c r="H273" s="1063"/>
      <c r="I273" s="1063"/>
      <c r="J273" s="1063"/>
      <c r="K273" s="1063"/>
      <c r="L273" s="1063"/>
      <c r="M273" s="1063"/>
      <c r="N273" s="1063"/>
      <c r="O273" s="1063"/>
      <c r="P273" s="1063"/>
      <c r="Q273" s="1063"/>
      <c r="R273" s="1063"/>
      <c r="S273" s="1063"/>
      <c r="T273" s="1063"/>
      <c r="U273" s="1063"/>
      <c r="V273" s="1063"/>
      <c r="W273" s="1063"/>
      <c r="X273" s="1063"/>
      <c r="Y273" s="1063"/>
      <c r="Z273" s="1063"/>
      <c r="AA273" s="1063"/>
      <c r="AB273" s="1063"/>
      <c r="AC273" s="1063"/>
      <c r="AD273" s="1063"/>
      <c r="AE273" s="1063"/>
      <c r="AF273" s="1063"/>
      <c r="AG273" s="1063"/>
      <c r="AH273" s="1063"/>
      <c r="AI273" s="1063"/>
      <c r="AJ273" s="1063"/>
      <c r="AK273" s="1063"/>
      <c r="AL273" s="1063"/>
      <c r="AM273" s="1063"/>
      <c r="AN273" s="1063"/>
      <c r="AO273" s="1063"/>
      <c r="AP273" s="1063"/>
      <c r="AQ273" s="1063"/>
      <c r="AR273" s="1063"/>
      <c r="AS273" s="1063"/>
      <c r="AT273" s="1063"/>
      <c r="AU273" s="1063"/>
      <c r="AV273" s="1063"/>
      <c r="AW273" s="1063"/>
      <c r="AX273" s="1063"/>
      <c r="AY273" s="1063"/>
      <c r="AZ273" s="1063"/>
      <c r="BA273" s="1063"/>
      <c r="BB273" s="1063"/>
      <c r="BC273" s="1063"/>
      <c r="BD273" s="1063"/>
      <c r="BE273" s="1063"/>
      <c r="BF273" s="1063"/>
      <c r="BG273" s="1063"/>
      <c r="BH273" s="1063"/>
      <c r="BI273" s="1063"/>
      <c r="BJ273" s="1063"/>
      <c r="BK273" s="1063"/>
      <c r="BL273" s="1063"/>
      <c r="BM273" s="1063"/>
      <c r="BN273" s="1063"/>
      <c r="BO273" s="1063"/>
      <c r="BP273" s="1063"/>
      <c r="BQ273" s="1063"/>
      <c r="BR273" s="1063"/>
      <c r="BS273" s="1063"/>
    </row>
    <row r="274" spans="1:71" ht="12.75">
      <c r="A274" s="1063"/>
      <c r="B274" s="1070"/>
      <c r="C274" s="1070"/>
      <c r="D274" s="1063"/>
      <c r="E274" s="1063"/>
      <c r="F274" s="1063"/>
      <c r="G274" s="1063"/>
      <c r="H274" s="1063"/>
      <c r="I274" s="1063"/>
      <c r="J274" s="1063"/>
      <c r="K274" s="1063"/>
      <c r="L274" s="1063"/>
      <c r="M274" s="1063"/>
      <c r="N274" s="1063"/>
      <c r="O274" s="1063"/>
      <c r="P274" s="1063"/>
      <c r="Q274" s="1063"/>
      <c r="R274" s="1063"/>
      <c r="S274" s="1063"/>
      <c r="T274" s="1063"/>
      <c r="U274" s="1063"/>
      <c r="V274" s="1063"/>
      <c r="W274" s="1063"/>
      <c r="X274" s="1063"/>
      <c r="Y274" s="1063"/>
      <c r="Z274" s="1063"/>
      <c r="AA274" s="1063"/>
      <c r="AB274" s="1063"/>
      <c r="AC274" s="1063"/>
      <c r="AD274" s="1063"/>
      <c r="AE274" s="1063"/>
      <c r="AF274" s="1063"/>
      <c r="AG274" s="1063"/>
      <c r="AH274" s="1063"/>
      <c r="AI274" s="1063"/>
      <c r="AJ274" s="1063"/>
      <c r="AK274" s="1063"/>
      <c r="AL274" s="1063"/>
      <c r="AM274" s="1063"/>
      <c r="AN274" s="1063"/>
      <c r="AO274" s="1063"/>
      <c r="AP274" s="1063"/>
      <c r="AQ274" s="1063"/>
      <c r="AR274" s="1063"/>
      <c r="AS274" s="1063"/>
      <c r="AT274" s="1063"/>
      <c r="AU274" s="1072"/>
      <c r="AV274" s="1063"/>
      <c r="AW274" s="1063"/>
      <c r="AX274" s="1063"/>
      <c r="AY274" s="1063"/>
      <c r="AZ274" s="1063"/>
      <c r="BA274" s="1063"/>
      <c r="BB274" s="1063"/>
      <c r="BC274" s="1063"/>
      <c r="BD274" s="1063"/>
      <c r="BE274" s="1063"/>
      <c r="BF274" s="1063"/>
      <c r="BG274" s="1063"/>
      <c r="BH274" s="1063"/>
      <c r="BI274" s="1063"/>
      <c r="BJ274" s="1063"/>
      <c r="BK274" s="1063"/>
      <c r="BL274" s="1063"/>
      <c r="BM274" s="1063"/>
      <c r="BN274" s="1063"/>
      <c r="BO274" s="1063"/>
      <c r="BP274" s="1063"/>
      <c r="BQ274" s="1063"/>
      <c r="BR274" s="1063"/>
      <c r="BS274" s="1063"/>
    </row>
    <row r="275" spans="1:71" ht="12.75">
      <c r="A275" s="1063"/>
      <c r="B275" s="1070"/>
      <c r="C275" s="1070"/>
      <c r="D275" s="1063"/>
      <c r="E275" s="1063"/>
      <c r="F275" s="1063"/>
      <c r="G275" s="1063"/>
      <c r="H275" s="1063"/>
      <c r="I275" s="1063"/>
      <c r="J275" s="1063"/>
      <c r="K275" s="1063"/>
      <c r="L275" s="1063"/>
      <c r="M275" s="1063"/>
      <c r="N275" s="1063"/>
      <c r="O275" s="1063"/>
      <c r="P275" s="1063"/>
      <c r="Q275" s="1063"/>
      <c r="R275" s="1063"/>
      <c r="S275" s="1063"/>
      <c r="T275" s="1063"/>
      <c r="U275" s="1063"/>
      <c r="V275" s="1063"/>
      <c r="W275" s="1063"/>
      <c r="X275" s="1063"/>
      <c r="Y275" s="1063"/>
      <c r="Z275" s="1063"/>
      <c r="AA275" s="1063"/>
      <c r="AB275" s="1063"/>
      <c r="AC275" s="1063"/>
      <c r="AD275" s="1063"/>
      <c r="AE275" s="1063"/>
      <c r="AF275" s="1063"/>
      <c r="AG275" s="1063"/>
      <c r="AH275" s="1063"/>
      <c r="AI275" s="1063"/>
      <c r="AJ275" s="1063"/>
      <c r="AK275" s="1063"/>
      <c r="AL275" s="1063"/>
      <c r="AM275" s="1063"/>
      <c r="AN275" s="1063"/>
      <c r="AO275" s="1063"/>
      <c r="AP275" s="1063"/>
      <c r="AQ275" s="1063"/>
      <c r="AR275" s="1063"/>
      <c r="AS275" s="1063"/>
      <c r="AT275" s="1063"/>
      <c r="AU275" s="1063"/>
      <c r="AV275" s="1063"/>
      <c r="AW275" s="1063"/>
      <c r="AX275" s="1063"/>
      <c r="AY275" s="1063"/>
      <c r="AZ275" s="1063"/>
      <c r="BA275" s="1063"/>
      <c r="BB275" s="1063"/>
      <c r="BC275" s="1063"/>
      <c r="BD275" s="1063"/>
      <c r="BE275" s="1063"/>
      <c r="BF275" s="1063"/>
      <c r="BG275" s="1063"/>
      <c r="BH275" s="1063"/>
      <c r="BI275" s="1063"/>
      <c r="BJ275" s="1063"/>
      <c r="BK275" s="1063"/>
      <c r="BL275" s="1063"/>
      <c r="BM275" s="1063"/>
      <c r="BN275" s="1063"/>
      <c r="BO275" s="1063"/>
      <c r="BP275" s="1063"/>
      <c r="BQ275" s="1063"/>
      <c r="BR275" s="1063"/>
      <c r="BS275" s="1063"/>
    </row>
    <row r="276" spans="1:71" ht="12.75">
      <c r="A276" s="1063"/>
      <c r="B276" s="1070"/>
      <c r="C276" s="1070"/>
      <c r="D276" s="1063"/>
      <c r="E276" s="1063"/>
      <c r="F276" s="1063"/>
      <c r="G276" s="1063"/>
      <c r="H276" s="1063"/>
      <c r="I276" s="1063"/>
      <c r="J276" s="1063"/>
      <c r="K276" s="1063"/>
      <c r="L276" s="1063"/>
      <c r="M276" s="1063"/>
      <c r="N276" s="1063"/>
      <c r="O276" s="1063"/>
      <c r="P276" s="1063"/>
      <c r="Q276" s="1063"/>
      <c r="R276" s="1063"/>
      <c r="S276" s="1063"/>
      <c r="T276" s="1063"/>
      <c r="U276" s="1063"/>
      <c r="V276" s="1063"/>
      <c r="W276" s="1063"/>
      <c r="X276" s="1063"/>
      <c r="Y276" s="1063"/>
      <c r="Z276" s="1063"/>
      <c r="AA276" s="1063"/>
      <c r="AB276" s="1063"/>
      <c r="AC276" s="1063"/>
      <c r="AD276" s="1063"/>
      <c r="AE276" s="1063"/>
      <c r="AF276" s="1063"/>
      <c r="AG276" s="1063"/>
      <c r="AH276" s="1063"/>
      <c r="AI276" s="1063"/>
      <c r="AJ276" s="1063"/>
      <c r="AK276" s="1063"/>
      <c r="AL276" s="1063"/>
      <c r="AM276" s="1063"/>
      <c r="AN276" s="1063"/>
      <c r="AO276" s="1063"/>
      <c r="AP276" s="1063"/>
      <c r="AQ276" s="1063"/>
      <c r="AR276" s="1063"/>
      <c r="AS276" s="1063"/>
      <c r="AT276" s="1063"/>
      <c r="AU276" s="2118"/>
      <c r="AV276" s="2118"/>
      <c r="AW276" s="2118"/>
      <c r="AX276" s="2118"/>
      <c r="AY276" s="2118"/>
      <c r="AZ276" s="2118"/>
      <c r="BA276" s="2118"/>
      <c r="BB276" s="1063"/>
      <c r="BC276" s="1063"/>
      <c r="BD276" s="2118"/>
      <c r="BE276" s="2118"/>
      <c r="BF276" s="2118"/>
      <c r="BG276" s="2118"/>
      <c r="BH276" s="2118"/>
      <c r="BI276" s="2118"/>
      <c r="BJ276" s="2118"/>
      <c r="BK276" s="1063"/>
      <c r="BL276" s="1063"/>
      <c r="BM276" s="1063"/>
      <c r="BN276" s="1063"/>
      <c r="BO276" s="1063"/>
      <c r="BP276" s="1063"/>
      <c r="BQ276" s="1063"/>
      <c r="BR276" s="1063"/>
      <c r="BS276" s="1063"/>
    </row>
    <row r="277" spans="1:71" ht="12.75">
      <c r="A277" s="1063"/>
      <c r="B277" s="1070"/>
      <c r="C277" s="1070"/>
      <c r="D277" s="1063"/>
      <c r="E277" s="1063"/>
      <c r="F277" s="1063"/>
      <c r="G277" s="1063"/>
      <c r="H277" s="1063"/>
      <c r="I277" s="1063"/>
      <c r="J277" s="1063"/>
      <c r="K277" s="1063"/>
      <c r="L277" s="1063"/>
      <c r="M277" s="1063"/>
      <c r="N277" s="1063"/>
      <c r="O277" s="1063"/>
      <c r="P277" s="1063"/>
      <c r="Q277" s="1063"/>
      <c r="R277" s="1063"/>
      <c r="S277" s="1063"/>
      <c r="T277" s="1063"/>
      <c r="U277" s="1063"/>
      <c r="V277" s="1063"/>
      <c r="W277" s="1063"/>
      <c r="X277" s="1063"/>
      <c r="Y277" s="1063"/>
      <c r="Z277" s="1063"/>
      <c r="AA277" s="1063"/>
      <c r="AB277" s="1063"/>
      <c r="AC277" s="1063"/>
      <c r="AD277" s="1063"/>
      <c r="AE277" s="1063"/>
      <c r="AF277" s="1063"/>
      <c r="AG277" s="1063"/>
      <c r="AH277" s="1063"/>
      <c r="AI277" s="1063"/>
      <c r="AJ277" s="1063"/>
      <c r="AK277" s="1063"/>
      <c r="AL277" s="1063"/>
      <c r="AM277" s="1063"/>
      <c r="AN277" s="1063"/>
      <c r="AO277" s="1063"/>
      <c r="AP277" s="1063"/>
      <c r="AQ277" s="1063"/>
      <c r="AR277" s="1063"/>
      <c r="AS277" s="1063"/>
      <c r="AT277" s="1063"/>
      <c r="AU277" s="858"/>
      <c r="AV277" s="1063"/>
      <c r="AW277" s="1063"/>
      <c r="AX277" s="1063"/>
      <c r="AY277" s="1063"/>
      <c r="AZ277" s="1063"/>
      <c r="BA277" s="1063"/>
      <c r="BB277" s="1063"/>
      <c r="BC277" s="1063"/>
      <c r="BD277" s="858"/>
      <c r="BE277" s="1063"/>
      <c r="BF277" s="1063"/>
      <c r="BG277" s="1063"/>
      <c r="BH277" s="1063"/>
      <c r="BI277" s="858"/>
      <c r="BJ277" s="858"/>
      <c r="BK277" s="1063"/>
      <c r="BL277" s="1063"/>
      <c r="BM277" s="1063"/>
      <c r="BN277" s="1063"/>
      <c r="BO277" s="1063"/>
      <c r="BP277" s="1063"/>
      <c r="BQ277" s="1063"/>
      <c r="BR277" s="1063"/>
      <c r="BS277" s="1063"/>
    </row>
    <row r="278" spans="1:71" ht="12.75">
      <c r="A278" s="1063"/>
      <c r="B278" s="1070"/>
      <c r="C278" s="1070"/>
      <c r="D278" s="1063"/>
      <c r="E278" s="1063"/>
      <c r="F278" s="1063"/>
      <c r="G278" s="1063"/>
      <c r="H278" s="1063"/>
      <c r="I278" s="1063"/>
      <c r="J278" s="1063"/>
      <c r="K278" s="1063"/>
      <c r="L278" s="1063"/>
      <c r="M278" s="1063"/>
      <c r="N278" s="1063"/>
      <c r="O278" s="1063"/>
      <c r="P278" s="1063"/>
      <c r="Q278" s="1063"/>
      <c r="R278" s="1063"/>
      <c r="S278" s="1063"/>
      <c r="T278" s="1063"/>
      <c r="U278" s="1063"/>
      <c r="V278" s="1063"/>
      <c r="W278" s="1063"/>
      <c r="X278" s="1063"/>
      <c r="Y278" s="1063"/>
      <c r="Z278" s="1063"/>
      <c r="AA278" s="1063"/>
      <c r="AB278" s="1063"/>
      <c r="AC278" s="1063"/>
      <c r="AD278" s="1063"/>
      <c r="AE278" s="1063"/>
      <c r="AF278" s="1063"/>
      <c r="AG278" s="1063"/>
      <c r="AH278" s="1063"/>
      <c r="AI278" s="1063"/>
      <c r="AJ278" s="1063"/>
      <c r="AK278" s="1063"/>
      <c r="AL278" s="1063"/>
      <c r="AM278" s="1063"/>
      <c r="AN278" s="1063"/>
      <c r="AO278" s="1063"/>
      <c r="AP278" s="1063"/>
      <c r="AQ278" s="1063"/>
      <c r="AR278" s="1063"/>
      <c r="AS278" s="1063"/>
      <c r="AT278" s="1063"/>
      <c r="AU278" s="1071"/>
      <c r="AV278" s="1063"/>
      <c r="AW278" s="1063"/>
      <c r="AX278" s="1063"/>
      <c r="AY278" s="1063"/>
      <c r="AZ278" s="1063"/>
      <c r="BA278" s="1072"/>
      <c r="BB278" s="1063"/>
      <c r="BC278" s="1063"/>
      <c r="BD278" s="1071"/>
      <c r="BE278" s="1063"/>
      <c r="BF278" s="1063"/>
      <c r="BG278" s="1063"/>
      <c r="BH278" s="1072"/>
      <c r="BI278" s="1071"/>
      <c r="BJ278" s="1072"/>
      <c r="BK278" s="1063"/>
      <c r="BL278" s="1063"/>
      <c r="BM278" s="1063"/>
      <c r="BN278" s="1063"/>
      <c r="BO278" s="1063"/>
      <c r="BP278" s="1063"/>
      <c r="BQ278" s="1063"/>
      <c r="BR278" s="1063"/>
      <c r="BS278" s="1063"/>
    </row>
    <row r="279" spans="1:71" ht="12.75">
      <c r="A279" s="1063"/>
      <c r="B279" s="1070"/>
      <c r="C279" s="1070"/>
      <c r="D279" s="1063"/>
      <c r="E279" s="1063"/>
      <c r="F279" s="1063"/>
      <c r="G279" s="1063"/>
      <c r="H279" s="1063"/>
      <c r="I279" s="1063"/>
      <c r="J279" s="1063"/>
      <c r="K279" s="1063"/>
      <c r="L279" s="1063"/>
      <c r="M279" s="1063"/>
      <c r="N279" s="1063"/>
      <c r="O279" s="1063"/>
      <c r="P279" s="1063"/>
      <c r="Q279" s="1063"/>
      <c r="R279" s="1063"/>
      <c r="S279" s="1063"/>
      <c r="T279" s="1063"/>
      <c r="U279" s="1063"/>
      <c r="V279" s="1063"/>
      <c r="W279" s="1063"/>
      <c r="X279" s="1063"/>
      <c r="Y279" s="1063"/>
      <c r="Z279" s="1063"/>
      <c r="AA279" s="1063"/>
      <c r="AB279" s="1063"/>
      <c r="AC279" s="1063"/>
      <c r="AD279" s="1063"/>
      <c r="AE279" s="1063"/>
      <c r="AF279" s="1063"/>
      <c r="AG279" s="1063"/>
      <c r="AH279" s="1063"/>
      <c r="AI279" s="1063"/>
      <c r="AJ279" s="1063"/>
      <c r="AK279" s="1063"/>
      <c r="AL279" s="1063"/>
      <c r="AM279" s="1063"/>
      <c r="AN279" s="1063"/>
      <c r="AO279" s="1063"/>
      <c r="AP279" s="1063"/>
      <c r="AQ279" s="1063"/>
      <c r="AR279" s="1063"/>
      <c r="AS279" s="1063"/>
      <c r="AT279" s="1063"/>
      <c r="AU279" s="1071"/>
      <c r="AV279" s="1063"/>
      <c r="AW279" s="1063"/>
      <c r="AX279" s="1063"/>
      <c r="AY279" s="1063"/>
      <c r="AZ279" s="1063"/>
      <c r="BA279" s="1072"/>
      <c r="BB279" s="1063"/>
      <c r="BC279" s="1063"/>
      <c r="BD279" s="1071"/>
      <c r="BE279" s="1063"/>
      <c r="BF279" s="1063"/>
      <c r="BG279" s="1063"/>
      <c r="BH279" s="1072"/>
      <c r="BI279" s="1071"/>
      <c r="BJ279" s="1072"/>
      <c r="BK279" s="1063"/>
      <c r="BL279" s="1063"/>
      <c r="BM279" s="1063"/>
      <c r="BN279" s="1063"/>
      <c r="BO279" s="1063"/>
      <c r="BP279" s="1063"/>
      <c r="BQ279" s="1063"/>
      <c r="BR279" s="1063"/>
      <c r="BS279" s="1063"/>
    </row>
    <row r="280" spans="1:71" ht="12.75">
      <c r="A280" s="1063"/>
      <c r="B280" s="1070"/>
      <c r="C280" s="1070"/>
      <c r="D280" s="1063"/>
      <c r="E280" s="1063"/>
      <c r="F280" s="1063"/>
      <c r="G280" s="1063"/>
      <c r="H280" s="1063"/>
      <c r="I280" s="1063"/>
      <c r="J280" s="1063"/>
      <c r="K280" s="1063"/>
      <c r="L280" s="1063"/>
      <c r="M280" s="1063"/>
      <c r="N280" s="1063"/>
      <c r="O280" s="1063"/>
      <c r="P280" s="1063"/>
      <c r="Q280" s="1063"/>
      <c r="R280" s="1063"/>
      <c r="S280" s="1063"/>
      <c r="T280" s="1063"/>
      <c r="U280" s="1063"/>
      <c r="V280" s="1063"/>
      <c r="W280" s="1063"/>
      <c r="X280" s="1063"/>
      <c r="Y280" s="1063"/>
      <c r="Z280" s="1063"/>
      <c r="AA280" s="1063"/>
      <c r="AB280" s="1063"/>
      <c r="AC280" s="1063"/>
      <c r="AD280" s="1063"/>
      <c r="AE280" s="1063"/>
      <c r="AF280" s="1063"/>
      <c r="AG280" s="1063"/>
      <c r="AH280" s="1063"/>
      <c r="AI280" s="1063"/>
      <c r="AJ280" s="1063"/>
      <c r="AK280" s="1063"/>
      <c r="AL280" s="1063"/>
      <c r="AM280" s="1063"/>
      <c r="AN280" s="1063"/>
      <c r="AO280" s="1063"/>
      <c r="AP280" s="1063"/>
      <c r="AQ280" s="1063"/>
      <c r="AR280" s="1063"/>
      <c r="AS280" s="1063"/>
      <c r="AT280" s="1063"/>
      <c r="AU280" s="1071"/>
      <c r="AV280" s="1063"/>
      <c r="AW280" s="1063"/>
      <c r="AX280" s="1063"/>
      <c r="AY280" s="1063"/>
      <c r="AZ280" s="1063"/>
      <c r="BA280" s="1072"/>
      <c r="BB280" s="1063"/>
      <c r="BC280" s="1063"/>
      <c r="BD280" s="1071"/>
      <c r="BE280" s="1063"/>
      <c r="BF280" s="1063"/>
      <c r="BG280" s="1063"/>
      <c r="BH280" s="1072"/>
      <c r="BI280" s="1071"/>
      <c r="BJ280" s="1072"/>
      <c r="BK280" s="1063"/>
      <c r="BL280" s="1063"/>
      <c r="BM280" s="1063"/>
      <c r="BN280" s="1063"/>
      <c r="BO280" s="1063"/>
      <c r="BP280" s="1063"/>
      <c r="BQ280" s="1063"/>
      <c r="BR280" s="1063"/>
      <c r="BS280" s="1063"/>
    </row>
    <row r="281" spans="1:71" ht="12.75">
      <c r="A281" s="1063"/>
      <c r="B281" s="1070"/>
      <c r="C281" s="1070"/>
      <c r="D281" s="1063"/>
      <c r="E281" s="1063"/>
      <c r="F281" s="1063"/>
      <c r="G281" s="1063"/>
      <c r="H281" s="1063"/>
      <c r="I281" s="1063"/>
      <c r="J281" s="1063"/>
      <c r="K281" s="1063"/>
      <c r="L281" s="1063"/>
      <c r="M281" s="1063"/>
      <c r="N281" s="1063"/>
      <c r="O281" s="1063"/>
      <c r="P281" s="1063"/>
      <c r="Q281" s="1063"/>
      <c r="R281" s="1063"/>
      <c r="S281" s="1063"/>
      <c r="T281" s="1063"/>
      <c r="U281" s="1063"/>
      <c r="V281" s="1063"/>
      <c r="W281" s="1063"/>
      <c r="X281" s="1063"/>
      <c r="Y281" s="1063"/>
      <c r="Z281" s="1063"/>
      <c r="AA281" s="1063"/>
      <c r="AB281" s="1063"/>
      <c r="AC281" s="1063"/>
      <c r="AD281" s="1063"/>
      <c r="AE281" s="1063"/>
      <c r="AF281" s="1063"/>
      <c r="AG281" s="1063"/>
      <c r="AH281" s="1063"/>
      <c r="AI281" s="1063"/>
      <c r="AJ281" s="1063"/>
      <c r="AK281" s="1063"/>
      <c r="AL281" s="1063"/>
      <c r="AM281" s="1063"/>
      <c r="AN281" s="1063"/>
      <c r="AO281" s="1063"/>
      <c r="AP281" s="1063"/>
      <c r="AQ281" s="1063"/>
      <c r="AR281" s="1063"/>
      <c r="AS281" s="1063"/>
      <c r="AT281" s="1063"/>
      <c r="AU281" s="1063"/>
      <c r="AV281" s="1063"/>
      <c r="AW281" s="1063"/>
      <c r="AX281" s="1063"/>
      <c r="AY281" s="1063"/>
      <c r="AZ281" s="1063"/>
      <c r="BA281" s="1072"/>
      <c r="BB281" s="1063"/>
      <c r="BC281" s="1063"/>
      <c r="BD281" s="1063"/>
      <c r="BE281" s="1063"/>
      <c r="BF281" s="1063"/>
      <c r="BG281" s="1063"/>
      <c r="BH281" s="1072"/>
      <c r="BI281" s="1063"/>
      <c r="BJ281" s="1072"/>
      <c r="BK281" s="1063"/>
      <c r="BL281" s="1063"/>
      <c r="BM281" s="1063"/>
      <c r="BN281" s="1063"/>
      <c r="BO281" s="1063"/>
      <c r="BP281" s="1063"/>
      <c r="BQ281" s="1063"/>
      <c r="BR281" s="1063"/>
      <c r="BS281" s="1063"/>
    </row>
    <row r="282" spans="1:71" ht="12.75">
      <c r="A282" s="1063"/>
      <c r="B282" s="1070"/>
      <c r="C282" s="1070"/>
      <c r="D282" s="1063"/>
      <c r="E282" s="1063"/>
      <c r="F282" s="1063"/>
      <c r="G282" s="1063"/>
      <c r="H282" s="1063"/>
      <c r="I282" s="1063"/>
      <c r="J282" s="1063"/>
      <c r="K282" s="1063"/>
      <c r="L282" s="1063"/>
      <c r="M282" s="1063"/>
      <c r="N282" s="1063"/>
      <c r="O282" s="1063"/>
      <c r="P282" s="1063"/>
      <c r="Q282" s="1063"/>
      <c r="R282" s="1063"/>
      <c r="S282" s="1063"/>
      <c r="T282" s="1063"/>
      <c r="U282" s="1063"/>
      <c r="V282" s="1063"/>
      <c r="W282" s="1063"/>
      <c r="X282" s="1063"/>
      <c r="Y282" s="1063"/>
      <c r="Z282" s="1063"/>
      <c r="AA282" s="1063"/>
      <c r="AB282" s="1063"/>
      <c r="AC282" s="1063"/>
      <c r="AD282" s="1063"/>
      <c r="AE282" s="1063"/>
      <c r="AF282" s="1063"/>
      <c r="AG282" s="1063"/>
      <c r="AH282" s="1063"/>
      <c r="AI282" s="1063"/>
      <c r="AJ282" s="1063"/>
      <c r="AK282" s="1063"/>
      <c r="AL282" s="1063"/>
      <c r="AM282" s="1063"/>
      <c r="AN282" s="1063"/>
      <c r="AO282" s="1063"/>
      <c r="AP282" s="1063"/>
      <c r="AQ282" s="1063"/>
      <c r="AR282" s="1063"/>
      <c r="AS282" s="1063"/>
      <c r="AT282" s="1063"/>
      <c r="AU282" s="1063"/>
      <c r="AV282" s="1063"/>
      <c r="AW282" s="1063"/>
      <c r="AX282" s="1063"/>
      <c r="AY282" s="1063"/>
      <c r="AZ282" s="1063"/>
      <c r="BA282" s="1063"/>
      <c r="BB282" s="1063"/>
      <c r="BC282" s="1063"/>
      <c r="BD282" s="1063"/>
      <c r="BE282" s="1063"/>
      <c r="BF282" s="1063"/>
      <c r="BG282" s="1063"/>
      <c r="BH282" s="1063"/>
      <c r="BI282" s="1063"/>
      <c r="BJ282" s="1063"/>
      <c r="BK282" s="1063"/>
      <c r="BL282" s="1063"/>
      <c r="BM282" s="1063"/>
      <c r="BN282" s="1063"/>
      <c r="BO282" s="1063"/>
      <c r="BP282" s="1063"/>
      <c r="BQ282" s="1063"/>
      <c r="BR282" s="1063"/>
      <c r="BS282" s="1063"/>
    </row>
    <row r="283" spans="1:71" ht="12.75">
      <c r="A283" s="1063"/>
      <c r="B283" s="1070"/>
      <c r="C283" s="1070"/>
      <c r="D283" s="1063"/>
      <c r="E283" s="1063"/>
      <c r="F283" s="1063"/>
      <c r="G283" s="1063"/>
      <c r="H283" s="1063"/>
      <c r="I283" s="1063"/>
      <c r="J283" s="1063"/>
      <c r="K283" s="1063"/>
      <c r="L283" s="1063"/>
      <c r="M283" s="1063"/>
      <c r="N283" s="1063"/>
      <c r="O283" s="1063"/>
      <c r="P283" s="1063"/>
      <c r="Q283" s="1063"/>
      <c r="R283" s="1063"/>
      <c r="S283" s="1063"/>
      <c r="T283" s="1063"/>
      <c r="U283" s="1063"/>
      <c r="V283" s="1063"/>
      <c r="W283" s="1063"/>
      <c r="X283" s="1063"/>
      <c r="Y283" s="1063"/>
      <c r="Z283" s="1063"/>
      <c r="AA283" s="1063"/>
      <c r="AB283" s="1063"/>
      <c r="AC283" s="1063"/>
      <c r="AD283" s="1063"/>
      <c r="AE283" s="1063"/>
      <c r="AF283" s="1063"/>
      <c r="AG283" s="1063"/>
      <c r="AH283" s="1063"/>
      <c r="AI283" s="1063"/>
      <c r="AJ283" s="1063"/>
      <c r="AK283" s="1063"/>
      <c r="AL283" s="1063"/>
      <c r="AM283" s="1063"/>
      <c r="AN283" s="1063"/>
      <c r="AO283" s="1063"/>
      <c r="AP283" s="1063"/>
      <c r="AQ283" s="1063"/>
      <c r="AR283" s="1063"/>
      <c r="AS283" s="1063"/>
      <c r="AT283" s="1063"/>
      <c r="AU283" s="1063"/>
      <c r="AV283" s="1063"/>
      <c r="AW283" s="1063"/>
      <c r="AX283" s="1063"/>
      <c r="AY283" s="1063"/>
      <c r="AZ283" s="1063"/>
      <c r="BA283" s="1063"/>
      <c r="BB283" s="1063"/>
      <c r="BC283" s="1063"/>
      <c r="BD283" s="1063"/>
      <c r="BE283" s="1063"/>
      <c r="BF283" s="1063"/>
      <c r="BG283" s="1063"/>
      <c r="BH283" s="1063"/>
      <c r="BI283" s="1063"/>
      <c r="BJ283" s="1063"/>
      <c r="BK283" s="1063"/>
      <c r="BL283" s="1063"/>
      <c r="BM283" s="1063"/>
      <c r="BN283" s="1063"/>
      <c r="BO283" s="1063"/>
      <c r="BP283" s="1063"/>
      <c r="BQ283" s="1063"/>
      <c r="BR283" s="1063"/>
      <c r="BS283" s="1063"/>
    </row>
    <row r="284" spans="1:71" ht="12.75">
      <c r="A284" s="1063"/>
      <c r="B284" s="1070"/>
      <c r="C284" s="1070"/>
      <c r="D284" s="1063"/>
      <c r="E284" s="1063"/>
      <c r="F284" s="1063"/>
      <c r="G284" s="1063"/>
      <c r="H284" s="1063"/>
      <c r="I284" s="1063"/>
      <c r="J284" s="1063"/>
      <c r="K284" s="1063"/>
      <c r="L284" s="1063"/>
      <c r="M284" s="1063"/>
      <c r="N284" s="1063"/>
      <c r="O284" s="1063"/>
      <c r="P284" s="1063"/>
      <c r="Q284" s="1063"/>
      <c r="R284" s="1063"/>
      <c r="S284" s="1063"/>
      <c r="T284" s="1063"/>
      <c r="U284" s="1063"/>
      <c r="V284" s="1063"/>
      <c r="W284" s="1063"/>
      <c r="X284" s="1063"/>
      <c r="Y284" s="1063"/>
      <c r="Z284" s="1063"/>
      <c r="AA284" s="1063"/>
      <c r="AB284" s="1063"/>
      <c r="AC284" s="1063"/>
      <c r="AD284" s="1063"/>
      <c r="AE284" s="1063"/>
      <c r="AF284" s="1063"/>
      <c r="AG284" s="1063"/>
      <c r="AH284" s="1063"/>
      <c r="AI284" s="1063"/>
      <c r="AJ284" s="1063"/>
      <c r="AK284" s="1063"/>
      <c r="AL284" s="1063"/>
      <c r="AM284" s="1063"/>
      <c r="AN284" s="1063"/>
      <c r="AO284" s="1063"/>
      <c r="AP284" s="1063"/>
      <c r="AQ284" s="1063"/>
      <c r="AR284" s="1063"/>
      <c r="AS284" s="1063"/>
      <c r="AT284" s="1063"/>
      <c r="AU284" s="2118"/>
      <c r="AV284" s="2118"/>
      <c r="AW284" s="2118"/>
      <c r="AX284" s="2118"/>
      <c r="AY284" s="2118"/>
      <c r="AZ284" s="2118"/>
      <c r="BA284" s="2118"/>
      <c r="BB284" s="1063"/>
      <c r="BC284" s="1063"/>
      <c r="BD284" s="2118"/>
      <c r="BE284" s="2118"/>
      <c r="BF284" s="2118"/>
      <c r="BG284" s="2118"/>
      <c r="BH284" s="2118"/>
      <c r="BI284" s="2118"/>
      <c r="BJ284" s="2118"/>
      <c r="BK284" s="1063"/>
      <c r="BL284" s="1063"/>
      <c r="BM284" s="1063"/>
      <c r="BN284" s="1063"/>
      <c r="BO284" s="1063"/>
      <c r="BP284" s="1063"/>
      <c r="BQ284" s="1063"/>
      <c r="BR284" s="1063"/>
      <c r="BS284" s="1063"/>
    </row>
    <row r="285" spans="1:71" ht="12.75">
      <c r="A285" s="1063"/>
      <c r="B285" s="1070"/>
      <c r="C285" s="1070"/>
      <c r="D285" s="1063"/>
      <c r="E285" s="1063"/>
      <c r="F285" s="1063"/>
      <c r="G285" s="1063"/>
      <c r="H285" s="1063"/>
      <c r="I285" s="1063"/>
      <c r="J285" s="1063"/>
      <c r="K285" s="1063"/>
      <c r="L285" s="1063"/>
      <c r="M285" s="1063"/>
      <c r="N285" s="1063"/>
      <c r="O285" s="1063"/>
      <c r="P285" s="1063"/>
      <c r="Q285" s="1063"/>
      <c r="R285" s="1063"/>
      <c r="S285" s="1063"/>
      <c r="T285" s="1063"/>
      <c r="U285" s="1063"/>
      <c r="V285" s="1063"/>
      <c r="W285" s="1063"/>
      <c r="X285" s="1063"/>
      <c r="Y285" s="1063"/>
      <c r="Z285" s="1063"/>
      <c r="AA285" s="1063"/>
      <c r="AB285" s="1063"/>
      <c r="AC285" s="1063"/>
      <c r="AD285" s="1063"/>
      <c r="AE285" s="1063"/>
      <c r="AF285" s="1063"/>
      <c r="AG285" s="1063"/>
      <c r="AH285" s="1063"/>
      <c r="AI285" s="1063"/>
      <c r="AJ285" s="1063"/>
      <c r="AK285" s="1063"/>
      <c r="AL285" s="1063"/>
      <c r="AM285" s="1063"/>
      <c r="AN285" s="1063"/>
      <c r="AO285" s="1063"/>
      <c r="AP285" s="1063"/>
      <c r="AQ285" s="1063"/>
      <c r="AR285" s="1063"/>
      <c r="AS285" s="1063"/>
      <c r="AT285" s="1063"/>
      <c r="AU285" s="858"/>
      <c r="AV285" s="1063"/>
      <c r="AW285" s="1063"/>
      <c r="AX285" s="1063"/>
      <c r="AY285" s="1063"/>
      <c r="AZ285" s="1063"/>
      <c r="BA285" s="1063"/>
      <c r="BB285" s="1063"/>
      <c r="BC285" s="1063"/>
      <c r="BD285" s="858"/>
      <c r="BE285" s="1063"/>
      <c r="BF285" s="1063"/>
      <c r="BG285" s="1063"/>
      <c r="BH285" s="1063"/>
      <c r="BI285" s="858"/>
      <c r="BJ285" s="858"/>
      <c r="BK285" s="1063"/>
      <c r="BL285" s="1063"/>
      <c r="BM285" s="1063"/>
      <c r="BN285" s="1063"/>
      <c r="BO285" s="1063"/>
      <c r="BP285" s="1063"/>
      <c r="BQ285" s="1063"/>
      <c r="BR285" s="1063"/>
      <c r="BS285" s="1063"/>
    </row>
    <row r="286" spans="1:71" ht="12.75">
      <c r="A286" s="1063"/>
      <c r="B286" s="1070"/>
      <c r="C286" s="1070"/>
      <c r="D286" s="1063"/>
      <c r="E286" s="1063"/>
      <c r="F286" s="1063"/>
      <c r="G286" s="1063"/>
      <c r="H286" s="1063"/>
      <c r="I286" s="1063"/>
      <c r="J286" s="1063"/>
      <c r="K286" s="1063"/>
      <c r="L286" s="1063"/>
      <c r="M286" s="1063"/>
      <c r="N286" s="1063"/>
      <c r="O286" s="1063"/>
      <c r="P286" s="1063"/>
      <c r="Q286" s="1063"/>
      <c r="R286" s="1063"/>
      <c r="S286" s="1063"/>
      <c r="T286" s="1063"/>
      <c r="U286" s="1063"/>
      <c r="V286" s="1063"/>
      <c r="W286" s="1063"/>
      <c r="X286" s="1063"/>
      <c r="Y286" s="1063"/>
      <c r="Z286" s="1063"/>
      <c r="AA286" s="1063"/>
      <c r="AB286" s="1063"/>
      <c r="AC286" s="1063"/>
      <c r="AD286" s="1063"/>
      <c r="AE286" s="1063"/>
      <c r="AF286" s="1063"/>
      <c r="AG286" s="1063"/>
      <c r="AH286" s="1063"/>
      <c r="AI286" s="1063"/>
      <c r="AJ286" s="1063"/>
      <c r="AK286" s="1063"/>
      <c r="AL286" s="1063"/>
      <c r="AM286" s="1063"/>
      <c r="AN286" s="1063"/>
      <c r="AO286" s="1063"/>
      <c r="AP286" s="1063"/>
      <c r="AQ286" s="1063"/>
      <c r="AR286" s="1063"/>
      <c r="AS286" s="1063"/>
      <c r="AT286" s="1063"/>
      <c r="AU286" s="1071"/>
      <c r="AV286" s="1063"/>
      <c r="AW286" s="1063"/>
      <c r="AX286" s="1063"/>
      <c r="AY286" s="1063"/>
      <c r="AZ286" s="1063"/>
      <c r="BA286" s="1072"/>
      <c r="BB286" s="1063"/>
      <c r="BC286" s="1063"/>
      <c r="BD286" s="1071"/>
      <c r="BE286" s="1063"/>
      <c r="BF286" s="1063"/>
      <c r="BG286" s="1073"/>
      <c r="BH286" s="1072"/>
      <c r="BI286" s="1071"/>
      <c r="BJ286" s="1072"/>
      <c r="BK286" s="1063"/>
      <c r="BL286" s="1063"/>
      <c r="BM286" s="1063"/>
      <c r="BN286" s="1063"/>
      <c r="BO286" s="1063"/>
      <c r="BP286" s="1063"/>
      <c r="BQ286" s="1063"/>
      <c r="BR286" s="1063"/>
      <c r="BS286" s="1063"/>
    </row>
    <row r="287" spans="1:71" ht="12.75">
      <c r="A287" s="1063"/>
      <c r="B287" s="1070"/>
      <c r="C287" s="1070"/>
      <c r="D287" s="1063"/>
      <c r="E287" s="1063"/>
      <c r="F287" s="1063"/>
      <c r="G287" s="1063"/>
      <c r="H287" s="1063"/>
      <c r="I287" s="1063"/>
      <c r="J287" s="1063"/>
      <c r="K287" s="1063"/>
      <c r="L287" s="1063"/>
      <c r="M287" s="1063"/>
      <c r="N287" s="1063"/>
      <c r="O287" s="1063"/>
      <c r="P287" s="1063"/>
      <c r="Q287" s="1063"/>
      <c r="R287" s="1063"/>
      <c r="S287" s="1063"/>
      <c r="T287" s="1063"/>
      <c r="U287" s="1063"/>
      <c r="V287" s="1063"/>
      <c r="W287" s="1063"/>
      <c r="X287" s="1063"/>
      <c r="Y287" s="1063"/>
      <c r="Z287" s="1063"/>
      <c r="AA287" s="1063"/>
      <c r="AB287" s="1063"/>
      <c r="AC287" s="1063"/>
      <c r="AD287" s="1063"/>
      <c r="AE287" s="1063"/>
      <c r="AF287" s="1063"/>
      <c r="AG287" s="1063"/>
      <c r="AH287" s="1063"/>
      <c r="AI287" s="1063"/>
      <c r="AJ287" s="1063"/>
      <c r="AK287" s="1063"/>
      <c r="AL287" s="1063"/>
      <c r="AM287" s="1063"/>
      <c r="AN287" s="1063"/>
      <c r="AO287" s="1063"/>
      <c r="AP287" s="1063"/>
      <c r="AQ287" s="1063"/>
      <c r="AR287" s="1063"/>
      <c r="AS287" s="1063"/>
      <c r="AT287" s="1063"/>
      <c r="AU287" s="1071"/>
      <c r="AV287" s="1063"/>
      <c r="AW287" s="1063"/>
      <c r="AX287" s="1063"/>
      <c r="AY287" s="1063"/>
      <c r="AZ287" s="1063"/>
      <c r="BA287" s="1072"/>
      <c r="BB287" s="1063"/>
      <c r="BC287" s="1063"/>
      <c r="BD287" s="1071"/>
      <c r="BE287" s="1063"/>
      <c r="BF287" s="1063"/>
      <c r="BG287" s="1073"/>
      <c r="BH287" s="1072"/>
      <c r="BI287" s="1071"/>
      <c r="BJ287" s="1072"/>
      <c r="BK287" s="1063"/>
      <c r="BL287" s="1063"/>
      <c r="BM287" s="1063"/>
      <c r="BN287" s="1063"/>
      <c r="BO287" s="1063"/>
      <c r="BP287" s="1063"/>
      <c r="BQ287" s="1063"/>
      <c r="BR287" s="1063"/>
      <c r="BS287" s="1063"/>
    </row>
    <row r="288" spans="1:71" ht="12.75">
      <c r="A288" s="1063"/>
      <c r="B288" s="1070"/>
      <c r="C288" s="1070"/>
      <c r="D288" s="1063"/>
      <c r="E288" s="1063"/>
      <c r="F288" s="1063"/>
      <c r="G288" s="1063"/>
      <c r="H288" s="1063"/>
      <c r="I288" s="1063"/>
      <c r="J288" s="1063"/>
      <c r="K288" s="1063"/>
      <c r="L288" s="1063"/>
      <c r="M288" s="1063"/>
      <c r="N288" s="1063"/>
      <c r="O288" s="1063"/>
      <c r="P288" s="1063"/>
      <c r="Q288" s="1063"/>
      <c r="R288" s="1063"/>
      <c r="S288" s="1063"/>
      <c r="T288" s="1063"/>
      <c r="U288" s="1063"/>
      <c r="V288" s="1063"/>
      <c r="W288" s="1063"/>
      <c r="X288" s="1063"/>
      <c r="Y288" s="1063"/>
      <c r="Z288" s="1063"/>
      <c r="AA288" s="1063"/>
      <c r="AB288" s="1063"/>
      <c r="AC288" s="1063"/>
      <c r="AD288" s="1063"/>
      <c r="AE288" s="1063"/>
      <c r="AF288" s="1063"/>
      <c r="AG288" s="1063"/>
      <c r="AH288" s="1063"/>
      <c r="AI288" s="1063"/>
      <c r="AJ288" s="1063"/>
      <c r="AK288" s="1063"/>
      <c r="AL288" s="1063"/>
      <c r="AM288" s="1063"/>
      <c r="AN288" s="1063"/>
      <c r="AO288" s="1063"/>
      <c r="AP288" s="1063"/>
      <c r="AQ288" s="1063"/>
      <c r="AR288" s="1063"/>
      <c r="AS288" s="1063"/>
      <c r="AT288" s="1063"/>
      <c r="AU288" s="1071"/>
      <c r="AV288" s="1063"/>
      <c r="AW288" s="1063"/>
      <c r="AX288" s="1063"/>
      <c r="AY288" s="1063"/>
      <c r="AZ288" s="1063"/>
      <c r="BA288" s="1072"/>
      <c r="BB288" s="1063"/>
      <c r="BC288" s="1063"/>
      <c r="BD288" s="1071"/>
      <c r="BE288" s="1063"/>
      <c r="BF288" s="1063"/>
      <c r="BG288" s="1073"/>
      <c r="BH288" s="1072"/>
      <c r="BI288" s="1071"/>
      <c r="BJ288" s="1072"/>
      <c r="BK288" s="1073"/>
      <c r="BL288" s="1063"/>
      <c r="BM288" s="1063"/>
      <c r="BN288" s="1063"/>
      <c r="BO288" s="1063"/>
      <c r="BP288" s="1063"/>
      <c r="BQ288" s="1063"/>
      <c r="BR288" s="1063"/>
      <c r="BS288" s="1063"/>
    </row>
    <row r="289" spans="1:71" ht="12.75">
      <c r="A289" s="1063"/>
      <c r="B289" s="1070"/>
      <c r="C289" s="1070"/>
      <c r="D289" s="1063"/>
      <c r="E289" s="1063"/>
      <c r="F289" s="1063"/>
      <c r="G289" s="1063"/>
      <c r="H289" s="1063"/>
      <c r="I289" s="1063"/>
      <c r="J289" s="1063"/>
      <c r="K289" s="1063"/>
      <c r="L289" s="1063"/>
      <c r="M289" s="1063"/>
      <c r="N289" s="1063"/>
      <c r="O289" s="1063"/>
      <c r="P289" s="1063"/>
      <c r="Q289" s="1063"/>
      <c r="R289" s="1063"/>
      <c r="S289" s="1063"/>
      <c r="T289" s="1063"/>
      <c r="U289" s="1063"/>
      <c r="V289" s="1063"/>
      <c r="W289" s="1063"/>
      <c r="X289" s="1063"/>
      <c r="Y289" s="1063"/>
      <c r="Z289" s="1063"/>
      <c r="AA289" s="1063"/>
      <c r="AB289" s="1063"/>
      <c r="AC289" s="1063"/>
      <c r="AD289" s="1063"/>
      <c r="AE289" s="1063"/>
      <c r="AF289" s="1063"/>
      <c r="AG289" s="1063"/>
      <c r="AH289" s="1063"/>
      <c r="AI289" s="1063"/>
      <c r="AJ289" s="1063"/>
      <c r="AK289" s="1063"/>
      <c r="AL289" s="1063"/>
      <c r="AM289" s="1063"/>
      <c r="AN289" s="1063"/>
      <c r="AO289" s="1063"/>
      <c r="AP289" s="1063"/>
      <c r="AQ289" s="1063"/>
      <c r="AR289" s="1063"/>
      <c r="AS289" s="1063"/>
      <c r="AT289" s="1063"/>
      <c r="AU289" s="1063"/>
      <c r="AV289" s="1063"/>
      <c r="AW289" s="1063"/>
      <c r="AX289" s="1063"/>
      <c r="AY289" s="1063"/>
      <c r="AZ289" s="1063"/>
      <c r="BA289" s="1072"/>
      <c r="BB289" s="1063"/>
      <c r="BC289" s="1063"/>
      <c r="BD289" s="1063"/>
      <c r="BE289" s="1063"/>
      <c r="BF289" s="1063"/>
      <c r="BG289" s="1063"/>
      <c r="BH289" s="1072"/>
      <c r="BI289" s="1063"/>
      <c r="BJ289" s="1072"/>
      <c r="BK289" s="1063"/>
      <c r="BL289" s="1063"/>
      <c r="BM289" s="1063"/>
      <c r="BN289" s="1063"/>
      <c r="BO289" s="1063"/>
      <c r="BP289" s="1063"/>
      <c r="BQ289" s="1063"/>
      <c r="BR289" s="1063"/>
      <c r="BS289" s="1063"/>
    </row>
    <row r="290" spans="1:71" ht="12.75">
      <c r="A290" s="1063"/>
      <c r="B290" s="1070"/>
      <c r="C290" s="1070"/>
      <c r="D290" s="1063"/>
      <c r="E290" s="1063"/>
      <c r="F290" s="1063"/>
      <c r="G290" s="1063"/>
      <c r="H290" s="1063"/>
      <c r="I290" s="1063"/>
      <c r="J290" s="1063"/>
      <c r="K290" s="1063"/>
      <c r="L290" s="1063"/>
      <c r="M290" s="1063"/>
      <c r="N290" s="1063"/>
      <c r="O290" s="1063"/>
      <c r="P290" s="1063"/>
      <c r="Q290" s="1063"/>
      <c r="R290" s="1063"/>
      <c r="S290" s="1063"/>
      <c r="T290" s="1063"/>
      <c r="U290" s="1063"/>
      <c r="V290" s="1063"/>
      <c r="W290" s="1063"/>
      <c r="X290" s="1063"/>
      <c r="Y290" s="1063"/>
      <c r="Z290" s="1063"/>
      <c r="AA290" s="1063"/>
      <c r="AB290" s="1063"/>
      <c r="AC290" s="1063"/>
      <c r="AD290" s="1063"/>
      <c r="AE290" s="1063"/>
      <c r="AF290" s="1063"/>
      <c r="AG290" s="1063"/>
      <c r="AH290" s="1063"/>
      <c r="AI290" s="1063"/>
      <c r="AJ290" s="1063"/>
      <c r="AK290" s="1063"/>
      <c r="AL290" s="1063"/>
      <c r="AM290" s="1063"/>
      <c r="AN290" s="1063"/>
      <c r="AO290" s="1063"/>
      <c r="AP290" s="1063"/>
      <c r="AQ290" s="1063"/>
      <c r="AR290" s="1063"/>
      <c r="AS290" s="1063"/>
      <c r="AT290" s="1063"/>
      <c r="AU290" s="1063"/>
      <c r="AV290" s="1063"/>
      <c r="AW290" s="1063"/>
      <c r="AX290" s="1063"/>
      <c r="AY290" s="1063"/>
      <c r="AZ290" s="1063"/>
      <c r="BA290" s="1063"/>
      <c r="BB290" s="1063"/>
      <c r="BC290" s="1063"/>
      <c r="BD290" s="1063"/>
      <c r="BE290" s="1063"/>
      <c r="BF290" s="1063"/>
      <c r="BG290" s="1063"/>
      <c r="BH290" s="1063"/>
      <c r="BI290" s="1063"/>
      <c r="BJ290" s="1063"/>
      <c r="BK290" s="1063"/>
      <c r="BL290" s="1063"/>
      <c r="BM290" s="1063"/>
      <c r="BN290" s="1063"/>
      <c r="BO290" s="1063"/>
      <c r="BP290" s="1063"/>
      <c r="BQ290" s="1063"/>
      <c r="BR290" s="1063"/>
      <c r="BS290" s="1063"/>
    </row>
    <row r="291" spans="1:71" ht="12.75">
      <c r="A291" s="1063"/>
      <c r="B291" s="1070"/>
      <c r="C291" s="1070"/>
      <c r="D291" s="1063"/>
      <c r="E291" s="1063"/>
      <c r="F291" s="1063"/>
      <c r="G291" s="1079"/>
      <c r="H291" s="1063"/>
      <c r="I291" s="1063"/>
      <c r="J291" s="1063"/>
      <c r="K291" s="1063"/>
      <c r="L291" s="1063"/>
      <c r="M291" s="1063"/>
      <c r="N291" s="1063"/>
      <c r="O291" s="1063"/>
      <c r="P291" s="1063"/>
      <c r="Q291" s="1063"/>
      <c r="R291" s="1063"/>
      <c r="S291" s="1063"/>
      <c r="T291" s="1063"/>
      <c r="U291" s="1063"/>
      <c r="V291" s="1063"/>
      <c r="W291" s="1063"/>
      <c r="X291" s="1063"/>
      <c r="Y291" s="1063"/>
      <c r="Z291" s="1063"/>
      <c r="AA291" s="1063"/>
      <c r="AB291" s="1063"/>
      <c r="AC291" s="1063"/>
      <c r="AD291" s="1063"/>
      <c r="AE291" s="1063"/>
      <c r="AF291" s="1063"/>
      <c r="AG291" s="1063"/>
      <c r="AH291" s="1063"/>
      <c r="AI291" s="1063"/>
      <c r="AJ291" s="1063"/>
      <c r="AK291" s="1063"/>
      <c r="AL291" s="1063"/>
      <c r="AM291" s="1063"/>
      <c r="AN291" s="1063"/>
      <c r="AO291" s="1063"/>
      <c r="AP291" s="1063"/>
      <c r="AQ291" s="1063"/>
      <c r="AR291" s="1063"/>
      <c r="AS291" s="1063"/>
      <c r="AT291" s="1063"/>
      <c r="AU291" s="1063"/>
      <c r="AV291" s="1063"/>
      <c r="AW291" s="1063"/>
      <c r="AX291" s="1063"/>
      <c r="AY291" s="1063"/>
      <c r="AZ291" s="1063"/>
      <c r="BA291" s="1063"/>
      <c r="BB291" s="1063"/>
      <c r="BC291" s="1063"/>
      <c r="BD291" s="1063"/>
      <c r="BE291" s="1063"/>
      <c r="BF291" s="1063"/>
      <c r="BG291" s="1063"/>
      <c r="BH291" s="1063"/>
      <c r="BI291" s="1063"/>
      <c r="BJ291" s="1063"/>
      <c r="BK291" s="1063"/>
      <c r="BL291" s="1063"/>
      <c r="BM291" s="1063"/>
      <c r="BN291" s="1063"/>
      <c r="BO291" s="1063"/>
      <c r="BP291" s="1063"/>
      <c r="BQ291" s="1063"/>
      <c r="BR291" s="1063"/>
      <c r="BS291" s="1063"/>
    </row>
    <row r="292" spans="1:71" ht="12.75">
      <c r="A292" s="1063"/>
      <c r="B292" s="1070"/>
      <c r="C292" s="1070"/>
      <c r="D292" s="1063"/>
      <c r="E292" s="1063"/>
      <c r="F292" s="1063"/>
      <c r="G292" s="1080"/>
      <c r="H292" s="1071"/>
      <c r="I292" s="1071"/>
      <c r="J292" s="1071"/>
      <c r="K292" s="1071"/>
      <c r="L292" s="1071"/>
      <c r="M292" s="1071"/>
      <c r="N292" s="1071"/>
      <c r="O292" s="1071"/>
      <c r="P292" s="1071"/>
      <c r="Q292" s="1071"/>
      <c r="R292" s="1071"/>
      <c r="S292" s="1071"/>
      <c r="T292" s="1071"/>
      <c r="U292" s="1071"/>
      <c r="V292" s="1071"/>
      <c r="W292" s="1071"/>
      <c r="X292" s="1071"/>
      <c r="Y292" s="1071"/>
      <c r="Z292" s="1071"/>
      <c r="AA292" s="1071"/>
      <c r="AB292" s="1071"/>
      <c r="AC292" s="1071"/>
      <c r="AD292" s="1071"/>
      <c r="AE292" s="1071"/>
      <c r="AF292" s="1071"/>
      <c r="AG292" s="1071"/>
      <c r="AH292" s="1071"/>
      <c r="AI292" s="1071"/>
      <c r="AJ292" s="1071"/>
      <c r="AK292" s="1071"/>
      <c r="AL292" s="1071"/>
      <c r="AM292" s="1071"/>
      <c r="AN292" s="1071"/>
      <c r="AO292" s="1071"/>
      <c r="AP292" s="1071"/>
      <c r="AQ292" s="1071"/>
      <c r="AR292" s="1071"/>
      <c r="AS292" s="1071"/>
      <c r="AT292" s="1071"/>
      <c r="AU292" s="1071"/>
      <c r="AV292" s="1063"/>
      <c r="AW292" s="1063"/>
      <c r="AX292" s="1063"/>
      <c r="AY292" s="1063"/>
      <c r="AZ292" s="1063"/>
      <c r="BA292" s="1063"/>
      <c r="BB292" s="1063"/>
      <c r="BC292" s="1063"/>
      <c r="BD292" s="1063"/>
      <c r="BE292" s="1063"/>
      <c r="BF292" s="1063"/>
      <c r="BG292" s="1063"/>
      <c r="BH292" s="1063"/>
      <c r="BI292" s="1063"/>
      <c r="BJ292" s="1063"/>
      <c r="BK292" s="1063"/>
      <c r="BL292" s="1063"/>
      <c r="BM292" s="1063"/>
      <c r="BN292" s="1063"/>
      <c r="BO292" s="1063"/>
      <c r="BP292" s="1063"/>
      <c r="BQ292" s="1063"/>
      <c r="BR292" s="1063"/>
      <c r="BS292" s="1063"/>
    </row>
    <row r="293" spans="1:71" ht="12.75">
      <c r="A293" s="1063"/>
      <c r="B293" s="1070"/>
      <c r="C293" s="1070"/>
      <c r="D293" s="1063"/>
      <c r="E293" s="1063"/>
      <c r="F293" s="1063"/>
      <c r="G293" s="1080"/>
      <c r="H293" s="1071"/>
      <c r="I293" s="1071"/>
      <c r="J293" s="1071"/>
      <c r="K293" s="1071"/>
      <c r="L293" s="1071"/>
      <c r="M293" s="1071"/>
      <c r="N293" s="1071"/>
      <c r="O293" s="1071"/>
      <c r="P293" s="1071"/>
      <c r="Q293" s="1071"/>
      <c r="R293" s="1071"/>
      <c r="S293" s="1071"/>
      <c r="T293" s="1071"/>
      <c r="U293" s="1071"/>
      <c r="V293" s="1071"/>
      <c r="W293" s="1071"/>
      <c r="X293" s="1071"/>
      <c r="Y293" s="1071"/>
      <c r="Z293" s="1071"/>
      <c r="AA293" s="1071"/>
      <c r="AB293" s="1071"/>
      <c r="AC293" s="1071"/>
      <c r="AD293" s="1071"/>
      <c r="AE293" s="1071"/>
      <c r="AF293" s="1071"/>
      <c r="AG293" s="1071"/>
      <c r="AH293" s="1071"/>
      <c r="AI293" s="1071"/>
      <c r="AJ293" s="1071"/>
      <c r="AK293" s="1071"/>
      <c r="AL293" s="1071"/>
      <c r="AM293" s="1071"/>
      <c r="AN293" s="1071"/>
      <c r="AO293" s="1071"/>
      <c r="AP293" s="1071"/>
      <c r="AQ293" s="1071"/>
      <c r="AR293" s="1071"/>
      <c r="AS293" s="1071"/>
      <c r="AT293" s="1071"/>
      <c r="AU293" s="1071"/>
      <c r="AV293" s="1063"/>
      <c r="AW293" s="1063"/>
      <c r="AX293" s="1063"/>
      <c r="AY293" s="1063"/>
      <c r="AZ293" s="1063"/>
      <c r="BA293" s="1063"/>
      <c r="BB293" s="1063"/>
      <c r="BC293" s="1063"/>
      <c r="BD293" s="1063"/>
      <c r="BE293" s="1063"/>
      <c r="BF293" s="1063"/>
      <c r="BG293" s="1063"/>
      <c r="BH293" s="1063"/>
      <c r="BI293" s="1063"/>
      <c r="BJ293" s="1063"/>
      <c r="BK293" s="1063"/>
      <c r="BL293" s="1063"/>
      <c r="BM293" s="1063"/>
      <c r="BN293" s="1063"/>
      <c r="BO293" s="1063"/>
      <c r="BP293" s="1063"/>
      <c r="BQ293" s="1063"/>
      <c r="BR293" s="1063"/>
      <c r="BS293" s="1063"/>
    </row>
    <row r="294" spans="1:71" ht="12.75">
      <c r="A294" s="1063"/>
      <c r="B294" s="1070"/>
      <c r="C294" s="1070"/>
      <c r="D294" s="1063"/>
      <c r="E294" s="1063"/>
      <c r="F294" s="1063"/>
      <c r="G294" s="1080"/>
      <c r="H294" s="1071"/>
      <c r="I294" s="1071"/>
      <c r="J294" s="1071"/>
      <c r="K294" s="1071"/>
      <c r="L294" s="1071"/>
      <c r="M294" s="1071"/>
      <c r="N294" s="1071"/>
      <c r="O294" s="1071"/>
      <c r="P294" s="1071"/>
      <c r="Q294" s="1071"/>
      <c r="R294" s="1071"/>
      <c r="S294" s="1071"/>
      <c r="T294" s="1071"/>
      <c r="U294" s="1071"/>
      <c r="V294" s="1071"/>
      <c r="W294" s="1071"/>
      <c r="X294" s="1071"/>
      <c r="Y294" s="1071"/>
      <c r="Z294" s="1071"/>
      <c r="AA294" s="1071"/>
      <c r="AB294" s="1071"/>
      <c r="AC294" s="1071"/>
      <c r="AD294" s="1071"/>
      <c r="AE294" s="1071"/>
      <c r="AF294" s="1071"/>
      <c r="AG294" s="1071"/>
      <c r="AH294" s="1071"/>
      <c r="AI294" s="1071"/>
      <c r="AJ294" s="1071"/>
      <c r="AK294" s="1071"/>
      <c r="AL294" s="1071"/>
      <c r="AM294" s="1071"/>
      <c r="AN294" s="1071"/>
      <c r="AO294" s="1071"/>
      <c r="AP294" s="1071"/>
      <c r="AQ294" s="1071"/>
      <c r="AR294" s="1071"/>
      <c r="AS294" s="1071"/>
      <c r="AT294" s="1071"/>
      <c r="AU294" s="1071"/>
      <c r="AV294" s="1063"/>
      <c r="AW294" s="1063"/>
      <c r="AX294" s="1063"/>
      <c r="AY294" s="1063"/>
      <c r="AZ294" s="1063"/>
      <c r="BA294" s="1063"/>
      <c r="BB294" s="1063"/>
      <c r="BC294" s="1063"/>
      <c r="BD294" s="1063"/>
      <c r="BE294" s="1063"/>
      <c r="BF294" s="1063"/>
      <c r="BG294" s="1063"/>
      <c r="BH294" s="1063"/>
      <c r="BI294" s="1063"/>
      <c r="BJ294" s="1063"/>
      <c r="BK294" s="1063"/>
      <c r="BL294" s="1063"/>
      <c r="BM294" s="1063"/>
      <c r="BN294" s="1063"/>
      <c r="BO294" s="1063"/>
      <c r="BP294" s="1063"/>
      <c r="BQ294" s="1063"/>
      <c r="BR294" s="1063"/>
      <c r="BS294" s="1063"/>
    </row>
    <row r="295" spans="1:71" ht="12.75">
      <c r="A295" s="1063"/>
      <c r="B295" s="1070"/>
      <c r="C295" s="1070"/>
      <c r="D295" s="1063"/>
      <c r="E295" s="1063"/>
      <c r="F295" s="1063"/>
      <c r="G295" s="1080"/>
      <c r="H295" s="1071"/>
      <c r="I295" s="1071"/>
      <c r="J295" s="1071"/>
      <c r="K295" s="1071"/>
      <c r="L295" s="1071"/>
      <c r="M295" s="1071"/>
      <c r="N295" s="1071"/>
      <c r="O295" s="1071"/>
      <c r="P295" s="1071"/>
      <c r="Q295" s="1071"/>
      <c r="R295" s="1071"/>
      <c r="S295" s="1071"/>
      <c r="T295" s="1071"/>
      <c r="U295" s="1071"/>
      <c r="V295" s="1071"/>
      <c r="W295" s="1071"/>
      <c r="X295" s="1071"/>
      <c r="Y295" s="1071"/>
      <c r="Z295" s="1071"/>
      <c r="AA295" s="1071"/>
      <c r="AB295" s="1071"/>
      <c r="AC295" s="1071"/>
      <c r="AD295" s="1071"/>
      <c r="AE295" s="1071"/>
      <c r="AF295" s="1071"/>
      <c r="AG295" s="1071"/>
      <c r="AH295" s="1071"/>
      <c r="AI295" s="1071"/>
      <c r="AJ295" s="1071"/>
      <c r="AK295" s="1071"/>
      <c r="AL295" s="1071"/>
      <c r="AM295" s="1071"/>
      <c r="AN295" s="1071"/>
      <c r="AO295" s="1071"/>
      <c r="AP295" s="1071"/>
      <c r="AQ295" s="1071"/>
      <c r="AR295" s="1071"/>
      <c r="AS295" s="1071"/>
      <c r="AT295" s="1071"/>
      <c r="AU295" s="1071"/>
      <c r="AV295" s="1063"/>
      <c r="AW295" s="1063"/>
      <c r="AX295" s="1063"/>
      <c r="AY295" s="1063"/>
      <c r="AZ295" s="1063"/>
      <c r="BA295" s="1063"/>
      <c r="BB295" s="1063"/>
      <c r="BC295" s="1063"/>
      <c r="BD295" s="1063"/>
      <c r="BE295" s="1063"/>
      <c r="BF295" s="1063"/>
      <c r="BG295" s="1063"/>
      <c r="BH295" s="1063"/>
      <c r="BI295" s="1063"/>
      <c r="BJ295" s="1063"/>
      <c r="BK295" s="1063"/>
      <c r="BL295" s="1063"/>
      <c r="BM295" s="1063"/>
      <c r="BN295" s="1063"/>
      <c r="BO295" s="1063"/>
      <c r="BP295" s="1063"/>
      <c r="BQ295" s="1063"/>
      <c r="BR295" s="1063"/>
      <c r="BS295" s="1063"/>
    </row>
    <row r="296" spans="1:71" ht="12.75">
      <c r="A296" s="1063"/>
      <c r="B296" s="1070"/>
      <c r="C296" s="1070"/>
      <c r="D296" s="1063"/>
      <c r="E296" s="1063"/>
      <c r="F296" s="1063"/>
      <c r="G296" s="1080"/>
      <c r="H296" s="1071"/>
      <c r="I296" s="1071"/>
      <c r="J296" s="1071"/>
      <c r="K296" s="1071"/>
      <c r="L296" s="1071"/>
      <c r="M296" s="1071"/>
      <c r="N296" s="1071"/>
      <c r="O296" s="1071"/>
      <c r="P296" s="1071"/>
      <c r="Q296" s="1071"/>
      <c r="R296" s="1071"/>
      <c r="S296" s="1071"/>
      <c r="T296" s="1071"/>
      <c r="U296" s="1071"/>
      <c r="V296" s="1071"/>
      <c r="W296" s="1071"/>
      <c r="X296" s="1071"/>
      <c r="Y296" s="1071"/>
      <c r="Z296" s="1071"/>
      <c r="AA296" s="1071"/>
      <c r="AB296" s="1071"/>
      <c r="AC296" s="1071"/>
      <c r="AD296" s="1071"/>
      <c r="AE296" s="1071"/>
      <c r="AF296" s="1071"/>
      <c r="AG296" s="1071"/>
      <c r="AH296" s="1071"/>
      <c r="AI296" s="1071"/>
      <c r="AJ296" s="1071"/>
      <c r="AK296" s="1071"/>
      <c r="AL296" s="1071"/>
      <c r="AM296" s="1071"/>
      <c r="AN296" s="1071"/>
      <c r="AO296" s="1071"/>
      <c r="AP296" s="1071"/>
      <c r="AQ296" s="1071"/>
      <c r="AR296" s="1071"/>
      <c r="AS296" s="1071"/>
      <c r="AT296" s="1071"/>
      <c r="AU296" s="1071"/>
      <c r="AV296" s="1063"/>
      <c r="AW296" s="1063"/>
      <c r="AX296" s="1063"/>
      <c r="AY296" s="1063"/>
      <c r="AZ296" s="1063"/>
      <c r="BA296" s="1063"/>
      <c r="BB296" s="1063"/>
      <c r="BC296" s="1063"/>
      <c r="BD296" s="1063"/>
      <c r="BE296" s="1063"/>
      <c r="BF296" s="1063"/>
      <c r="BG296" s="1063"/>
      <c r="BH296" s="1063"/>
      <c r="BI296" s="1063"/>
      <c r="BJ296" s="1063"/>
      <c r="BK296" s="1063"/>
      <c r="BL296" s="1063"/>
      <c r="BM296" s="1063"/>
      <c r="BN296" s="1063"/>
      <c r="BO296" s="1063"/>
      <c r="BP296" s="1063"/>
      <c r="BQ296" s="1063"/>
      <c r="BR296" s="1063"/>
      <c r="BS296" s="1063"/>
    </row>
    <row r="297" spans="1:71" ht="12.75">
      <c r="A297" s="1063"/>
      <c r="B297" s="1070"/>
      <c r="C297" s="1070"/>
      <c r="D297" s="1063"/>
      <c r="E297" s="1063"/>
      <c r="F297" s="1063"/>
      <c r="G297" s="1080"/>
      <c r="H297" s="1071"/>
      <c r="I297" s="1071"/>
      <c r="J297" s="1071"/>
      <c r="K297" s="1071"/>
      <c r="L297" s="1071"/>
      <c r="M297" s="1071"/>
      <c r="N297" s="1071"/>
      <c r="O297" s="1071"/>
      <c r="P297" s="1071"/>
      <c r="Q297" s="1071"/>
      <c r="R297" s="1071"/>
      <c r="S297" s="1071"/>
      <c r="T297" s="1071"/>
      <c r="U297" s="1071"/>
      <c r="V297" s="1071"/>
      <c r="W297" s="1071"/>
      <c r="X297" s="1071"/>
      <c r="Y297" s="1071"/>
      <c r="Z297" s="1071"/>
      <c r="AA297" s="1071"/>
      <c r="AB297" s="1071"/>
      <c r="AC297" s="1071"/>
      <c r="AD297" s="1071"/>
      <c r="AE297" s="1071"/>
      <c r="AF297" s="1071"/>
      <c r="AG297" s="1071"/>
      <c r="AH297" s="1071"/>
      <c r="AI297" s="1071"/>
      <c r="AJ297" s="1071"/>
      <c r="AK297" s="1071"/>
      <c r="AL297" s="1071"/>
      <c r="AM297" s="1071"/>
      <c r="AN297" s="1071"/>
      <c r="AO297" s="1071"/>
      <c r="AP297" s="1071"/>
      <c r="AQ297" s="1071"/>
      <c r="AR297" s="1071"/>
      <c r="AS297" s="1071"/>
      <c r="AT297" s="1071"/>
      <c r="AU297" s="1071"/>
      <c r="AV297" s="1063"/>
      <c r="AW297" s="1063"/>
      <c r="AX297" s="1063"/>
      <c r="AY297" s="1063"/>
      <c r="AZ297" s="1063"/>
      <c r="BA297" s="1063"/>
      <c r="BB297" s="1063"/>
      <c r="BC297" s="1063"/>
      <c r="BD297" s="1063"/>
      <c r="BE297" s="1063"/>
      <c r="BF297" s="1063"/>
      <c r="BG297" s="1063"/>
      <c r="BH297" s="1063"/>
      <c r="BI297" s="1063"/>
      <c r="BJ297" s="1063"/>
      <c r="BK297" s="1063"/>
      <c r="BL297" s="1063"/>
      <c r="BM297" s="1063"/>
      <c r="BN297" s="1063"/>
      <c r="BO297" s="1063"/>
      <c r="BP297" s="1063"/>
      <c r="BQ297" s="1063"/>
      <c r="BR297" s="1063"/>
      <c r="BS297" s="1063"/>
    </row>
    <row r="298" spans="1:71" ht="12.75">
      <c r="A298" s="1063"/>
      <c r="B298" s="1070"/>
      <c r="C298" s="1070"/>
      <c r="D298" s="1063"/>
      <c r="E298" s="1063"/>
      <c r="F298" s="1063"/>
      <c r="G298" s="1063"/>
      <c r="H298" s="1071"/>
      <c r="I298" s="1071"/>
      <c r="J298" s="1071"/>
      <c r="K298" s="1071"/>
      <c r="L298" s="1071"/>
      <c r="M298" s="1071"/>
      <c r="N298" s="1071"/>
      <c r="O298" s="1071"/>
      <c r="P298" s="1071"/>
      <c r="Q298" s="1071"/>
      <c r="R298" s="1071"/>
      <c r="S298" s="1071"/>
      <c r="T298" s="1071"/>
      <c r="U298" s="1071"/>
      <c r="V298" s="1071"/>
      <c r="W298" s="1071"/>
      <c r="X298" s="1071"/>
      <c r="Y298" s="1071"/>
      <c r="Z298" s="1071"/>
      <c r="AA298" s="1071"/>
      <c r="AB298" s="1071"/>
      <c r="AC298" s="1071"/>
      <c r="AD298" s="1071"/>
      <c r="AE298" s="1071"/>
      <c r="AF298" s="1071"/>
      <c r="AG298" s="1071"/>
      <c r="AH298" s="1071"/>
      <c r="AI298" s="1071"/>
      <c r="AJ298" s="1071"/>
      <c r="AK298" s="1071"/>
      <c r="AL298" s="1071"/>
      <c r="AM298" s="1071"/>
      <c r="AN298" s="1071"/>
      <c r="AO298" s="1071"/>
      <c r="AP298" s="1071"/>
      <c r="AQ298" s="1071"/>
      <c r="AR298" s="1071"/>
      <c r="AS298" s="1071"/>
      <c r="AT298" s="1071"/>
      <c r="AU298" s="1071"/>
      <c r="AV298" s="1063"/>
      <c r="AW298" s="1063"/>
      <c r="AX298" s="1063"/>
      <c r="AY298" s="1063"/>
      <c r="AZ298" s="1063"/>
      <c r="BA298" s="1063"/>
      <c r="BB298" s="1063"/>
      <c r="BC298" s="1063"/>
      <c r="BD298" s="1063"/>
      <c r="BE298" s="1063"/>
      <c r="BF298" s="1063"/>
      <c r="BG298" s="1063"/>
      <c r="BH298" s="1063"/>
      <c r="BI298" s="1063"/>
      <c r="BJ298" s="1063"/>
      <c r="BK298" s="1063"/>
      <c r="BL298" s="1063"/>
      <c r="BM298" s="1063"/>
      <c r="BN298" s="1063"/>
      <c r="BO298" s="1063"/>
      <c r="BP298" s="1063"/>
      <c r="BQ298" s="1063"/>
      <c r="BR298" s="1063"/>
      <c r="BS298" s="1063"/>
    </row>
    <row r="299" spans="1:71" ht="12.75">
      <c r="A299" s="1063"/>
      <c r="B299" s="1070"/>
      <c r="C299" s="1070"/>
      <c r="D299" s="1063"/>
      <c r="E299" s="1063"/>
      <c r="F299" s="1063"/>
      <c r="G299" s="1081"/>
      <c r="H299" s="1072"/>
      <c r="I299" s="1072"/>
      <c r="J299" s="1072"/>
      <c r="K299" s="1072"/>
      <c r="L299" s="1072"/>
      <c r="M299" s="1072"/>
      <c r="N299" s="1072"/>
      <c r="O299" s="1072"/>
      <c r="P299" s="1072"/>
      <c r="Q299" s="1072"/>
      <c r="R299" s="1072"/>
      <c r="S299" s="1072"/>
      <c r="T299" s="1072"/>
      <c r="U299" s="1072"/>
      <c r="V299" s="1072"/>
      <c r="W299" s="1072"/>
      <c r="X299" s="1072"/>
      <c r="Y299" s="1072"/>
      <c r="Z299" s="1072"/>
      <c r="AA299" s="1072"/>
      <c r="AB299" s="1072"/>
      <c r="AC299" s="1072"/>
      <c r="AD299" s="1072"/>
      <c r="AE299" s="1072"/>
      <c r="AF299" s="1072"/>
      <c r="AG299" s="1072"/>
      <c r="AH299" s="1072"/>
      <c r="AI299" s="1072"/>
      <c r="AJ299" s="1072"/>
      <c r="AK299" s="1072"/>
      <c r="AL299" s="1072"/>
      <c r="AM299" s="1072"/>
      <c r="AN299" s="1072"/>
      <c r="AO299" s="1072"/>
      <c r="AP299" s="1071"/>
      <c r="AQ299" s="1071"/>
      <c r="AR299" s="1082"/>
      <c r="AS299" s="1071"/>
      <c r="AT299" s="1071"/>
      <c r="AU299" s="1071"/>
      <c r="AV299" s="1063"/>
      <c r="AW299" s="1063"/>
      <c r="AX299" s="1063"/>
      <c r="AY299" s="1063"/>
      <c r="AZ299" s="1063"/>
      <c r="BA299" s="1063"/>
      <c r="BB299" s="1063"/>
      <c r="BC299" s="1063"/>
      <c r="BD299" s="1063"/>
      <c r="BE299" s="1063"/>
      <c r="BF299" s="1063"/>
      <c r="BG299" s="1063"/>
      <c r="BH299" s="1063"/>
      <c r="BI299" s="1063"/>
      <c r="BJ299" s="1063"/>
      <c r="BK299" s="1063"/>
      <c r="BL299" s="1063"/>
      <c r="BM299" s="1063"/>
      <c r="BN299" s="1063"/>
      <c r="BO299" s="1063"/>
      <c r="BP299" s="1063"/>
      <c r="BQ299" s="1063"/>
      <c r="BR299" s="1063"/>
      <c r="BS299" s="1063"/>
    </row>
    <row r="300" spans="1:71" ht="12.75">
      <c r="A300" s="1063"/>
      <c r="B300" s="1070"/>
      <c r="C300" s="1070"/>
      <c r="D300" s="1063"/>
      <c r="E300" s="1063"/>
      <c r="F300" s="1063"/>
      <c r="G300" s="1081"/>
      <c r="H300" s="1071"/>
      <c r="I300" s="1071"/>
      <c r="J300" s="1071"/>
      <c r="K300" s="1071"/>
      <c r="L300" s="1071"/>
      <c r="M300" s="1071"/>
      <c r="N300" s="1071"/>
      <c r="O300" s="1071"/>
      <c r="P300" s="1071"/>
      <c r="Q300" s="1071"/>
      <c r="R300" s="1071"/>
      <c r="S300" s="1071"/>
      <c r="T300" s="1071"/>
      <c r="U300" s="1071"/>
      <c r="V300" s="1071"/>
      <c r="W300" s="1071"/>
      <c r="X300" s="1071"/>
      <c r="Y300" s="1071"/>
      <c r="Z300" s="1071"/>
      <c r="AA300" s="1071"/>
      <c r="AB300" s="1071"/>
      <c r="AC300" s="1071"/>
      <c r="AD300" s="1071"/>
      <c r="AE300" s="1071"/>
      <c r="AF300" s="1071"/>
      <c r="AG300" s="1071"/>
      <c r="AH300" s="1071"/>
      <c r="AI300" s="1071"/>
      <c r="AJ300" s="1071"/>
      <c r="AK300" s="1071"/>
      <c r="AL300" s="1071"/>
      <c r="AM300" s="1071"/>
      <c r="AN300" s="1071"/>
      <c r="AO300" s="1071"/>
      <c r="AP300" s="1071"/>
      <c r="AQ300" s="1071"/>
      <c r="AR300" s="1071"/>
      <c r="AS300" s="1071"/>
      <c r="AT300" s="1071"/>
      <c r="AU300" s="1071"/>
      <c r="AV300" s="1063"/>
      <c r="AW300" s="1063"/>
      <c r="AX300" s="1063"/>
      <c r="AY300" s="1063"/>
      <c r="AZ300" s="1063"/>
      <c r="BA300" s="1063"/>
      <c r="BB300" s="1063"/>
      <c r="BC300" s="1063"/>
      <c r="BD300" s="1063"/>
      <c r="BE300" s="1063"/>
      <c r="BF300" s="1063"/>
      <c r="BG300" s="1063"/>
      <c r="BH300" s="1063"/>
      <c r="BI300" s="1063"/>
      <c r="BJ300" s="1063"/>
      <c r="BK300" s="1063"/>
      <c r="BL300" s="1063"/>
      <c r="BM300" s="1063"/>
      <c r="BN300" s="1063"/>
      <c r="BO300" s="1063"/>
      <c r="BP300" s="1063"/>
      <c r="BQ300" s="1063"/>
      <c r="BR300" s="1063"/>
      <c r="BS300" s="1063"/>
    </row>
    <row r="301" spans="1:256" ht="12.75">
      <c r="A301" s="1066"/>
      <c r="B301" s="1077"/>
      <c r="C301" s="1077"/>
      <c r="D301" s="1066"/>
      <c r="E301" s="1066"/>
      <c r="F301" s="1066"/>
      <c r="G301" s="1080"/>
      <c r="H301" s="1078"/>
      <c r="I301" s="1078"/>
      <c r="J301" s="1078"/>
      <c r="K301" s="1078"/>
      <c r="L301" s="1078"/>
      <c r="M301" s="1078"/>
      <c r="N301" s="1078"/>
      <c r="O301" s="1078"/>
      <c r="P301" s="1078"/>
      <c r="Q301" s="1078"/>
      <c r="R301" s="1078"/>
      <c r="S301" s="1078"/>
      <c r="T301" s="1078"/>
      <c r="U301" s="1078"/>
      <c r="V301" s="1078"/>
      <c r="W301" s="1078"/>
      <c r="X301" s="1078"/>
      <c r="Y301" s="1078"/>
      <c r="Z301" s="1078"/>
      <c r="AA301" s="1078"/>
      <c r="AB301" s="1078"/>
      <c r="AC301" s="1078"/>
      <c r="AD301" s="1078"/>
      <c r="AE301" s="1078"/>
      <c r="AF301" s="1078"/>
      <c r="AG301" s="1078"/>
      <c r="AH301" s="1078"/>
      <c r="AI301" s="1078"/>
      <c r="AJ301" s="1078"/>
      <c r="AK301" s="1078"/>
      <c r="AL301" s="1078"/>
      <c r="AM301" s="1078"/>
      <c r="AN301" s="1078"/>
      <c r="AO301" s="1078"/>
      <c r="AP301" s="1078"/>
      <c r="AQ301" s="1078"/>
      <c r="AR301" s="1078"/>
      <c r="AS301" s="1066"/>
      <c r="AT301" s="1066"/>
      <c r="AU301" s="1066"/>
      <c r="AV301" s="1066"/>
      <c r="AW301" s="1066"/>
      <c r="AX301" s="1066"/>
      <c r="AY301" s="1066"/>
      <c r="AZ301" s="1066"/>
      <c r="BA301" s="1066"/>
      <c r="BB301" s="1066"/>
      <c r="BC301" s="1066"/>
      <c r="BD301" s="1066"/>
      <c r="BE301" s="1066"/>
      <c r="BF301" s="1066"/>
      <c r="BG301" s="1066"/>
      <c r="BH301" s="1066"/>
      <c r="BI301" s="1066"/>
      <c r="BJ301" s="1066"/>
      <c r="BK301" s="1066"/>
      <c r="BL301" s="1066"/>
      <c r="BM301" s="1066"/>
      <c r="BN301" s="1066"/>
      <c r="BO301" s="1066"/>
      <c r="BP301" s="1066"/>
      <c r="BQ301" s="1066"/>
      <c r="BR301" s="1066"/>
      <c r="BS301" s="1066"/>
      <c r="BT301" s="1083"/>
      <c r="BU301" s="1083"/>
      <c r="BV301" s="1083"/>
      <c r="BW301" s="1083"/>
      <c r="BX301" s="1083"/>
      <c r="BY301" s="1083"/>
      <c r="BZ301" s="1083"/>
      <c r="CA301" s="1083"/>
      <c r="CB301" s="1083"/>
      <c r="CC301" s="1083"/>
      <c r="CD301" s="1083"/>
      <c r="CE301" s="1083"/>
      <c r="CF301" s="1083"/>
      <c r="CG301" s="1083"/>
      <c r="CH301" s="1083"/>
      <c r="CI301" s="1083"/>
      <c r="CJ301" s="1083"/>
      <c r="CK301" s="1083"/>
      <c r="CL301" s="1083"/>
      <c r="CM301" s="1083"/>
      <c r="CN301" s="1083"/>
      <c r="CO301" s="1083"/>
      <c r="CP301" s="1083"/>
      <c r="CQ301" s="1083"/>
      <c r="CR301" s="1083"/>
      <c r="CS301" s="1083"/>
      <c r="CT301" s="1083"/>
      <c r="CU301" s="1083"/>
      <c r="CV301" s="1083"/>
      <c r="CW301" s="1083"/>
      <c r="CX301" s="1083"/>
      <c r="CY301" s="1083"/>
      <c r="CZ301" s="1083"/>
      <c r="DA301" s="1083"/>
      <c r="DB301" s="1083"/>
      <c r="DC301" s="1083"/>
      <c r="DD301" s="1083"/>
      <c r="DE301" s="1083"/>
      <c r="DF301" s="1083"/>
      <c r="DG301" s="1083"/>
      <c r="DH301" s="1083"/>
      <c r="DI301" s="1083"/>
      <c r="DJ301" s="1083"/>
      <c r="DK301" s="1083"/>
      <c r="DL301" s="1083"/>
      <c r="DM301" s="1083"/>
      <c r="DN301" s="1083"/>
      <c r="DO301" s="1083"/>
      <c r="DP301" s="1083"/>
      <c r="DQ301" s="1083"/>
      <c r="DR301" s="1083"/>
      <c r="DS301" s="1083"/>
      <c r="DT301" s="1083"/>
      <c r="DU301" s="1083"/>
      <c r="DV301" s="1083"/>
      <c r="DW301" s="1083"/>
      <c r="DX301" s="1083"/>
      <c r="DY301" s="1083"/>
      <c r="DZ301" s="1083"/>
      <c r="EA301" s="1083"/>
      <c r="EB301" s="1083"/>
      <c r="EC301" s="1083"/>
      <c r="ED301" s="1083"/>
      <c r="EE301" s="1083"/>
      <c r="EF301" s="1083"/>
      <c r="EG301" s="1083"/>
      <c r="EH301" s="1083"/>
      <c r="EI301" s="1083"/>
      <c r="EJ301" s="1083"/>
      <c r="EK301" s="1083"/>
      <c r="EL301" s="1083"/>
      <c r="EM301" s="1083"/>
      <c r="EN301" s="1083"/>
      <c r="EO301" s="1083"/>
      <c r="EP301" s="1083"/>
      <c r="EQ301" s="1083"/>
      <c r="ER301" s="1083"/>
      <c r="ES301" s="1083"/>
      <c r="ET301" s="1083"/>
      <c r="EU301" s="1083"/>
      <c r="EV301" s="1083"/>
      <c r="EW301" s="1083"/>
      <c r="EX301" s="1083"/>
      <c r="EY301" s="1083"/>
      <c r="EZ301" s="1083"/>
      <c r="FA301" s="1083"/>
      <c r="FB301" s="1083"/>
      <c r="FC301" s="1083"/>
      <c r="FD301" s="1083"/>
      <c r="FE301" s="1083"/>
      <c r="FF301" s="1083"/>
      <c r="FG301" s="1083"/>
      <c r="FH301" s="1083"/>
      <c r="FI301" s="1083"/>
      <c r="FJ301" s="1083"/>
      <c r="FK301" s="1083"/>
      <c r="FL301" s="1083"/>
      <c r="FM301" s="1083"/>
      <c r="FN301" s="1083"/>
      <c r="FO301" s="1083"/>
      <c r="FP301" s="1083"/>
      <c r="FQ301" s="1083"/>
      <c r="FR301" s="1083"/>
      <c r="FS301" s="1083"/>
      <c r="FT301" s="1083"/>
      <c r="FU301" s="1083"/>
      <c r="FV301" s="1083"/>
      <c r="FW301" s="1083"/>
      <c r="FX301" s="1083"/>
      <c r="FY301" s="1083"/>
      <c r="FZ301" s="1083"/>
      <c r="GA301" s="1083"/>
      <c r="GB301" s="1083"/>
      <c r="GC301" s="1083"/>
      <c r="GD301" s="1083"/>
      <c r="GE301" s="1083"/>
      <c r="GF301" s="1083"/>
      <c r="GG301" s="1083"/>
      <c r="GH301" s="1083"/>
      <c r="GI301" s="1083"/>
      <c r="GJ301" s="1083"/>
      <c r="GK301" s="1083"/>
      <c r="GL301" s="1083"/>
      <c r="GM301" s="1083"/>
      <c r="GN301" s="1083"/>
      <c r="GO301" s="1083"/>
      <c r="GP301" s="1083"/>
      <c r="GQ301" s="1083"/>
      <c r="GR301" s="1083"/>
      <c r="GS301" s="1083"/>
      <c r="GT301" s="1083"/>
      <c r="GU301" s="1083"/>
      <c r="GV301" s="1083"/>
      <c r="GW301" s="1083"/>
      <c r="GX301" s="1083"/>
      <c r="GY301" s="1083"/>
      <c r="GZ301" s="1083"/>
      <c r="HA301" s="1083"/>
      <c r="HB301" s="1083"/>
      <c r="HC301" s="1083"/>
      <c r="HD301" s="1083"/>
      <c r="HE301" s="1083"/>
      <c r="HF301" s="1083"/>
      <c r="HG301" s="1083"/>
      <c r="HH301" s="1083"/>
      <c r="HI301" s="1083"/>
      <c r="HJ301" s="1083"/>
      <c r="HK301" s="1083"/>
      <c r="HL301" s="1083"/>
      <c r="HM301" s="1083"/>
      <c r="HN301" s="1083"/>
      <c r="HO301" s="1083"/>
      <c r="HP301" s="1083"/>
      <c r="HQ301" s="1083"/>
      <c r="HR301" s="1083"/>
      <c r="HS301" s="1083"/>
      <c r="HT301" s="1083"/>
      <c r="HU301" s="1083"/>
      <c r="HV301" s="1083"/>
      <c r="HW301" s="1083"/>
      <c r="HX301" s="1083"/>
      <c r="HY301" s="1083"/>
      <c r="HZ301" s="1083"/>
      <c r="IA301" s="1083"/>
      <c r="IB301" s="1083"/>
      <c r="IC301" s="1083"/>
      <c r="ID301" s="1083"/>
      <c r="IE301" s="1083"/>
      <c r="IF301" s="1083"/>
      <c r="IG301" s="1083"/>
      <c r="IH301" s="1083"/>
      <c r="II301" s="1083"/>
      <c r="IJ301" s="1083"/>
      <c r="IK301" s="1083"/>
      <c r="IL301" s="1083"/>
      <c r="IM301" s="1083"/>
      <c r="IN301" s="1083"/>
      <c r="IO301" s="1083"/>
      <c r="IP301" s="1083"/>
      <c r="IQ301" s="1083"/>
      <c r="IR301" s="1083"/>
      <c r="IS301" s="1083"/>
      <c r="IT301" s="1083"/>
      <c r="IU301" s="1083"/>
      <c r="IV301" s="1083"/>
    </row>
    <row r="302" spans="1:71" ht="12.75">
      <c r="A302" s="1063"/>
      <c r="B302" s="1070"/>
      <c r="C302" s="1070"/>
      <c r="D302" s="1063"/>
      <c r="E302" s="1063"/>
      <c r="F302" s="1063"/>
      <c r="G302" s="1063"/>
      <c r="H302" s="1063"/>
      <c r="I302" s="1063"/>
      <c r="J302" s="1063"/>
      <c r="K302" s="1063"/>
      <c r="L302" s="1063"/>
      <c r="M302" s="1063"/>
      <c r="N302" s="1063"/>
      <c r="O302" s="1063"/>
      <c r="P302" s="1063"/>
      <c r="Q302" s="1063"/>
      <c r="R302" s="1063"/>
      <c r="S302" s="1063"/>
      <c r="T302" s="1063"/>
      <c r="U302" s="1063"/>
      <c r="V302" s="1063"/>
      <c r="W302" s="1063"/>
      <c r="X302" s="1063"/>
      <c r="Y302" s="1063"/>
      <c r="Z302" s="1063"/>
      <c r="AA302" s="1063"/>
      <c r="AB302" s="1063"/>
      <c r="AC302" s="1063"/>
      <c r="AD302" s="1063"/>
      <c r="AE302" s="1063"/>
      <c r="AF302" s="1063"/>
      <c r="AG302" s="1063"/>
      <c r="AH302" s="1063"/>
      <c r="AI302" s="1063"/>
      <c r="AJ302" s="1063"/>
      <c r="AK302" s="1063"/>
      <c r="AL302" s="1063"/>
      <c r="AM302" s="1063"/>
      <c r="AN302" s="1063"/>
      <c r="AO302" s="1063"/>
      <c r="AP302" s="1063"/>
      <c r="AQ302" s="1063"/>
      <c r="AR302" s="1063"/>
      <c r="AS302" s="1063"/>
      <c r="AT302" s="1063"/>
      <c r="AU302" s="1063"/>
      <c r="AV302" s="1063"/>
      <c r="AW302" s="1063"/>
      <c r="AX302" s="1063"/>
      <c r="AY302" s="1063"/>
      <c r="AZ302" s="1063"/>
      <c r="BA302" s="1063"/>
      <c r="BB302" s="1063"/>
      <c r="BC302" s="1063"/>
      <c r="BD302" s="1063"/>
      <c r="BE302" s="1063"/>
      <c r="BF302" s="1063"/>
      <c r="BG302" s="1063"/>
      <c r="BH302" s="1063"/>
      <c r="BI302" s="1063"/>
      <c r="BJ302" s="1063"/>
      <c r="BK302" s="1063"/>
      <c r="BL302" s="1063"/>
      <c r="BM302" s="1063"/>
      <c r="BN302" s="1063"/>
      <c r="BO302" s="1063"/>
      <c r="BP302" s="1063"/>
      <c r="BQ302" s="1063"/>
      <c r="BR302" s="1063"/>
      <c r="BS302" s="1063"/>
    </row>
    <row r="303" spans="1:71" ht="12.75">
      <c r="A303" s="1063"/>
      <c r="B303" s="1070"/>
      <c r="C303" s="1070"/>
      <c r="D303" s="1063"/>
      <c r="E303" s="1063"/>
      <c r="F303" s="1063"/>
      <c r="G303" s="1063"/>
      <c r="H303" s="1063"/>
      <c r="I303" s="1063"/>
      <c r="J303" s="1063"/>
      <c r="K303" s="1063"/>
      <c r="L303" s="1063"/>
      <c r="M303" s="1063"/>
      <c r="N303" s="1063"/>
      <c r="O303" s="1063"/>
      <c r="P303" s="1063"/>
      <c r="Q303" s="1063"/>
      <c r="R303" s="1063"/>
      <c r="S303" s="1063"/>
      <c r="T303" s="1063"/>
      <c r="U303" s="1063"/>
      <c r="V303" s="1063"/>
      <c r="W303" s="1063"/>
      <c r="X303" s="1063"/>
      <c r="Y303" s="1063"/>
      <c r="Z303" s="1063"/>
      <c r="AA303" s="1063"/>
      <c r="AB303" s="1063"/>
      <c r="AC303" s="1063"/>
      <c r="AD303" s="1063"/>
      <c r="AE303" s="1063"/>
      <c r="AF303" s="1063"/>
      <c r="AG303" s="1063"/>
      <c r="AH303" s="1063"/>
      <c r="AI303" s="1063"/>
      <c r="AJ303" s="1063"/>
      <c r="AK303" s="1063"/>
      <c r="AL303" s="1063"/>
      <c r="AM303" s="1063"/>
      <c r="AN303" s="1063"/>
      <c r="AO303" s="1063"/>
      <c r="AP303" s="1063"/>
      <c r="AQ303" s="1063"/>
      <c r="AR303" s="1063"/>
      <c r="AS303" s="1063"/>
      <c r="AT303" s="1063"/>
      <c r="AU303" s="1063"/>
      <c r="AV303" s="1063"/>
      <c r="AW303" s="1063"/>
      <c r="AX303" s="1063"/>
      <c r="AY303" s="1063"/>
      <c r="AZ303" s="1063"/>
      <c r="BA303" s="1063"/>
      <c r="BB303" s="1063"/>
      <c r="BC303" s="1063"/>
      <c r="BD303" s="1063"/>
      <c r="BE303" s="1063"/>
      <c r="BF303" s="1063"/>
      <c r="BG303" s="1063"/>
      <c r="BH303" s="1063"/>
      <c r="BI303" s="1063"/>
      <c r="BJ303" s="1063"/>
      <c r="BK303" s="1063"/>
      <c r="BL303" s="1063"/>
      <c r="BM303" s="1063"/>
      <c r="BN303" s="1063"/>
      <c r="BO303" s="1063"/>
      <c r="BP303" s="1063"/>
      <c r="BQ303" s="1063"/>
      <c r="BR303" s="1063"/>
      <c r="BS303" s="1063"/>
    </row>
    <row r="304" spans="1:71" ht="12.75">
      <c r="A304" s="1063"/>
      <c r="B304" s="1070"/>
      <c r="C304" s="1070"/>
      <c r="D304" s="1063"/>
      <c r="E304" s="1063"/>
      <c r="F304" s="1063"/>
      <c r="G304" s="1063"/>
      <c r="H304" s="1063"/>
      <c r="I304" s="1063"/>
      <c r="J304" s="1063"/>
      <c r="K304" s="1063"/>
      <c r="L304" s="1063"/>
      <c r="M304" s="1063"/>
      <c r="N304" s="1063"/>
      <c r="O304" s="1063"/>
      <c r="P304" s="1063"/>
      <c r="Q304" s="1063"/>
      <c r="R304" s="1063"/>
      <c r="S304" s="1063"/>
      <c r="T304" s="1063"/>
      <c r="U304" s="1063"/>
      <c r="V304" s="1063"/>
      <c r="W304" s="1063"/>
      <c r="X304" s="1063"/>
      <c r="Y304" s="1063"/>
      <c r="Z304" s="1063"/>
      <c r="AA304" s="1063"/>
      <c r="AB304" s="1063"/>
      <c r="AC304" s="1063"/>
      <c r="AD304" s="1063"/>
      <c r="AE304" s="1063"/>
      <c r="AF304" s="1063"/>
      <c r="AG304" s="1063"/>
      <c r="AH304" s="1063"/>
      <c r="AI304" s="1063"/>
      <c r="AJ304" s="1063"/>
      <c r="AK304" s="1063"/>
      <c r="AL304" s="1063"/>
      <c r="AM304" s="1063"/>
      <c r="AN304" s="1063"/>
      <c r="AO304" s="1063"/>
      <c r="AP304" s="1063"/>
      <c r="AQ304" s="1063"/>
      <c r="AR304" s="1063"/>
      <c r="AS304" s="1063"/>
      <c r="AT304" s="1063"/>
      <c r="AU304" s="1063"/>
      <c r="AV304" s="1063"/>
      <c r="AW304" s="1063"/>
      <c r="AX304" s="1063"/>
      <c r="AY304" s="1063"/>
      <c r="AZ304" s="1063"/>
      <c r="BA304" s="1063"/>
      <c r="BB304" s="1063"/>
      <c r="BC304" s="1063"/>
      <c r="BD304" s="1063"/>
      <c r="BE304" s="1063"/>
      <c r="BF304" s="1063"/>
      <c r="BG304" s="1063"/>
      <c r="BH304" s="1063"/>
      <c r="BI304" s="1063"/>
      <c r="BJ304" s="1063"/>
      <c r="BK304" s="1072"/>
      <c r="BL304" s="1071"/>
      <c r="BM304" s="1063"/>
      <c r="BN304" s="1063"/>
      <c r="BO304" s="1063"/>
      <c r="BP304" s="1063"/>
      <c r="BQ304" s="1063"/>
      <c r="BR304" s="1063"/>
      <c r="BS304" s="1063"/>
    </row>
    <row r="305" spans="1:71" ht="12.75">
      <c r="A305" s="1063"/>
      <c r="B305" s="1070"/>
      <c r="C305" s="1070"/>
      <c r="D305" s="1063"/>
      <c r="E305" s="1063"/>
      <c r="F305" s="1063"/>
      <c r="G305" s="1063"/>
      <c r="H305" s="1063"/>
      <c r="I305" s="1063"/>
      <c r="J305" s="1063"/>
      <c r="K305" s="1063"/>
      <c r="L305" s="1063"/>
      <c r="M305" s="1063"/>
      <c r="N305" s="1063"/>
      <c r="O305" s="1063"/>
      <c r="P305" s="1063"/>
      <c r="Q305" s="1063"/>
      <c r="R305" s="1063"/>
      <c r="S305" s="1063"/>
      <c r="T305" s="1063"/>
      <c r="U305" s="1063"/>
      <c r="V305" s="1063"/>
      <c r="W305" s="1063"/>
      <c r="X305" s="1063"/>
      <c r="Y305" s="1063"/>
      <c r="Z305" s="1063"/>
      <c r="AA305" s="1063"/>
      <c r="AB305" s="1063"/>
      <c r="AC305" s="1063"/>
      <c r="AD305" s="1063"/>
      <c r="AE305" s="1063"/>
      <c r="AF305" s="1063"/>
      <c r="AG305" s="1063"/>
      <c r="AH305" s="1063"/>
      <c r="AI305" s="1063"/>
      <c r="AJ305" s="1063"/>
      <c r="AK305" s="1063"/>
      <c r="AL305" s="1063"/>
      <c r="AM305" s="1063"/>
      <c r="AN305" s="1063"/>
      <c r="AO305" s="1063"/>
      <c r="AP305" s="1063"/>
      <c r="AQ305" s="1063"/>
      <c r="AR305" s="1063"/>
      <c r="AS305" s="1063"/>
      <c r="AT305" s="1063"/>
      <c r="AU305" s="1063"/>
      <c r="AV305" s="1063"/>
      <c r="AW305" s="1063"/>
      <c r="AX305" s="1063"/>
      <c r="AY305" s="1063"/>
      <c r="AZ305" s="1063"/>
      <c r="BA305" s="1063"/>
      <c r="BB305" s="1063"/>
      <c r="BC305" s="1063"/>
      <c r="BD305" s="1075"/>
      <c r="BE305" s="1063"/>
      <c r="BF305" s="1063"/>
      <c r="BG305" s="1063"/>
      <c r="BH305" s="1063"/>
      <c r="BI305" s="1063"/>
      <c r="BJ305" s="1063"/>
      <c r="BK305" s="1063"/>
      <c r="BL305" s="1063"/>
      <c r="BM305" s="1063"/>
      <c r="BN305" s="1063"/>
      <c r="BO305" s="1063"/>
      <c r="BP305" s="1063"/>
      <c r="BQ305" s="1063"/>
      <c r="BR305" s="1063"/>
      <c r="BS305" s="1063"/>
    </row>
    <row r="306" spans="1:71" ht="12.75">
      <c r="A306" s="1063"/>
      <c r="B306" s="1070"/>
      <c r="C306" s="1070"/>
      <c r="D306" s="1063"/>
      <c r="E306" s="1063"/>
      <c r="F306" s="1063"/>
      <c r="G306" s="1063"/>
      <c r="H306" s="1063"/>
      <c r="I306" s="1063"/>
      <c r="J306" s="1063"/>
      <c r="K306" s="1063"/>
      <c r="L306" s="1063"/>
      <c r="M306" s="1063"/>
      <c r="N306" s="1063"/>
      <c r="O306" s="1063"/>
      <c r="P306" s="1063"/>
      <c r="Q306" s="1063"/>
      <c r="R306" s="1063"/>
      <c r="S306" s="1063"/>
      <c r="T306" s="1063"/>
      <c r="U306" s="1063"/>
      <c r="V306" s="1063"/>
      <c r="W306" s="1063"/>
      <c r="X306" s="1063"/>
      <c r="Y306" s="1063"/>
      <c r="Z306" s="1063"/>
      <c r="AA306" s="1063"/>
      <c r="AB306" s="1063"/>
      <c r="AC306" s="1063"/>
      <c r="AD306" s="1063"/>
      <c r="AE306" s="1063"/>
      <c r="AF306" s="1063"/>
      <c r="AG306" s="1063"/>
      <c r="AH306" s="1063"/>
      <c r="AI306" s="1063"/>
      <c r="AJ306" s="1063"/>
      <c r="AK306" s="1063"/>
      <c r="AL306" s="1063"/>
      <c r="AM306" s="1063"/>
      <c r="AN306" s="1063"/>
      <c r="AO306" s="1063"/>
      <c r="AP306" s="1063"/>
      <c r="AQ306" s="1063"/>
      <c r="AR306" s="1063"/>
      <c r="AS306" s="1063"/>
      <c r="AT306" s="1063"/>
      <c r="AU306" s="1063"/>
      <c r="AV306" s="1063"/>
      <c r="AW306" s="1063"/>
      <c r="AX306" s="1063"/>
      <c r="AY306" s="1063"/>
      <c r="AZ306" s="1063"/>
      <c r="BA306" s="1075"/>
      <c r="BB306" s="1063"/>
      <c r="BC306" s="1063"/>
      <c r="BD306" s="1063"/>
      <c r="BE306" s="1063"/>
      <c r="BF306" s="1063"/>
      <c r="BG306" s="1063"/>
      <c r="BH306" s="1075"/>
      <c r="BI306" s="1063"/>
      <c r="BJ306" s="1063"/>
      <c r="BK306" s="1075"/>
      <c r="BL306" s="1063"/>
      <c r="BM306" s="1075"/>
      <c r="BN306" s="1063"/>
      <c r="BO306" s="1063"/>
      <c r="BP306" s="1063"/>
      <c r="BQ306" s="1063"/>
      <c r="BR306" s="1063"/>
      <c r="BS306" s="1063"/>
    </row>
    <row r="307" spans="1:71" ht="12.75">
      <c r="A307" s="1063"/>
      <c r="B307" s="1070"/>
      <c r="C307" s="1070"/>
      <c r="D307" s="1063"/>
      <c r="E307" s="1063"/>
      <c r="F307" s="1063"/>
      <c r="G307" s="1063"/>
      <c r="H307" s="1063"/>
      <c r="I307" s="1063"/>
      <c r="J307" s="1063"/>
      <c r="K307" s="1063"/>
      <c r="L307" s="1063"/>
      <c r="M307" s="1063"/>
      <c r="N307" s="1063"/>
      <c r="O307" s="1063"/>
      <c r="P307" s="1063"/>
      <c r="Q307" s="1063"/>
      <c r="R307" s="1063"/>
      <c r="S307" s="1063"/>
      <c r="T307" s="1063"/>
      <c r="U307" s="1063"/>
      <c r="V307" s="1063"/>
      <c r="W307" s="1063"/>
      <c r="X307" s="1063"/>
      <c r="Y307" s="1063"/>
      <c r="Z307" s="1063"/>
      <c r="AA307" s="1063"/>
      <c r="AB307" s="1063"/>
      <c r="AC307" s="1063"/>
      <c r="AD307" s="1063"/>
      <c r="AE307" s="1063"/>
      <c r="AF307" s="1063"/>
      <c r="AG307" s="1063"/>
      <c r="AH307" s="1063"/>
      <c r="AI307" s="1063"/>
      <c r="AJ307" s="1063"/>
      <c r="AK307" s="1063"/>
      <c r="AL307" s="1063"/>
      <c r="AM307" s="1063"/>
      <c r="AN307" s="1063"/>
      <c r="AO307" s="1063"/>
      <c r="AP307" s="1063"/>
      <c r="AQ307" s="1063"/>
      <c r="AR307" s="1063"/>
      <c r="AS307" s="1063"/>
      <c r="AT307" s="1063"/>
      <c r="AU307" s="2118"/>
      <c r="AV307" s="2118"/>
      <c r="AW307" s="2118"/>
      <c r="AX307" s="2118"/>
      <c r="AY307" s="2118"/>
      <c r="AZ307" s="2118"/>
      <c r="BA307" s="2118"/>
      <c r="BB307" s="1063"/>
      <c r="BC307" s="1063"/>
      <c r="BD307" s="2118"/>
      <c r="BE307" s="2118"/>
      <c r="BF307" s="2118"/>
      <c r="BG307" s="2118"/>
      <c r="BH307" s="2118"/>
      <c r="BI307" s="2118"/>
      <c r="BJ307" s="2118"/>
      <c r="BK307" s="2118"/>
      <c r="BL307" s="2118"/>
      <c r="BM307" s="2118"/>
      <c r="BN307" s="1063"/>
      <c r="BO307" s="1063"/>
      <c r="BP307" s="1084"/>
      <c r="BQ307" s="1063"/>
      <c r="BR307" s="1063"/>
      <c r="BS307" s="1063"/>
    </row>
    <row r="308" spans="1:71" ht="12.75">
      <c r="A308" s="1063"/>
      <c r="B308" s="1070"/>
      <c r="C308" s="1070"/>
      <c r="D308" s="1063"/>
      <c r="E308" s="1063"/>
      <c r="F308" s="1063"/>
      <c r="G308" s="1063"/>
      <c r="H308" s="1063"/>
      <c r="I308" s="1063"/>
      <c r="J308" s="1063"/>
      <c r="K308" s="1063"/>
      <c r="L308" s="1063"/>
      <c r="M308" s="1063"/>
      <c r="N308" s="1063"/>
      <c r="O308" s="1063"/>
      <c r="P308" s="1063"/>
      <c r="Q308" s="1063"/>
      <c r="R308" s="1063"/>
      <c r="S308" s="1063"/>
      <c r="T308" s="1063"/>
      <c r="U308" s="1063"/>
      <c r="V308" s="1063"/>
      <c r="W308" s="1063"/>
      <c r="X308" s="1063"/>
      <c r="Y308" s="1063"/>
      <c r="Z308" s="1063"/>
      <c r="AA308" s="1063"/>
      <c r="AB308" s="1063"/>
      <c r="AC308" s="1063"/>
      <c r="AD308" s="1063"/>
      <c r="AE308" s="1063"/>
      <c r="AF308" s="1063"/>
      <c r="AG308" s="1063"/>
      <c r="AH308" s="1063"/>
      <c r="AI308" s="1063"/>
      <c r="AJ308" s="1063"/>
      <c r="AK308" s="1063"/>
      <c r="AL308" s="1063"/>
      <c r="AM308" s="1063"/>
      <c r="AN308" s="1063"/>
      <c r="AO308" s="1063"/>
      <c r="AP308" s="1063"/>
      <c r="AQ308" s="1063"/>
      <c r="AR308" s="1063"/>
      <c r="AS308" s="1063"/>
      <c r="AT308" s="1063"/>
      <c r="AU308" s="858"/>
      <c r="AV308" s="1063"/>
      <c r="AW308" s="1063"/>
      <c r="AX308" s="1063"/>
      <c r="AY308" s="1063"/>
      <c r="AZ308" s="1063"/>
      <c r="BA308" s="1063"/>
      <c r="BB308" s="1063"/>
      <c r="BC308" s="1063"/>
      <c r="BD308" s="858"/>
      <c r="BE308" s="1063"/>
      <c r="BF308" s="1063"/>
      <c r="BG308" s="1063"/>
      <c r="BH308" s="1063"/>
      <c r="BI308" s="858"/>
      <c r="BJ308" s="1063"/>
      <c r="BK308" s="1063"/>
      <c r="BL308" s="858"/>
      <c r="BM308" s="858"/>
      <c r="BN308" s="1063"/>
      <c r="BO308" s="1063"/>
      <c r="BP308" s="1063"/>
      <c r="BQ308" s="1063"/>
      <c r="BR308" s="1063"/>
      <c r="BS308" s="1063"/>
    </row>
    <row r="309" spans="1:71" ht="12.75">
      <c r="A309" s="1063"/>
      <c r="B309" s="1070"/>
      <c r="C309" s="1070"/>
      <c r="D309" s="1063"/>
      <c r="E309" s="1063"/>
      <c r="F309" s="1063"/>
      <c r="G309" s="1063"/>
      <c r="H309" s="1063"/>
      <c r="I309" s="1063"/>
      <c r="J309" s="1063"/>
      <c r="K309" s="1063"/>
      <c r="L309" s="1063"/>
      <c r="M309" s="1063"/>
      <c r="N309" s="1063"/>
      <c r="O309" s="1063"/>
      <c r="P309" s="1063"/>
      <c r="Q309" s="1063"/>
      <c r="R309" s="1063"/>
      <c r="S309" s="1063"/>
      <c r="T309" s="1063"/>
      <c r="U309" s="1063"/>
      <c r="V309" s="1063"/>
      <c r="W309" s="1063"/>
      <c r="X309" s="1063"/>
      <c r="Y309" s="1063"/>
      <c r="Z309" s="1063"/>
      <c r="AA309" s="1063"/>
      <c r="AB309" s="1063"/>
      <c r="AC309" s="1063"/>
      <c r="AD309" s="1063"/>
      <c r="AE309" s="1063"/>
      <c r="AF309" s="1063"/>
      <c r="AG309" s="1063"/>
      <c r="AH309" s="1063"/>
      <c r="AI309" s="1063"/>
      <c r="AJ309" s="1063"/>
      <c r="AK309" s="1063"/>
      <c r="AL309" s="1063"/>
      <c r="AM309" s="1063"/>
      <c r="AN309" s="1063"/>
      <c r="AO309" s="1063"/>
      <c r="AP309" s="1063"/>
      <c r="AQ309" s="1063"/>
      <c r="AR309" s="1063"/>
      <c r="AS309" s="1063"/>
      <c r="AT309" s="1063"/>
      <c r="AU309" s="1085"/>
      <c r="AV309" s="1063"/>
      <c r="AW309" s="1063"/>
      <c r="AX309" s="1063"/>
      <c r="AY309" s="1063"/>
      <c r="AZ309" s="1063"/>
      <c r="BA309" s="1072"/>
      <c r="BB309" s="1063"/>
      <c r="BC309" s="1063"/>
      <c r="BD309" s="1086"/>
      <c r="BE309" s="1063"/>
      <c r="BF309" s="1063"/>
      <c r="BG309" s="1063"/>
      <c r="BH309" s="1072"/>
      <c r="BI309" s="1071"/>
      <c r="BJ309" s="1063"/>
      <c r="BK309" s="1072"/>
      <c r="BL309" s="1085"/>
      <c r="BM309" s="1087"/>
      <c r="BN309" s="1063"/>
      <c r="BO309" s="1063"/>
      <c r="BP309" s="1084"/>
      <c r="BQ309" s="1063"/>
      <c r="BR309" s="1063"/>
      <c r="BS309" s="1063"/>
    </row>
    <row r="310" spans="1:71" ht="12.75">
      <c r="A310" s="1063"/>
      <c r="B310" s="1070"/>
      <c r="C310" s="1070"/>
      <c r="D310" s="1063"/>
      <c r="E310" s="1063"/>
      <c r="F310" s="1063"/>
      <c r="G310" s="1063"/>
      <c r="H310" s="1063"/>
      <c r="I310" s="1063"/>
      <c r="J310" s="1063"/>
      <c r="K310" s="1063"/>
      <c r="L310" s="1063"/>
      <c r="M310" s="1063"/>
      <c r="N310" s="1063"/>
      <c r="O310" s="1063"/>
      <c r="P310" s="1063"/>
      <c r="Q310" s="1063"/>
      <c r="R310" s="1063"/>
      <c r="S310" s="1063"/>
      <c r="T310" s="1063"/>
      <c r="U310" s="1063"/>
      <c r="V310" s="1063"/>
      <c r="W310" s="1063"/>
      <c r="X310" s="1063"/>
      <c r="Y310" s="1063"/>
      <c r="Z310" s="1063"/>
      <c r="AA310" s="1063"/>
      <c r="AB310" s="1063"/>
      <c r="AC310" s="1063"/>
      <c r="AD310" s="1063"/>
      <c r="AE310" s="1063"/>
      <c r="AF310" s="1063"/>
      <c r="AG310" s="1063"/>
      <c r="AH310" s="1063"/>
      <c r="AI310" s="1063"/>
      <c r="AJ310" s="1063"/>
      <c r="AK310" s="1063"/>
      <c r="AL310" s="1063"/>
      <c r="AM310" s="1063"/>
      <c r="AN310" s="1063"/>
      <c r="AO310" s="1063"/>
      <c r="AP310" s="1063"/>
      <c r="AQ310" s="1063"/>
      <c r="AR310" s="1063"/>
      <c r="AS310" s="1063"/>
      <c r="AT310" s="1063"/>
      <c r="AU310" s="1071"/>
      <c r="AV310" s="1063"/>
      <c r="AW310" s="1063"/>
      <c r="AX310" s="1063"/>
      <c r="AY310" s="1063"/>
      <c r="AZ310" s="1063"/>
      <c r="BA310" s="1072"/>
      <c r="BB310" s="1063"/>
      <c r="BC310" s="1063"/>
      <c r="BD310" s="1071"/>
      <c r="BE310" s="1063"/>
      <c r="BF310" s="1063"/>
      <c r="BG310" s="1063"/>
      <c r="BH310" s="1072"/>
      <c r="BI310" s="1088"/>
      <c r="BJ310" s="1063"/>
      <c r="BK310" s="1072"/>
      <c r="BL310" s="1071"/>
      <c r="BM310" s="1087"/>
      <c r="BN310" s="1063"/>
      <c r="BO310" s="1063"/>
      <c r="BP310" s="1084"/>
      <c r="BQ310" s="1063"/>
      <c r="BR310" s="1063"/>
      <c r="BS310" s="1063"/>
    </row>
    <row r="311" spans="1:71" ht="12.75">
      <c r="A311" s="1063"/>
      <c r="B311" s="1070"/>
      <c r="C311" s="1070"/>
      <c r="D311" s="1063"/>
      <c r="E311" s="1063"/>
      <c r="F311" s="1063"/>
      <c r="G311" s="1063"/>
      <c r="H311" s="1063"/>
      <c r="I311" s="1063"/>
      <c r="J311" s="1063"/>
      <c r="K311" s="1063"/>
      <c r="L311" s="1063"/>
      <c r="M311" s="1063"/>
      <c r="N311" s="1063"/>
      <c r="O311" s="1063"/>
      <c r="P311" s="1063"/>
      <c r="Q311" s="1063"/>
      <c r="R311" s="1063"/>
      <c r="S311" s="1063"/>
      <c r="T311" s="1063"/>
      <c r="U311" s="1063"/>
      <c r="V311" s="1063"/>
      <c r="W311" s="1063"/>
      <c r="X311" s="1063"/>
      <c r="Y311" s="1063"/>
      <c r="Z311" s="1063"/>
      <c r="AA311" s="1063"/>
      <c r="AB311" s="1063"/>
      <c r="AC311" s="1063"/>
      <c r="AD311" s="1063"/>
      <c r="AE311" s="1063"/>
      <c r="AF311" s="1063"/>
      <c r="AG311" s="1063"/>
      <c r="AH311" s="1063"/>
      <c r="AI311" s="1063"/>
      <c r="AJ311" s="1063"/>
      <c r="AK311" s="1063"/>
      <c r="AL311" s="1063"/>
      <c r="AM311" s="1063"/>
      <c r="AN311" s="1063"/>
      <c r="AO311" s="1063"/>
      <c r="AP311" s="1063"/>
      <c r="AQ311" s="1063"/>
      <c r="AR311" s="1063"/>
      <c r="AS311" s="1063"/>
      <c r="AT311" s="1063"/>
      <c r="AU311" s="1071"/>
      <c r="AV311" s="1063"/>
      <c r="AW311" s="1063"/>
      <c r="AX311" s="1063"/>
      <c r="AY311" s="1063"/>
      <c r="AZ311" s="1063"/>
      <c r="BA311" s="1072"/>
      <c r="BB311" s="1063"/>
      <c r="BC311" s="1063"/>
      <c r="BD311" s="1071"/>
      <c r="BE311" s="1063"/>
      <c r="BF311" s="1063"/>
      <c r="BG311" s="1063"/>
      <c r="BH311" s="1072"/>
      <c r="BI311" s="1088"/>
      <c r="BJ311" s="1063"/>
      <c r="BK311" s="1072"/>
      <c r="BL311" s="1071"/>
      <c r="BM311" s="1087"/>
      <c r="BN311" s="1063"/>
      <c r="BO311" s="1063"/>
      <c r="BP311" s="1084"/>
      <c r="BQ311" s="1063"/>
      <c r="BR311" s="1063"/>
      <c r="BS311" s="1063"/>
    </row>
    <row r="312" spans="1:71" ht="12.75">
      <c r="A312" s="1063"/>
      <c r="B312" s="1070"/>
      <c r="C312" s="1070"/>
      <c r="D312" s="1063"/>
      <c r="E312" s="1063"/>
      <c r="F312" s="1063"/>
      <c r="G312" s="1063"/>
      <c r="H312" s="1063"/>
      <c r="I312" s="1063"/>
      <c r="J312" s="1063"/>
      <c r="K312" s="1063"/>
      <c r="L312" s="1063"/>
      <c r="M312" s="1063"/>
      <c r="N312" s="1063"/>
      <c r="O312" s="1063"/>
      <c r="P312" s="1063"/>
      <c r="Q312" s="1063"/>
      <c r="R312" s="1063"/>
      <c r="S312" s="1063"/>
      <c r="T312" s="1063"/>
      <c r="U312" s="1063"/>
      <c r="V312" s="1063"/>
      <c r="W312" s="1063"/>
      <c r="X312" s="1063"/>
      <c r="Y312" s="1063"/>
      <c r="Z312" s="1063"/>
      <c r="AA312" s="1063"/>
      <c r="AB312" s="1063"/>
      <c r="AC312" s="1063"/>
      <c r="AD312" s="1063"/>
      <c r="AE312" s="1063"/>
      <c r="AF312" s="1063"/>
      <c r="AG312" s="1063"/>
      <c r="AH312" s="1063"/>
      <c r="AI312" s="1063"/>
      <c r="AJ312" s="1063"/>
      <c r="AK312" s="1063"/>
      <c r="AL312" s="1063"/>
      <c r="AM312" s="1063"/>
      <c r="AN312" s="1063"/>
      <c r="AO312" s="1063"/>
      <c r="AP312" s="1063"/>
      <c r="AQ312" s="1063"/>
      <c r="AR312" s="1063"/>
      <c r="AS312" s="1063"/>
      <c r="AT312" s="1063"/>
      <c r="AU312" s="1071"/>
      <c r="AV312" s="1063"/>
      <c r="AW312" s="1063"/>
      <c r="AX312" s="1063"/>
      <c r="AY312" s="1063"/>
      <c r="AZ312" s="1063"/>
      <c r="BA312" s="1072"/>
      <c r="BB312" s="1063"/>
      <c r="BC312" s="1063"/>
      <c r="BD312" s="1071"/>
      <c r="BE312" s="1063"/>
      <c r="BF312" s="1063"/>
      <c r="BG312" s="1063"/>
      <c r="BH312" s="1072"/>
      <c r="BI312" s="1088"/>
      <c r="BJ312" s="1063"/>
      <c r="BK312" s="1072"/>
      <c r="BL312" s="1071"/>
      <c r="BM312" s="1087"/>
      <c r="BN312" s="1063"/>
      <c r="BO312" s="1063"/>
      <c r="BP312" s="1084"/>
      <c r="BQ312" s="1063"/>
      <c r="BR312" s="1063"/>
      <c r="BS312" s="1063"/>
    </row>
    <row r="313" spans="1:71" ht="12.75">
      <c r="A313" s="1063"/>
      <c r="B313" s="1070"/>
      <c r="C313" s="1070"/>
      <c r="D313" s="1063"/>
      <c r="E313" s="1063"/>
      <c r="F313" s="1063"/>
      <c r="G313" s="1063"/>
      <c r="H313" s="1063"/>
      <c r="I313" s="1063"/>
      <c r="J313" s="1063"/>
      <c r="K313" s="1063"/>
      <c r="L313" s="1063"/>
      <c r="M313" s="1063"/>
      <c r="N313" s="1063"/>
      <c r="O313" s="1063"/>
      <c r="P313" s="1063"/>
      <c r="Q313" s="1063"/>
      <c r="R313" s="1063"/>
      <c r="S313" s="1063"/>
      <c r="T313" s="1063"/>
      <c r="U313" s="1063"/>
      <c r="V313" s="1063"/>
      <c r="W313" s="1063"/>
      <c r="X313" s="1063"/>
      <c r="Y313" s="1063"/>
      <c r="Z313" s="1063"/>
      <c r="AA313" s="1063"/>
      <c r="AB313" s="1063"/>
      <c r="AC313" s="1063"/>
      <c r="AD313" s="1063"/>
      <c r="AE313" s="1063"/>
      <c r="AF313" s="1063"/>
      <c r="AG313" s="1063"/>
      <c r="AH313" s="1063"/>
      <c r="AI313" s="1063"/>
      <c r="AJ313" s="1063"/>
      <c r="AK313" s="1063"/>
      <c r="AL313" s="1063"/>
      <c r="AM313" s="1063"/>
      <c r="AN313" s="1063"/>
      <c r="AO313" s="1063"/>
      <c r="AP313" s="1063"/>
      <c r="AQ313" s="1063"/>
      <c r="AR313" s="1063"/>
      <c r="AS313" s="1063"/>
      <c r="AT313" s="1063"/>
      <c r="AU313" s="1063"/>
      <c r="AV313" s="1063"/>
      <c r="AW313" s="1063"/>
      <c r="AX313" s="1063"/>
      <c r="AY313" s="1063"/>
      <c r="AZ313" s="1063"/>
      <c r="BA313" s="1072"/>
      <c r="BB313" s="1063"/>
      <c r="BC313" s="1063"/>
      <c r="BD313" s="1063"/>
      <c r="BE313" s="1063"/>
      <c r="BF313" s="1063"/>
      <c r="BG313" s="1063"/>
      <c r="BH313" s="1072"/>
      <c r="BI313" s="1063"/>
      <c r="BJ313" s="1063"/>
      <c r="BK313" s="1063"/>
      <c r="BL313" s="1063"/>
      <c r="BM313" s="1072"/>
      <c r="BN313" s="1063"/>
      <c r="BO313" s="1063"/>
      <c r="BP313" s="1063"/>
      <c r="BQ313" s="1063"/>
      <c r="BR313" s="1063"/>
      <c r="BS313" s="1063"/>
    </row>
    <row r="314" spans="1:71" ht="12.75">
      <c r="A314" s="1063"/>
      <c r="B314" s="1070"/>
      <c r="C314" s="1070"/>
      <c r="D314" s="1063"/>
      <c r="E314" s="1063"/>
      <c r="F314" s="1063"/>
      <c r="G314" s="1063"/>
      <c r="H314" s="1063"/>
      <c r="I314" s="1063"/>
      <c r="J314" s="1063"/>
      <c r="K314" s="1063"/>
      <c r="L314" s="1063"/>
      <c r="M314" s="1063"/>
      <c r="N314" s="1063"/>
      <c r="O314" s="1063"/>
      <c r="P314" s="1063"/>
      <c r="Q314" s="1063"/>
      <c r="R314" s="1063"/>
      <c r="S314" s="1063"/>
      <c r="T314" s="1063"/>
      <c r="U314" s="1063"/>
      <c r="V314" s="1063"/>
      <c r="W314" s="1063"/>
      <c r="X314" s="1063"/>
      <c r="Y314" s="1063"/>
      <c r="Z314" s="1063"/>
      <c r="AA314" s="1063"/>
      <c r="AB314" s="1063"/>
      <c r="AC314" s="1063"/>
      <c r="AD314" s="1063"/>
      <c r="AE314" s="1063"/>
      <c r="AF314" s="1063"/>
      <c r="AG314" s="1063"/>
      <c r="AH314" s="1063"/>
      <c r="AI314" s="1063"/>
      <c r="AJ314" s="1063"/>
      <c r="AK314" s="1063"/>
      <c r="AL314" s="1063"/>
      <c r="AM314" s="1063"/>
      <c r="AN314" s="1063"/>
      <c r="AO314" s="1063"/>
      <c r="AP314" s="1063"/>
      <c r="AQ314" s="1063"/>
      <c r="AR314" s="1063"/>
      <c r="AS314" s="1063"/>
      <c r="AT314" s="1063"/>
      <c r="AU314" s="1063"/>
      <c r="AV314" s="1063"/>
      <c r="AW314" s="1063"/>
      <c r="AX314" s="1063"/>
      <c r="AY314" s="1063"/>
      <c r="AZ314" s="1063"/>
      <c r="BA314" s="1063"/>
      <c r="BB314" s="1063"/>
      <c r="BC314" s="1063"/>
      <c r="BD314" s="1063"/>
      <c r="BE314" s="1063"/>
      <c r="BF314" s="1063"/>
      <c r="BG314" s="1063"/>
      <c r="BH314" s="1063"/>
      <c r="BI314" s="1063"/>
      <c r="BJ314" s="1063"/>
      <c r="BK314" s="1063"/>
      <c r="BL314" s="1063"/>
      <c r="BM314" s="1063"/>
      <c r="BN314" s="1063"/>
      <c r="BO314" s="1063"/>
      <c r="BP314" s="1063"/>
      <c r="BQ314" s="1063"/>
      <c r="BR314" s="1063"/>
      <c r="BS314" s="1063"/>
    </row>
    <row r="315" spans="1:71" ht="12.75">
      <c r="A315" s="1063"/>
      <c r="B315" s="1070"/>
      <c r="C315" s="1070"/>
      <c r="D315" s="1063"/>
      <c r="E315" s="1063"/>
      <c r="F315" s="1063"/>
      <c r="G315" s="1063"/>
      <c r="H315" s="1063"/>
      <c r="I315" s="1063"/>
      <c r="J315" s="1063"/>
      <c r="K315" s="1063"/>
      <c r="L315" s="1063"/>
      <c r="M315" s="1063"/>
      <c r="N315" s="1063"/>
      <c r="O315" s="1063"/>
      <c r="P315" s="1063"/>
      <c r="Q315" s="1063"/>
      <c r="R315" s="1063"/>
      <c r="S315" s="1063"/>
      <c r="T315" s="1063"/>
      <c r="U315" s="1063"/>
      <c r="V315" s="1063"/>
      <c r="W315" s="1063"/>
      <c r="X315" s="1063"/>
      <c r="Y315" s="1063"/>
      <c r="Z315" s="1063"/>
      <c r="AA315" s="1063"/>
      <c r="AB315" s="1063"/>
      <c r="AC315" s="1063"/>
      <c r="AD315" s="1063"/>
      <c r="AE315" s="1063"/>
      <c r="AF315" s="1063"/>
      <c r="AG315" s="1063"/>
      <c r="AH315" s="1063"/>
      <c r="AI315" s="1063"/>
      <c r="AJ315" s="1063"/>
      <c r="AK315" s="1063"/>
      <c r="AL315" s="1063"/>
      <c r="AM315" s="1063"/>
      <c r="AN315" s="1063"/>
      <c r="AO315" s="1063"/>
      <c r="AP315" s="1063"/>
      <c r="AQ315" s="1063"/>
      <c r="AR315" s="1063"/>
      <c r="AS315" s="1063"/>
      <c r="AT315" s="1063"/>
      <c r="AU315" s="1063"/>
      <c r="AV315" s="1063"/>
      <c r="AW315" s="1063"/>
      <c r="AX315" s="1063"/>
      <c r="AY315" s="1063"/>
      <c r="AZ315" s="1063"/>
      <c r="BA315" s="1075"/>
      <c r="BB315" s="1063"/>
      <c r="BC315" s="1063"/>
      <c r="BD315" s="1063"/>
      <c r="BE315" s="1063"/>
      <c r="BF315" s="1063"/>
      <c r="BG315" s="1063"/>
      <c r="BH315" s="1075"/>
      <c r="BI315" s="1063"/>
      <c r="BJ315" s="1063"/>
      <c r="BK315" s="1075"/>
      <c r="BL315" s="1063"/>
      <c r="BM315" s="1075"/>
      <c r="BN315" s="1063"/>
      <c r="BO315" s="1063"/>
      <c r="BP315" s="1063"/>
      <c r="BQ315" s="1063"/>
      <c r="BR315" s="1063"/>
      <c r="BS315" s="1063"/>
    </row>
    <row r="316" spans="1:71" ht="12.75">
      <c r="A316" s="1063"/>
      <c r="B316" s="1070"/>
      <c r="C316" s="1070"/>
      <c r="D316" s="1063"/>
      <c r="E316" s="1063"/>
      <c r="F316" s="1063"/>
      <c r="G316" s="1063"/>
      <c r="H316" s="1063"/>
      <c r="I316" s="1063"/>
      <c r="J316" s="1063"/>
      <c r="K316" s="1063"/>
      <c r="L316" s="1063"/>
      <c r="M316" s="1063"/>
      <c r="N316" s="1063"/>
      <c r="O316" s="1063"/>
      <c r="P316" s="1063"/>
      <c r="Q316" s="1063"/>
      <c r="R316" s="1063"/>
      <c r="S316" s="1063"/>
      <c r="T316" s="1063"/>
      <c r="U316" s="1063"/>
      <c r="V316" s="1063"/>
      <c r="W316" s="1063"/>
      <c r="X316" s="1063"/>
      <c r="Y316" s="1063"/>
      <c r="Z316" s="1063"/>
      <c r="AA316" s="1063"/>
      <c r="AB316" s="1063"/>
      <c r="AC316" s="1063"/>
      <c r="AD316" s="1063"/>
      <c r="AE316" s="1063"/>
      <c r="AF316" s="1063"/>
      <c r="AG316" s="1063"/>
      <c r="AH316" s="1063"/>
      <c r="AI316" s="1063"/>
      <c r="AJ316" s="1063"/>
      <c r="AK316" s="1063"/>
      <c r="AL316" s="1063"/>
      <c r="AM316" s="1063"/>
      <c r="AN316" s="1063"/>
      <c r="AO316" s="1063"/>
      <c r="AP316" s="1063"/>
      <c r="AQ316" s="1063"/>
      <c r="AR316" s="1063"/>
      <c r="AS316" s="1063"/>
      <c r="AT316" s="1063"/>
      <c r="AU316" s="2118"/>
      <c r="AV316" s="2118"/>
      <c r="AW316" s="2118"/>
      <c r="AX316" s="2118"/>
      <c r="AY316" s="2118"/>
      <c r="AZ316" s="2118"/>
      <c r="BA316" s="2118"/>
      <c r="BB316" s="1063"/>
      <c r="BC316" s="1063"/>
      <c r="BD316" s="2118"/>
      <c r="BE316" s="2118"/>
      <c r="BF316" s="2118"/>
      <c r="BG316" s="2118"/>
      <c r="BH316" s="2118"/>
      <c r="BI316" s="2118"/>
      <c r="BJ316" s="2118"/>
      <c r="BK316" s="2118"/>
      <c r="BL316" s="2118"/>
      <c r="BM316" s="2118"/>
      <c r="BN316" s="1063"/>
      <c r="BO316" s="1063"/>
      <c r="BP316" s="1063"/>
      <c r="BQ316" s="1063"/>
      <c r="BR316" s="1063"/>
      <c r="BS316" s="1063"/>
    </row>
    <row r="317" spans="1:71" ht="12.75">
      <c r="A317" s="1063"/>
      <c r="B317" s="1070"/>
      <c r="C317" s="1070"/>
      <c r="D317" s="1063"/>
      <c r="E317" s="1063"/>
      <c r="F317" s="1063"/>
      <c r="G317" s="1063"/>
      <c r="H317" s="1063"/>
      <c r="I317" s="1063"/>
      <c r="J317" s="1063"/>
      <c r="K317" s="1063"/>
      <c r="L317" s="1063"/>
      <c r="M317" s="1063"/>
      <c r="N317" s="1063"/>
      <c r="O317" s="1063"/>
      <c r="P317" s="1063"/>
      <c r="Q317" s="1063"/>
      <c r="R317" s="1063"/>
      <c r="S317" s="1063"/>
      <c r="T317" s="1063"/>
      <c r="U317" s="1063"/>
      <c r="V317" s="1063"/>
      <c r="W317" s="1063"/>
      <c r="X317" s="1063"/>
      <c r="Y317" s="1063"/>
      <c r="Z317" s="1063"/>
      <c r="AA317" s="1063"/>
      <c r="AB317" s="1063"/>
      <c r="AC317" s="1063"/>
      <c r="AD317" s="1063"/>
      <c r="AE317" s="1063"/>
      <c r="AF317" s="1063"/>
      <c r="AG317" s="1063"/>
      <c r="AH317" s="1063"/>
      <c r="AI317" s="1063"/>
      <c r="AJ317" s="1063"/>
      <c r="AK317" s="1063"/>
      <c r="AL317" s="1063"/>
      <c r="AM317" s="1063"/>
      <c r="AN317" s="1063"/>
      <c r="AO317" s="1063"/>
      <c r="AP317" s="1063"/>
      <c r="AQ317" s="1063"/>
      <c r="AR317" s="1063"/>
      <c r="AS317" s="1063"/>
      <c r="AT317" s="1063"/>
      <c r="AU317" s="858"/>
      <c r="AV317" s="1063"/>
      <c r="AW317" s="1063"/>
      <c r="AX317" s="1063"/>
      <c r="AY317" s="1063"/>
      <c r="AZ317" s="1063"/>
      <c r="BA317" s="1063"/>
      <c r="BB317" s="1063"/>
      <c r="BC317" s="1063"/>
      <c r="BD317" s="858"/>
      <c r="BE317" s="1063"/>
      <c r="BF317" s="1063"/>
      <c r="BG317" s="1063"/>
      <c r="BH317" s="1063"/>
      <c r="BI317" s="858"/>
      <c r="BJ317" s="1063"/>
      <c r="BK317" s="1063"/>
      <c r="BL317" s="858"/>
      <c r="BM317" s="858"/>
      <c r="BN317" s="1063"/>
      <c r="BO317" s="1063"/>
      <c r="BP317" s="1063"/>
      <c r="BQ317" s="1063"/>
      <c r="BR317" s="1063"/>
      <c r="BS317" s="1063"/>
    </row>
    <row r="318" spans="1:71" ht="12.75">
      <c r="A318" s="1063"/>
      <c r="B318" s="1070"/>
      <c r="C318" s="1070"/>
      <c r="D318" s="1063"/>
      <c r="E318" s="1063"/>
      <c r="F318" s="1063"/>
      <c r="G318" s="1063"/>
      <c r="H318" s="1063"/>
      <c r="I318" s="1063"/>
      <c r="J318" s="1063"/>
      <c r="K318" s="1063"/>
      <c r="L318" s="1063"/>
      <c r="M318" s="1063"/>
      <c r="N318" s="1063"/>
      <c r="O318" s="1063"/>
      <c r="P318" s="1063"/>
      <c r="Q318" s="1063"/>
      <c r="R318" s="1063"/>
      <c r="S318" s="1063"/>
      <c r="T318" s="1063"/>
      <c r="U318" s="1063"/>
      <c r="V318" s="1063"/>
      <c r="W318" s="1063"/>
      <c r="X318" s="1063"/>
      <c r="Y318" s="1063"/>
      <c r="Z318" s="1063"/>
      <c r="AA318" s="1063"/>
      <c r="AB318" s="1063"/>
      <c r="AC318" s="1063"/>
      <c r="AD318" s="1063"/>
      <c r="AE318" s="1063"/>
      <c r="AF318" s="1063"/>
      <c r="AG318" s="1063"/>
      <c r="AH318" s="1063"/>
      <c r="AI318" s="1063"/>
      <c r="AJ318" s="1063"/>
      <c r="AK318" s="1063"/>
      <c r="AL318" s="1063"/>
      <c r="AM318" s="1063"/>
      <c r="AN318" s="1063"/>
      <c r="AO318" s="1063"/>
      <c r="AP318" s="1063"/>
      <c r="AQ318" s="1063"/>
      <c r="AR318" s="1063"/>
      <c r="AS318" s="1063"/>
      <c r="AT318" s="1063"/>
      <c r="AU318" s="1085"/>
      <c r="AV318" s="1063"/>
      <c r="AW318" s="1063"/>
      <c r="AX318" s="1063"/>
      <c r="AY318" s="1063"/>
      <c r="AZ318" s="1063"/>
      <c r="BA318" s="1072"/>
      <c r="BB318" s="1063"/>
      <c r="BC318" s="1063"/>
      <c r="BD318" s="858"/>
      <c r="BE318" s="1063"/>
      <c r="BF318" s="1063"/>
      <c r="BG318" s="1063"/>
      <c r="BH318" s="1072"/>
      <c r="BI318" s="1071"/>
      <c r="BJ318" s="1063"/>
      <c r="BK318" s="1072"/>
      <c r="BL318" s="1085"/>
      <c r="BM318" s="1087"/>
      <c r="BN318" s="1073"/>
      <c r="BO318" s="1063"/>
      <c r="BP318" s="1084"/>
      <c r="BQ318" s="1063"/>
      <c r="BR318" s="1063"/>
      <c r="BS318" s="1063"/>
    </row>
    <row r="319" spans="1:71" ht="12.75">
      <c r="A319" s="1063"/>
      <c r="B319" s="1070"/>
      <c r="C319" s="1070"/>
      <c r="D319" s="1063"/>
      <c r="E319" s="1063"/>
      <c r="F319" s="1063"/>
      <c r="G319" s="1063"/>
      <c r="H319" s="1063"/>
      <c r="I319" s="1063"/>
      <c r="J319" s="1063"/>
      <c r="K319" s="1063"/>
      <c r="L319" s="1063"/>
      <c r="M319" s="1063"/>
      <c r="N319" s="1063"/>
      <c r="O319" s="1063"/>
      <c r="P319" s="1063"/>
      <c r="Q319" s="1063"/>
      <c r="R319" s="1063"/>
      <c r="S319" s="1063"/>
      <c r="T319" s="1063"/>
      <c r="U319" s="1063"/>
      <c r="V319" s="1063"/>
      <c r="W319" s="1063"/>
      <c r="X319" s="1063"/>
      <c r="Y319" s="1063"/>
      <c r="Z319" s="1063"/>
      <c r="AA319" s="1063"/>
      <c r="AB319" s="1063"/>
      <c r="AC319" s="1063"/>
      <c r="AD319" s="1063"/>
      <c r="AE319" s="1063"/>
      <c r="AF319" s="1063"/>
      <c r="AG319" s="1063"/>
      <c r="AH319" s="1063"/>
      <c r="AI319" s="1063"/>
      <c r="AJ319" s="1063"/>
      <c r="AK319" s="1063"/>
      <c r="AL319" s="1063"/>
      <c r="AM319" s="1063"/>
      <c r="AN319" s="1063"/>
      <c r="AO319" s="1063"/>
      <c r="AP319" s="1063"/>
      <c r="AQ319" s="1063"/>
      <c r="AR319" s="1063"/>
      <c r="AS319" s="1063"/>
      <c r="AT319" s="1063"/>
      <c r="AU319" s="1071"/>
      <c r="AV319" s="1063"/>
      <c r="AW319" s="1063"/>
      <c r="AX319" s="1063"/>
      <c r="AY319" s="1063"/>
      <c r="AZ319" s="1063"/>
      <c r="BA319" s="1072"/>
      <c r="BB319" s="1063"/>
      <c r="BC319" s="1063"/>
      <c r="BD319" s="1071"/>
      <c r="BE319" s="1063"/>
      <c r="BF319" s="1063"/>
      <c r="BG319" s="1063"/>
      <c r="BH319" s="1072"/>
      <c r="BI319" s="1063"/>
      <c r="BJ319" s="1063"/>
      <c r="BK319" s="1072"/>
      <c r="BL319" s="1071"/>
      <c r="BM319" s="1087"/>
      <c r="BN319" s="1073"/>
      <c r="BO319" s="1063"/>
      <c r="BP319" s="1084"/>
      <c r="BQ319" s="1063"/>
      <c r="BR319" s="1063"/>
      <c r="BS319" s="1063"/>
    </row>
    <row r="320" spans="1:71" ht="12.75">
      <c r="A320" s="1063"/>
      <c r="B320" s="1070"/>
      <c r="C320" s="1070"/>
      <c r="D320" s="1063"/>
      <c r="E320" s="1063"/>
      <c r="F320" s="1063"/>
      <c r="G320" s="1063"/>
      <c r="H320" s="1063"/>
      <c r="I320" s="1063"/>
      <c r="J320" s="1063"/>
      <c r="K320" s="1063"/>
      <c r="L320" s="1063"/>
      <c r="M320" s="1063"/>
      <c r="N320" s="1063"/>
      <c r="O320" s="1063"/>
      <c r="P320" s="1063"/>
      <c r="Q320" s="1063"/>
      <c r="R320" s="1063"/>
      <c r="S320" s="1063"/>
      <c r="T320" s="1063"/>
      <c r="U320" s="1063"/>
      <c r="V320" s="1063"/>
      <c r="W320" s="1063"/>
      <c r="X320" s="1063"/>
      <c r="Y320" s="1063"/>
      <c r="Z320" s="1063"/>
      <c r="AA320" s="1063"/>
      <c r="AB320" s="1063"/>
      <c r="AC320" s="1063"/>
      <c r="AD320" s="1063"/>
      <c r="AE320" s="1063"/>
      <c r="AF320" s="1063"/>
      <c r="AG320" s="1063"/>
      <c r="AH320" s="1063"/>
      <c r="AI320" s="1063"/>
      <c r="AJ320" s="1063"/>
      <c r="AK320" s="1063"/>
      <c r="AL320" s="1063"/>
      <c r="AM320" s="1063"/>
      <c r="AN320" s="1063"/>
      <c r="AO320" s="1063"/>
      <c r="AP320" s="1063"/>
      <c r="AQ320" s="1063"/>
      <c r="AR320" s="1063"/>
      <c r="AS320" s="1063"/>
      <c r="AT320" s="1063"/>
      <c r="AU320" s="1071"/>
      <c r="AV320" s="1063"/>
      <c r="AW320" s="1063"/>
      <c r="AX320" s="1063"/>
      <c r="AY320" s="1063"/>
      <c r="AZ320" s="1063"/>
      <c r="BA320" s="1072"/>
      <c r="BB320" s="1063"/>
      <c r="BC320" s="1063"/>
      <c r="BD320" s="1071"/>
      <c r="BE320" s="1063"/>
      <c r="BF320" s="1063"/>
      <c r="BG320" s="1063"/>
      <c r="BH320" s="1072"/>
      <c r="BI320" s="1063"/>
      <c r="BJ320" s="1063"/>
      <c r="BK320" s="1072"/>
      <c r="BL320" s="1071"/>
      <c r="BM320" s="1087"/>
      <c r="BN320" s="1073"/>
      <c r="BO320" s="1063"/>
      <c r="BP320" s="1084"/>
      <c r="BQ320" s="1063"/>
      <c r="BR320" s="1063"/>
      <c r="BS320" s="1063"/>
    </row>
    <row r="321" spans="1:71" ht="12.75">
      <c r="A321" s="1063"/>
      <c r="B321" s="1070"/>
      <c r="C321" s="1070"/>
      <c r="D321" s="1063"/>
      <c r="E321" s="1063"/>
      <c r="F321" s="1063"/>
      <c r="G321" s="1063"/>
      <c r="H321" s="1063"/>
      <c r="I321" s="1063"/>
      <c r="J321" s="1063"/>
      <c r="K321" s="1063"/>
      <c r="L321" s="1063"/>
      <c r="M321" s="1063"/>
      <c r="N321" s="1063"/>
      <c r="O321" s="1063"/>
      <c r="P321" s="1063"/>
      <c r="Q321" s="1063"/>
      <c r="R321" s="1063"/>
      <c r="S321" s="1063"/>
      <c r="T321" s="1063"/>
      <c r="U321" s="1063"/>
      <c r="V321" s="1063"/>
      <c r="W321" s="1063"/>
      <c r="X321" s="1063"/>
      <c r="Y321" s="1063"/>
      <c r="Z321" s="1063"/>
      <c r="AA321" s="1063"/>
      <c r="AB321" s="1063"/>
      <c r="AC321" s="1063"/>
      <c r="AD321" s="1063"/>
      <c r="AE321" s="1063"/>
      <c r="AF321" s="1063"/>
      <c r="AG321" s="1063"/>
      <c r="AH321" s="1063"/>
      <c r="AI321" s="1063"/>
      <c r="AJ321" s="1063"/>
      <c r="AK321" s="1063"/>
      <c r="AL321" s="1063"/>
      <c r="AM321" s="1063"/>
      <c r="AN321" s="1063"/>
      <c r="AO321" s="1063"/>
      <c r="AP321" s="1063"/>
      <c r="AQ321" s="1063"/>
      <c r="AR321" s="1063"/>
      <c r="AS321" s="1063"/>
      <c r="AT321" s="1063"/>
      <c r="AU321" s="1071"/>
      <c r="AV321" s="1063"/>
      <c r="AW321" s="1063"/>
      <c r="AX321" s="1063"/>
      <c r="AY321" s="1063"/>
      <c r="AZ321" s="1063"/>
      <c r="BA321" s="1072"/>
      <c r="BB321" s="1063"/>
      <c r="BC321" s="1063"/>
      <c r="BD321" s="1071"/>
      <c r="BE321" s="1063"/>
      <c r="BF321" s="1063"/>
      <c r="BG321" s="1063"/>
      <c r="BH321" s="1072"/>
      <c r="BI321" s="1063"/>
      <c r="BJ321" s="1063"/>
      <c r="BK321" s="1072"/>
      <c r="BL321" s="1071"/>
      <c r="BM321" s="1087"/>
      <c r="BN321" s="1073"/>
      <c r="BO321" s="1063"/>
      <c r="BP321" s="1084"/>
      <c r="BQ321" s="1063"/>
      <c r="BR321" s="1063"/>
      <c r="BS321" s="1063"/>
    </row>
    <row r="322" spans="1:71" ht="12.75">
      <c r="A322" s="1063"/>
      <c r="B322" s="1070"/>
      <c r="C322" s="1070"/>
      <c r="D322" s="1063"/>
      <c r="E322" s="1063"/>
      <c r="F322" s="1063"/>
      <c r="G322" s="1063"/>
      <c r="H322" s="1063"/>
      <c r="I322" s="1063"/>
      <c r="J322" s="1063"/>
      <c r="K322" s="1063"/>
      <c r="L322" s="1063"/>
      <c r="M322" s="1063"/>
      <c r="N322" s="1063"/>
      <c r="O322" s="1063"/>
      <c r="P322" s="1063"/>
      <c r="Q322" s="1063"/>
      <c r="R322" s="1063"/>
      <c r="S322" s="1063"/>
      <c r="T322" s="1063"/>
      <c r="U322" s="1063"/>
      <c r="V322" s="1063"/>
      <c r="W322" s="1063"/>
      <c r="X322" s="1063"/>
      <c r="Y322" s="1063"/>
      <c r="Z322" s="1063"/>
      <c r="AA322" s="1063"/>
      <c r="AB322" s="1063"/>
      <c r="AC322" s="1063"/>
      <c r="AD322" s="1063"/>
      <c r="AE322" s="1063"/>
      <c r="AF322" s="1063"/>
      <c r="AG322" s="1063"/>
      <c r="AH322" s="1063"/>
      <c r="AI322" s="1063"/>
      <c r="AJ322" s="1063"/>
      <c r="AK322" s="1063"/>
      <c r="AL322" s="1063"/>
      <c r="AM322" s="1063"/>
      <c r="AN322" s="1063"/>
      <c r="AO322" s="1063"/>
      <c r="AP322" s="1063"/>
      <c r="AQ322" s="1063"/>
      <c r="AR322" s="1063"/>
      <c r="AS322" s="1063"/>
      <c r="AT322" s="1063"/>
      <c r="AU322" s="1063"/>
      <c r="AV322" s="1063"/>
      <c r="AW322" s="1063"/>
      <c r="AX322" s="1063"/>
      <c r="AY322" s="1063"/>
      <c r="AZ322" s="1063"/>
      <c r="BA322" s="1072"/>
      <c r="BB322" s="1063"/>
      <c r="BC322" s="1063"/>
      <c r="BD322" s="1063"/>
      <c r="BE322" s="1063"/>
      <c r="BF322" s="1063"/>
      <c r="BG322" s="1063"/>
      <c r="BH322" s="1072"/>
      <c r="BI322" s="1063"/>
      <c r="BJ322" s="1063"/>
      <c r="BK322" s="1072"/>
      <c r="BL322" s="1063"/>
      <c r="BM322" s="1072"/>
      <c r="BN322" s="1063"/>
      <c r="BO322" s="1063"/>
      <c r="BP322" s="1063"/>
      <c r="BQ322" s="1063"/>
      <c r="BR322" s="1063"/>
      <c r="BS322" s="1063"/>
    </row>
    <row r="323" spans="1:71" ht="12.75">
      <c r="A323" s="1063"/>
      <c r="B323" s="1070"/>
      <c r="C323" s="1070"/>
      <c r="D323" s="1063"/>
      <c r="E323" s="1063"/>
      <c r="F323" s="1063"/>
      <c r="G323" s="1063"/>
      <c r="H323" s="1063"/>
      <c r="I323" s="1063"/>
      <c r="J323" s="1063"/>
      <c r="K323" s="1063"/>
      <c r="L323" s="1063"/>
      <c r="M323" s="1063"/>
      <c r="N323" s="1063"/>
      <c r="O323" s="1063"/>
      <c r="P323" s="1063"/>
      <c r="Q323" s="1063"/>
      <c r="R323" s="1063"/>
      <c r="S323" s="1063"/>
      <c r="T323" s="1063"/>
      <c r="U323" s="1063"/>
      <c r="V323" s="1063"/>
      <c r="W323" s="1063"/>
      <c r="X323" s="1063"/>
      <c r="Y323" s="1063"/>
      <c r="Z323" s="1063"/>
      <c r="AA323" s="1063"/>
      <c r="AB323" s="1063"/>
      <c r="AC323" s="1063"/>
      <c r="AD323" s="1063"/>
      <c r="AE323" s="1063"/>
      <c r="AF323" s="1063"/>
      <c r="AG323" s="1063"/>
      <c r="AH323" s="1063"/>
      <c r="AI323" s="1063"/>
      <c r="AJ323" s="1063"/>
      <c r="AK323" s="1063"/>
      <c r="AL323" s="1063"/>
      <c r="AM323" s="1063"/>
      <c r="AN323" s="1063"/>
      <c r="AO323" s="1063"/>
      <c r="AP323" s="1063"/>
      <c r="AQ323" s="1063"/>
      <c r="AR323" s="1063"/>
      <c r="AS323" s="1063"/>
      <c r="AT323" s="1063"/>
      <c r="AU323" s="1063"/>
      <c r="AV323" s="1063"/>
      <c r="AW323" s="1063"/>
      <c r="AX323" s="1063"/>
      <c r="AY323" s="1063"/>
      <c r="AZ323" s="1063"/>
      <c r="BA323" s="1063"/>
      <c r="BB323" s="1063"/>
      <c r="BC323" s="1063"/>
      <c r="BD323" s="1063"/>
      <c r="BE323" s="1063"/>
      <c r="BF323" s="1063"/>
      <c r="BG323" s="1063"/>
      <c r="BH323" s="1063"/>
      <c r="BI323" s="1063"/>
      <c r="BJ323" s="1063"/>
      <c r="BK323" s="1063"/>
      <c r="BL323" s="1063"/>
      <c r="BM323" s="1063"/>
      <c r="BN323" s="1063"/>
      <c r="BO323" s="1063"/>
      <c r="BP323" s="1063"/>
      <c r="BQ323" s="1063"/>
      <c r="BR323" s="1063"/>
      <c r="BS323" s="1063"/>
    </row>
    <row r="324" spans="1:71" ht="12.75">
      <c r="A324" s="1063"/>
      <c r="B324" s="1070"/>
      <c r="C324" s="1070"/>
      <c r="D324" s="1063"/>
      <c r="E324" s="1063"/>
      <c r="F324" s="1063"/>
      <c r="G324" s="1063"/>
      <c r="H324" s="1063"/>
      <c r="I324" s="1063"/>
      <c r="J324" s="1063"/>
      <c r="K324" s="1063"/>
      <c r="L324" s="1063"/>
      <c r="M324" s="1063"/>
      <c r="N324" s="1063"/>
      <c r="O324" s="1063"/>
      <c r="P324" s="1063"/>
      <c r="Q324" s="1063"/>
      <c r="R324" s="1063"/>
      <c r="S324" s="1063"/>
      <c r="T324" s="1063"/>
      <c r="U324" s="1063"/>
      <c r="V324" s="1063"/>
      <c r="W324" s="1063"/>
      <c r="X324" s="1063"/>
      <c r="Y324" s="1063"/>
      <c r="Z324" s="1063"/>
      <c r="AA324" s="1063"/>
      <c r="AB324" s="1063"/>
      <c r="AC324" s="1063"/>
      <c r="AD324" s="1063"/>
      <c r="AE324" s="1063"/>
      <c r="AF324" s="1063"/>
      <c r="AG324" s="1063"/>
      <c r="AH324" s="1063"/>
      <c r="AI324" s="1063"/>
      <c r="AJ324" s="1063"/>
      <c r="AK324" s="1063"/>
      <c r="AL324" s="1063"/>
      <c r="AM324" s="1063"/>
      <c r="AN324" s="1063"/>
      <c r="AO324" s="1063"/>
      <c r="AP324" s="1063"/>
      <c r="AQ324" s="1063"/>
      <c r="AR324" s="1063"/>
      <c r="AS324" s="1063"/>
      <c r="AT324" s="1063"/>
      <c r="AU324" s="1063"/>
      <c r="AV324" s="1063"/>
      <c r="AW324" s="1063"/>
      <c r="AX324" s="1063"/>
      <c r="AY324" s="1063"/>
      <c r="AZ324" s="1063"/>
      <c r="BA324" s="1063"/>
      <c r="BB324" s="1063"/>
      <c r="BC324" s="1063"/>
      <c r="BD324" s="1063"/>
      <c r="BE324" s="1063"/>
      <c r="BF324" s="1063"/>
      <c r="BG324" s="1063"/>
      <c r="BH324" s="1063"/>
      <c r="BI324" s="1063"/>
      <c r="BJ324" s="1063"/>
      <c r="BK324" s="1063"/>
      <c r="BL324" s="1063"/>
      <c r="BM324" s="1071"/>
      <c r="BN324" s="1063"/>
      <c r="BO324" s="1063"/>
      <c r="BP324" s="1063"/>
      <c r="BQ324" s="1063"/>
      <c r="BR324" s="1063"/>
      <c r="BS324" s="1063"/>
    </row>
    <row r="325" spans="1:71" ht="12.75">
      <c r="A325" s="1063"/>
      <c r="B325" s="1070"/>
      <c r="C325" s="1070"/>
      <c r="D325" s="1063"/>
      <c r="E325" s="1063"/>
      <c r="F325" s="1063"/>
      <c r="G325" s="1063"/>
      <c r="H325" s="1063"/>
      <c r="I325" s="1063"/>
      <c r="J325" s="1063"/>
      <c r="K325" s="1063"/>
      <c r="L325" s="1063"/>
      <c r="M325" s="1063"/>
      <c r="N325" s="1063"/>
      <c r="O325" s="1063"/>
      <c r="P325" s="1063"/>
      <c r="Q325" s="1063"/>
      <c r="R325" s="1063"/>
      <c r="S325" s="1063"/>
      <c r="T325" s="1063"/>
      <c r="U325" s="1063"/>
      <c r="V325" s="1063"/>
      <c r="W325" s="1063"/>
      <c r="X325" s="1063"/>
      <c r="Y325" s="1063"/>
      <c r="Z325" s="1063"/>
      <c r="AA325" s="1063"/>
      <c r="AB325" s="1063"/>
      <c r="AC325" s="1063"/>
      <c r="AD325" s="1063"/>
      <c r="AE325" s="1063"/>
      <c r="AF325" s="1063"/>
      <c r="AG325" s="1063"/>
      <c r="AH325" s="1063"/>
      <c r="AI325" s="1063"/>
      <c r="AJ325" s="1063"/>
      <c r="AK325" s="1063"/>
      <c r="AL325" s="1063"/>
      <c r="AM325" s="1063"/>
      <c r="AN325" s="1063"/>
      <c r="AO325" s="1063"/>
      <c r="AP325" s="1063"/>
      <c r="AQ325" s="1063"/>
      <c r="AR325" s="1063"/>
      <c r="AS325" s="1063"/>
      <c r="AT325" s="1063"/>
      <c r="AU325" s="1063"/>
      <c r="AV325" s="1063"/>
      <c r="AW325" s="1063"/>
      <c r="AX325" s="1063"/>
      <c r="AY325" s="1063"/>
      <c r="AZ325" s="1063"/>
      <c r="BA325" s="1063"/>
      <c r="BB325" s="1063"/>
      <c r="BC325" s="1063"/>
      <c r="BD325" s="1063"/>
      <c r="BE325" s="1063"/>
      <c r="BF325" s="1063"/>
      <c r="BG325" s="1063"/>
      <c r="BH325" s="1063"/>
      <c r="BI325" s="1063"/>
      <c r="BJ325" s="1071"/>
      <c r="BK325" s="1063"/>
      <c r="BL325" s="1063"/>
      <c r="BM325" s="1071"/>
      <c r="BN325" s="1063"/>
      <c r="BO325" s="1063"/>
      <c r="BP325" s="1063"/>
      <c r="BQ325" s="1063"/>
      <c r="BR325" s="1063"/>
      <c r="BS325" s="1063"/>
    </row>
    <row r="326" spans="1:71" ht="12.75">
      <c r="A326" s="1063"/>
      <c r="B326" s="1070"/>
      <c r="C326" s="1070"/>
      <c r="D326" s="1063"/>
      <c r="E326" s="1063"/>
      <c r="F326" s="1063"/>
      <c r="G326" s="1063"/>
      <c r="H326" s="1063"/>
      <c r="I326" s="1063"/>
      <c r="J326" s="1063"/>
      <c r="K326" s="1063"/>
      <c r="L326" s="1063"/>
      <c r="M326" s="1063"/>
      <c r="N326" s="1063"/>
      <c r="O326" s="1063"/>
      <c r="P326" s="1063"/>
      <c r="Q326" s="1063"/>
      <c r="R326" s="1063"/>
      <c r="S326" s="1063"/>
      <c r="T326" s="1063"/>
      <c r="U326" s="1063"/>
      <c r="V326" s="1063"/>
      <c r="W326" s="1063"/>
      <c r="X326" s="1063"/>
      <c r="Y326" s="1063"/>
      <c r="Z326" s="1063"/>
      <c r="AA326" s="1063"/>
      <c r="AB326" s="1063"/>
      <c r="AC326" s="1063"/>
      <c r="AD326" s="1063"/>
      <c r="AE326" s="1063"/>
      <c r="AF326" s="1063"/>
      <c r="AG326" s="1063"/>
      <c r="AH326" s="1063"/>
      <c r="AI326" s="1063"/>
      <c r="AJ326" s="1063"/>
      <c r="AK326" s="1063"/>
      <c r="AL326" s="1063"/>
      <c r="AM326" s="1063"/>
      <c r="AN326" s="1063"/>
      <c r="AO326" s="1063"/>
      <c r="AP326" s="1063"/>
      <c r="AQ326" s="1063"/>
      <c r="AR326" s="1063"/>
      <c r="AS326" s="1063"/>
      <c r="AT326" s="1063"/>
      <c r="AU326" s="1063"/>
      <c r="AV326" s="1063"/>
      <c r="AW326" s="1063"/>
      <c r="AX326" s="1063"/>
      <c r="AY326" s="1063"/>
      <c r="AZ326" s="1063"/>
      <c r="BA326" s="1063"/>
      <c r="BB326" s="1063"/>
      <c r="BC326" s="1063"/>
      <c r="BD326" s="1063"/>
      <c r="BE326" s="1063"/>
      <c r="BF326" s="1063"/>
      <c r="BG326" s="1063"/>
      <c r="BH326" s="1063"/>
      <c r="BI326" s="1063"/>
      <c r="BJ326" s="1063"/>
      <c r="BK326" s="1063"/>
      <c r="BL326" s="1063"/>
      <c r="BM326" s="1063"/>
      <c r="BN326" s="1063"/>
      <c r="BO326" s="1063"/>
      <c r="BP326" s="1063"/>
      <c r="BQ326" s="1063"/>
      <c r="BR326" s="1063"/>
      <c r="BS326" s="1063"/>
    </row>
    <row r="327" spans="1:71" ht="12.75">
      <c r="A327" s="1063"/>
      <c r="B327" s="1070"/>
      <c r="C327" s="1070"/>
      <c r="D327" s="1063"/>
      <c r="E327" s="1063"/>
      <c r="F327" s="1063"/>
      <c r="G327" s="1079"/>
      <c r="H327" s="1063"/>
      <c r="I327" s="1063"/>
      <c r="J327" s="1063"/>
      <c r="K327" s="1063"/>
      <c r="L327" s="1063"/>
      <c r="M327" s="1063"/>
      <c r="N327" s="1063"/>
      <c r="O327" s="1063"/>
      <c r="P327" s="1063"/>
      <c r="Q327" s="1063"/>
      <c r="R327" s="1063"/>
      <c r="S327" s="1063"/>
      <c r="T327" s="1063"/>
      <c r="U327" s="1063"/>
      <c r="V327" s="1063"/>
      <c r="W327" s="1063"/>
      <c r="X327" s="1063"/>
      <c r="Y327" s="1063"/>
      <c r="Z327" s="1063"/>
      <c r="AA327" s="1063"/>
      <c r="AB327" s="1063"/>
      <c r="AC327" s="1063"/>
      <c r="AD327" s="1063"/>
      <c r="AE327" s="1063"/>
      <c r="AF327" s="1063"/>
      <c r="AG327" s="1063"/>
      <c r="AH327" s="1063"/>
      <c r="AI327" s="1063"/>
      <c r="AJ327" s="1063"/>
      <c r="AK327" s="1063"/>
      <c r="AL327" s="1063"/>
      <c r="AM327" s="1063"/>
      <c r="AN327" s="1063"/>
      <c r="AO327" s="1063"/>
      <c r="AP327" s="1063"/>
      <c r="AQ327" s="1063"/>
      <c r="AR327" s="1063"/>
      <c r="AS327" s="1063"/>
      <c r="AT327" s="1063"/>
      <c r="AU327" s="1063"/>
      <c r="AV327" s="1063"/>
      <c r="AW327" s="1063"/>
      <c r="AX327" s="1063"/>
      <c r="AY327" s="1063"/>
      <c r="AZ327" s="1063"/>
      <c r="BA327" s="1063"/>
      <c r="BB327" s="1063"/>
      <c r="BC327" s="1063"/>
      <c r="BD327" s="1063"/>
      <c r="BE327" s="1063"/>
      <c r="BF327" s="1063"/>
      <c r="BG327" s="1063"/>
      <c r="BH327" s="1063"/>
      <c r="BI327" s="1063"/>
      <c r="BJ327" s="1063"/>
      <c r="BK327" s="1063"/>
      <c r="BL327" s="1063"/>
      <c r="BM327" s="1063"/>
      <c r="BN327" s="1063"/>
      <c r="BO327" s="1063"/>
      <c r="BP327" s="1063"/>
      <c r="BQ327" s="1063"/>
      <c r="BR327" s="1063"/>
      <c r="BS327" s="1063"/>
    </row>
    <row r="328" spans="1:256" ht="12.75">
      <c r="A328" s="1063"/>
      <c r="B328" s="1070"/>
      <c r="C328" s="1070"/>
      <c r="D328" s="1063"/>
      <c r="E328" s="1063"/>
      <c r="F328" s="1063"/>
      <c r="G328" s="1063"/>
      <c r="H328" s="1071"/>
      <c r="I328" s="1071"/>
      <c r="J328" s="1071"/>
      <c r="K328" s="1071"/>
      <c r="L328" s="1071"/>
      <c r="M328" s="1071"/>
      <c r="N328" s="1071"/>
      <c r="O328" s="1071"/>
      <c r="P328" s="1071"/>
      <c r="Q328" s="1071"/>
      <c r="R328" s="1071"/>
      <c r="S328" s="1071"/>
      <c r="T328" s="1071"/>
      <c r="U328" s="1071"/>
      <c r="V328" s="1071"/>
      <c r="W328" s="1071"/>
      <c r="X328" s="1071"/>
      <c r="Y328" s="1071"/>
      <c r="Z328" s="1071"/>
      <c r="AA328" s="1071"/>
      <c r="AB328" s="1071"/>
      <c r="AC328" s="1071"/>
      <c r="AD328" s="1071"/>
      <c r="AE328" s="1071"/>
      <c r="AF328" s="1071"/>
      <c r="AG328" s="1071"/>
      <c r="AH328" s="1071"/>
      <c r="AI328" s="1071"/>
      <c r="AJ328" s="1071"/>
      <c r="AK328" s="1071"/>
      <c r="AL328" s="1071"/>
      <c r="AM328" s="1071"/>
      <c r="AN328" s="1071"/>
      <c r="AO328" s="1071"/>
      <c r="AP328" s="1063"/>
      <c r="AQ328" s="1063"/>
      <c r="AR328" s="1071"/>
      <c r="AS328" s="1063"/>
      <c r="AT328" s="1063"/>
      <c r="AU328" s="1071"/>
      <c r="AV328" s="1063"/>
      <c r="AW328" s="1063"/>
      <c r="AX328" s="1071"/>
      <c r="AY328" s="1063"/>
      <c r="AZ328" s="1063"/>
      <c r="BA328" s="1071"/>
      <c r="BB328" s="1063"/>
      <c r="BC328" s="1063"/>
      <c r="BD328" s="1063"/>
      <c r="BE328" s="1063"/>
      <c r="BF328" s="1063"/>
      <c r="BG328" s="1063"/>
      <c r="BH328" s="1063"/>
      <c r="BI328" s="1063"/>
      <c r="BJ328" s="1063"/>
      <c r="BK328" s="1063"/>
      <c r="BL328" s="1063"/>
      <c r="BM328" s="1063"/>
      <c r="BN328" s="1063"/>
      <c r="BO328" s="1063"/>
      <c r="BP328" s="1063"/>
      <c r="BQ328" s="1063"/>
      <c r="BR328" s="1063"/>
      <c r="BS328" s="1063"/>
      <c r="BT328" s="1089"/>
      <c r="BU328" s="1089"/>
      <c r="BV328" s="1089"/>
      <c r="BW328" s="1089"/>
      <c r="BX328" s="1089"/>
      <c r="BY328" s="1089"/>
      <c r="BZ328" s="1089"/>
      <c r="CA328" s="1089"/>
      <c r="CB328" s="1089"/>
      <c r="CC328" s="1089"/>
      <c r="CD328" s="1089"/>
      <c r="CE328" s="1089"/>
      <c r="CF328" s="1089"/>
      <c r="CG328" s="1089"/>
      <c r="CH328" s="1089"/>
      <c r="CI328" s="1089"/>
      <c r="CJ328" s="1089"/>
      <c r="CK328" s="1089"/>
      <c r="CL328" s="1089"/>
      <c r="CM328" s="1089"/>
      <c r="CN328" s="1089"/>
      <c r="CO328" s="1089"/>
      <c r="CP328" s="1089"/>
      <c r="CQ328" s="1089"/>
      <c r="CR328" s="1089"/>
      <c r="CS328" s="1089"/>
      <c r="CT328" s="1089"/>
      <c r="CU328" s="1089"/>
      <c r="CV328" s="1089"/>
      <c r="CW328" s="1089"/>
      <c r="CX328" s="1089"/>
      <c r="CY328" s="1089"/>
      <c r="CZ328" s="1089"/>
      <c r="DA328" s="1089"/>
      <c r="DB328" s="1089"/>
      <c r="DC328" s="1089"/>
      <c r="DD328" s="1089"/>
      <c r="DE328" s="1089"/>
      <c r="DF328" s="1089"/>
      <c r="DG328" s="1089"/>
      <c r="DH328" s="1089"/>
      <c r="DI328" s="1089"/>
      <c r="DJ328" s="1089"/>
      <c r="DK328" s="1089"/>
      <c r="DL328" s="1089"/>
      <c r="DM328" s="1089"/>
      <c r="DN328" s="1089"/>
      <c r="DO328" s="1089"/>
      <c r="DP328" s="1089"/>
      <c r="DQ328" s="1089"/>
      <c r="DR328" s="1089"/>
      <c r="DS328" s="1089"/>
      <c r="DT328" s="1089"/>
      <c r="DU328" s="1089"/>
      <c r="DV328" s="1089"/>
      <c r="DW328" s="1089"/>
      <c r="DX328" s="1089"/>
      <c r="DY328" s="1089"/>
      <c r="DZ328" s="1089"/>
      <c r="EA328" s="1089"/>
      <c r="EB328" s="1089"/>
      <c r="EC328" s="1089"/>
      <c r="ED328" s="1089"/>
      <c r="EE328" s="1089"/>
      <c r="EF328" s="1089"/>
      <c r="EG328" s="1089"/>
      <c r="EH328" s="1089"/>
      <c r="EI328" s="1089"/>
      <c r="EJ328" s="1089"/>
      <c r="EK328" s="1089"/>
      <c r="EL328" s="1089"/>
      <c r="EM328" s="1089"/>
      <c r="EN328" s="1089"/>
      <c r="EO328" s="1089"/>
      <c r="EP328" s="1089"/>
      <c r="EQ328" s="1089"/>
      <c r="ER328" s="1089"/>
      <c r="ES328" s="1089"/>
      <c r="ET328" s="1089"/>
      <c r="EU328" s="1089"/>
      <c r="EV328" s="1089"/>
      <c r="EW328" s="1089"/>
      <c r="EX328" s="1089"/>
      <c r="EY328" s="1089"/>
      <c r="EZ328" s="1089"/>
      <c r="FA328" s="1089"/>
      <c r="FB328" s="1089"/>
      <c r="FC328" s="1089"/>
      <c r="FD328" s="1089"/>
      <c r="FE328" s="1089"/>
      <c r="FF328" s="1089"/>
      <c r="FG328" s="1089"/>
      <c r="FH328" s="1089"/>
      <c r="FI328" s="1089"/>
      <c r="FJ328" s="1089"/>
      <c r="FK328" s="1089"/>
      <c r="FL328" s="1089"/>
      <c r="FM328" s="1089"/>
      <c r="FN328" s="1089"/>
      <c r="FO328" s="1089"/>
      <c r="FP328" s="1089"/>
      <c r="FQ328" s="1089"/>
      <c r="FR328" s="1089"/>
      <c r="FS328" s="1089"/>
      <c r="FT328" s="1089"/>
      <c r="FU328" s="1089"/>
      <c r="FV328" s="1089"/>
      <c r="FW328" s="1089"/>
      <c r="FX328" s="1089"/>
      <c r="FY328" s="1089"/>
      <c r="FZ328" s="1089"/>
      <c r="GA328" s="1089"/>
      <c r="GB328" s="1089"/>
      <c r="GC328" s="1089"/>
      <c r="GD328" s="1089"/>
      <c r="GE328" s="1089"/>
      <c r="GF328" s="1089"/>
      <c r="GG328" s="1089"/>
      <c r="GH328" s="1089"/>
      <c r="GI328" s="1089"/>
      <c r="GJ328" s="1089"/>
      <c r="GK328" s="1089"/>
      <c r="GL328" s="1089"/>
      <c r="GM328" s="1089"/>
      <c r="GN328" s="1089"/>
      <c r="GO328" s="1089"/>
      <c r="GP328" s="1089"/>
      <c r="GQ328" s="1089"/>
      <c r="GR328" s="1089"/>
      <c r="GS328" s="1089"/>
      <c r="GT328" s="1089"/>
      <c r="GU328" s="1089"/>
      <c r="GV328" s="1089"/>
      <c r="GW328" s="1089"/>
      <c r="GX328" s="1089"/>
      <c r="GY328" s="1089"/>
      <c r="GZ328" s="1089"/>
      <c r="HA328" s="1089"/>
      <c r="HB328" s="1089"/>
      <c r="HC328" s="1089"/>
      <c r="HD328" s="1089"/>
      <c r="HE328" s="1089"/>
      <c r="HF328" s="1089"/>
      <c r="HG328" s="1089"/>
      <c r="HH328" s="1089"/>
      <c r="HI328" s="1089"/>
      <c r="HJ328" s="1089"/>
      <c r="HK328" s="1089"/>
      <c r="HL328" s="1089"/>
      <c r="HM328" s="1089"/>
      <c r="HN328" s="1089"/>
      <c r="HO328" s="1089"/>
      <c r="HP328" s="1089"/>
      <c r="HQ328" s="1089"/>
      <c r="HR328" s="1089"/>
      <c r="HS328" s="1089"/>
      <c r="HT328" s="1089"/>
      <c r="HU328" s="1089"/>
      <c r="HV328" s="1089"/>
      <c r="HW328" s="1089"/>
      <c r="HX328" s="1089"/>
      <c r="HY328" s="1089"/>
      <c r="HZ328" s="1089"/>
      <c r="IA328" s="1089"/>
      <c r="IB328" s="1089"/>
      <c r="IC328" s="1089"/>
      <c r="ID328" s="1089"/>
      <c r="IE328" s="1089"/>
      <c r="IF328" s="1089"/>
      <c r="IG328" s="1089"/>
      <c r="IH328" s="1089"/>
      <c r="II328" s="1089"/>
      <c r="IJ328" s="1089"/>
      <c r="IK328" s="1089"/>
      <c r="IL328" s="1089"/>
      <c r="IM328" s="1089"/>
      <c r="IN328" s="1089"/>
      <c r="IO328" s="1089"/>
      <c r="IP328" s="1089"/>
      <c r="IQ328" s="1089"/>
      <c r="IR328" s="1089"/>
      <c r="IS328" s="1089"/>
      <c r="IT328" s="1089"/>
      <c r="IU328" s="1089"/>
      <c r="IV328" s="1089"/>
    </row>
    <row r="329" spans="1:71" ht="12.75">
      <c r="A329" s="1063"/>
      <c r="B329" s="1070"/>
      <c r="C329" s="1070"/>
      <c r="D329" s="1063"/>
      <c r="E329" s="1063"/>
      <c r="F329" s="1063"/>
      <c r="G329" s="1063"/>
      <c r="H329" s="1063"/>
      <c r="I329" s="1063"/>
      <c r="J329" s="1063"/>
      <c r="K329" s="1063"/>
      <c r="L329" s="1063"/>
      <c r="M329" s="1063"/>
      <c r="N329" s="1063"/>
      <c r="O329" s="1063"/>
      <c r="P329" s="1063"/>
      <c r="Q329" s="1063"/>
      <c r="R329" s="1063"/>
      <c r="S329" s="1063"/>
      <c r="T329" s="1063"/>
      <c r="U329" s="1063"/>
      <c r="V329" s="1063"/>
      <c r="W329" s="1063"/>
      <c r="X329" s="1063"/>
      <c r="Y329" s="1063"/>
      <c r="Z329" s="1063"/>
      <c r="AA329" s="1063"/>
      <c r="AB329" s="1063"/>
      <c r="AC329" s="1063"/>
      <c r="AD329" s="1063"/>
      <c r="AE329" s="1063"/>
      <c r="AF329" s="1063"/>
      <c r="AG329" s="1063"/>
      <c r="AH329" s="1063"/>
      <c r="AI329" s="1063"/>
      <c r="AJ329" s="1063"/>
      <c r="AK329" s="1063"/>
      <c r="AL329" s="1063"/>
      <c r="AM329" s="1063"/>
      <c r="AN329" s="1063"/>
      <c r="AO329" s="1063"/>
      <c r="AP329" s="1063"/>
      <c r="AQ329" s="1063"/>
      <c r="AR329" s="1063"/>
      <c r="AS329" s="1063"/>
      <c r="AT329" s="1063"/>
      <c r="AU329" s="1063"/>
      <c r="AV329" s="1063"/>
      <c r="AW329" s="1063"/>
      <c r="AX329" s="1063"/>
      <c r="AY329" s="1063"/>
      <c r="AZ329" s="1063"/>
      <c r="BA329" s="1063"/>
      <c r="BB329" s="1063"/>
      <c r="BC329" s="1063"/>
      <c r="BD329" s="1063"/>
      <c r="BE329" s="1063"/>
      <c r="BF329" s="1063"/>
      <c r="BG329" s="1063"/>
      <c r="BH329" s="1063"/>
      <c r="BI329" s="1063"/>
      <c r="BJ329" s="1063"/>
      <c r="BK329" s="1063"/>
      <c r="BL329" s="1063"/>
      <c r="BM329" s="1063"/>
      <c r="BN329" s="1063"/>
      <c r="BO329" s="1063"/>
      <c r="BP329" s="1063"/>
      <c r="BQ329" s="1063"/>
      <c r="BR329" s="1063"/>
      <c r="BS329" s="1063"/>
    </row>
    <row r="330" spans="1:71" ht="12.75">
      <c r="A330" s="1063"/>
      <c r="B330" s="1070"/>
      <c r="C330" s="1070"/>
      <c r="D330" s="1063"/>
      <c r="E330" s="1063"/>
      <c r="F330" s="1063"/>
      <c r="G330" s="1063"/>
      <c r="H330" s="1063"/>
      <c r="I330" s="1063"/>
      <c r="J330" s="1063"/>
      <c r="K330" s="1063"/>
      <c r="L330" s="1063"/>
      <c r="M330" s="1063"/>
      <c r="N330" s="1063"/>
      <c r="O330" s="1063"/>
      <c r="P330" s="1063"/>
      <c r="Q330" s="1063"/>
      <c r="R330" s="1063"/>
      <c r="S330" s="1063"/>
      <c r="T330" s="1063"/>
      <c r="U330" s="1063"/>
      <c r="V330" s="1063"/>
      <c r="W330" s="1063"/>
      <c r="X330" s="1063"/>
      <c r="Y330" s="1063"/>
      <c r="Z330" s="1063"/>
      <c r="AA330" s="1063"/>
      <c r="AB330" s="1063"/>
      <c r="AC330" s="1063"/>
      <c r="AD330" s="1063"/>
      <c r="AE330" s="1063"/>
      <c r="AF330" s="1063"/>
      <c r="AG330" s="1063"/>
      <c r="AH330" s="1063"/>
      <c r="AI330" s="1063"/>
      <c r="AJ330" s="1063"/>
      <c r="AK330" s="1063"/>
      <c r="AL330" s="1063"/>
      <c r="AM330" s="1063"/>
      <c r="AN330" s="1063"/>
      <c r="AO330" s="1063"/>
      <c r="AP330" s="1063"/>
      <c r="AQ330" s="1063"/>
      <c r="AR330" s="1073"/>
      <c r="AS330" s="1063"/>
      <c r="AT330" s="1063"/>
      <c r="AU330" s="1063"/>
      <c r="AV330" s="1063"/>
      <c r="AW330" s="1063"/>
      <c r="AX330" s="1063"/>
      <c r="AY330" s="1063"/>
      <c r="AZ330" s="1063"/>
      <c r="BA330" s="1063"/>
      <c r="BB330" s="1063"/>
      <c r="BC330" s="1063"/>
      <c r="BD330" s="1063"/>
      <c r="BE330" s="1063"/>
      <c r="BF330" s="1063"/>
      <c r="BG330" s="1063"/>
      <c r="BH330" s="1063"/>
      <c r="BI330" s="1063"/>
      <c r="BJ330" s="1063"/>
      <c r="BK330" s="1063"/>
      <c r="BL330" s="1063"/>
      <c r="BM330" s="1063"/>
      <c r="BN330" s="1063"/>
      <c r="BO330" s="1063"/>
      <c r="BP330" s="1063"/>
      <c r="BQ330" s="1063"/>
      <c r="BR330" s="1063"/>
      <c r="BS330" s="1063"/>
    </row>
    <row r="331" spans="1:71" ht="12.75">
      <c r="A331" s="1063"/>
      <c r="B331" s="1070"/>
      <c r="C331" s="1070"/>
      <c r="D331" s="1063"/>
      <c r="E331" s="1063"/>
      <c r="F331" s="1063"/>
      <c r="G331" s="1063"/>
      <c r="H331" s="1063"/>
      <c r="I331" s="1063"/>
      <c r="J331" s="1063"/>
      <c r="K331" s="1063"/>
      <c r="L331" s="1063"/>
      <c r="M331" s="1063"/>
      <c r="N331" s="1063"/>
      <c r="O331" s="1063"/>
      <c r="P331" s="1063"/>
      <c r="Q331" s="1063"/>
      <c r="R331" s="1063"/>
      <c r="S331" s="1063"/>
      <c r="T331" s="1063"/>
      <c r="U331" s="1063"/>
      <c r="V331" s="1063"/>
      <c r="W331" s="1063"/>
      <c r="X331" s="1063"/>
      <c r="Y331" s="1063"/>
      <c r="Z331" s="1063"/>
      <c r="AA331" s="1063"/>
      <c r="AB331" s="1063"/>
      <c r="AC331" s="1063"/>
      <c r="AD331" s="1063"/>
      <c r="AE331" s="1063"/>
      <c r="AF331" s="1063"/>
      <c r="AG331" s="1063"/>
      <c r="AH331" s="1063"/>
      <c r="AI331" s="1063"/>
      <c r="AJ331" s="1063"/>
      <c r="AK331" s="1063"/>
      <c r="AL331" s="1063"/>
      <c r="AM331" s="1063"/>
      <c r="AN331" s="1063"/>
      <c r="AO331" s="1063"/>
      <c r="AP331" s="1063"/>
      <c r="AQ331" s="1063"/>
      <c r="AR331" s="1063"/>
      <c r="AS331" s="1063"/>
      <c r="AT331" s="1063"/>
      <c r="AU331" s="1063"/>
      <c r="AV331" s="1063"/>
      <c r="AW331" s="1063"/>
      <c r="AX331" s="1063"/>
      <c r="AY331" s="1063"/>
      <c r="AZ331" s="1063"/>
      <c r="BA331" s="1063"/>
      <c r="BB331" s="1063"/>
      <c r="BC331" s="1063"/>
      <c r="BD331" s="1063"/>
      <c r="BE331" s="1063"/>
      <c r="BF331" s="1063"/>
      <c r="BG331" s="1063"/>
      <c r="BH331" s="1063"/>
      <c r="BI331" s="1063"/>
      <c r="BJ331" s="1063"/>
      <c r="BK331" s="1063"/>
      <c r="BL331" s="1063"/>
      <c r="BM331" s="1063"/>
      <c r="BN331" s="1063"/>
      <c r="BO331" s="1063"/>
      <c r="BP331" s="1063"/>
      <c r="BQ331" s="1063"/>
      <c r="BR331" s="1063"/>
      <c r="BS331" s="1063"/>
    </row>
    <row r="332" spans="1:71" ht="12.75">
      <c r="A332" s="1063"/>
      <c r="B332" s="1070"/>
      <c r="C332" s="1070"/>
      <c r="D332" s="1063"/>
      <c r="E332" s="1063"/>
      <c r="F332" s="1063"/>
      <c r="G332" s="1063"/>
      <c r="H332" s="1072"/>
      <c r="I332" s="1072"/>
      <c r="J332" s="1072"/>
      <c r="K332" s="1072"/>
      <c r="L332" s="1072"/>
      <c r="M332" s="1072"/>
      <c r="N332" s="1072"/>
      <c r="O332" s="1072"/>
      <c r="P332" s="1072"/>
      <c r="Q332" s="1072"/>
      <c r="R332" s="1072"/>
      <c r="S332" s="1072"/>
      <c r="T332" s="1072"/>
      <c r="U332" s="1072"/>
      <c r="V332" s="1072"/>
      <c r="W332" s="1072"/>
      <c r="X332" s="1072"/>
      <c r="Y332" s="1072"/>
      <c r="Z332" s="1072"/>
      <c r="AA332" s="1072"/>
      <c r="AB332" s="1072"/>
      <c r="AC332" s="1072"/>
      <c r="AD332" s="1072"/>
      <c r="AE332" s="1072"/>
      <c r="AF332" s="1072"/>
      <c r="AG332" s="1072"/>
      <c r="AH332" s="1072"/>
      <c r="AI332" s="1072"/>
      <c r="AJ332" s="1072"/>
      <c r="AK332" s="1072"/>
      <c r="AL332" s="1072"/>
      <c r="AM332" s="1072"/>
      <c r="AN332" s="1072"/>
      <c r="AO332" s="1072"/>
      <c r="AP332" s="1072"/>
      <c r="AQ332" s="1072"/>
      <c r="AR332" s="1072"/>
      <c r="AS332" s="1072"/>
      <c r="AT332" s="1072"/>
      <c r="AU332" s="1072"/>
      <c r="AV332" s="1063"/>
      <c r="AW332" s="1063"/>
      <c r="AX332" s="1072"/>
      <c r="AY332" s="1063"/>
      <c r="AZ332" s="1063"/>
      <c r="BA332" s="1063"/>
      <c r="BB332" s="1063"/>
      <c r="BC332" s="1063"/>
      <c r="BD332" s="1063"/>
      <c r="BE332" s="1063"/>
      <c r="BF332" s="1063"/>
      <c r="BG332" s="1063"/>
      <c r="BH332" s="1063"/>
      <c r="BI332" s="1063"/>
      <c r="BJ332" s="1063"/>
      <c r="BK332" s="1063"/>
      <c r="BL332" s="1063"/>
      <c r="BM332" s="1063"/>
      <c r="BN332" s="1063"/>
      <c r="BO332" s="1063"/>
      <c r="BP332" s="1063"/>
      <c r="BQ332" s="1063"/>
      <c r="BR332" s="1063"/>
      <c r="BS332" s="1063"/>
    </row>
    <row r="333" spans="1:71" ht="12.75">
      <c r="A333" s="1063"/>
      <c r="B333" s="1070"/>
      <c r="C333" s="1070"/>
      <c r="D333" s="1063"/>
      <c r="E333" s="1063"/>
      <c r="F333" s="1063"/>
      <c r="G333" s="1063"/>
      <c r="H333" s="1063"/>
      <c r="I333" s="1063"/>
      <c r="J333" s="1063"/>
      <c r="K333" s="1063"/>
      <c r="L333" s="1063"/>
      <c r="M333" s="1063"/>
      <c r="N333" s="1063"/>
      <c r="O333" s="1063"/>
      <c r="P333" s="1063"/>
      <c r="Q333" s="1063"/>
      <c r="R333" s="1063"/>
      <c r="S333" s="1063"/>
      <c r="T333" s="1063"/>
      <c r="U333" s="1063"/>
      <c r="V333" s="1063"/>
      <c r="W333" s="1063"/>
      <c r="X333" s="1063"/>
      <c r="Y333" s="1063"/>
      <c r="Z333" s="1063"/>
      <c r="AA333" s="1063"/>
      <c r="AB333" s="1063"/>
      <c r="AC333" s="1063"/>
      <c r="AD333" s="1063"/>
      <c r="AE333" s="1063"/>
      <c r="AF333" s="1063"/>
      <c r="AG333" s="1063"/>
      <c r="AH333" s="1063"/>
      <c r="AI333" s="1063"/>
      <c r="AJ333" s="1063"/>
      <c r="AK333" s="1063"/>
      <c r="AL333" s="1063"/>
      <c r="AM333" s="1063"/>
      <c r="AN333" s="1063"/>
      <c r="AO333" s="1063"/>
      <c r="AP333" s="1063"/>
      <c r="AQ333" s="1063"/>
      <c r="AR333" s="1063"/>
      <c r="AS333" s="1063"/>
      <c r="AT333" s="1063"/>
      <c r="AU333" s="1063"/>
      <c r="AV333" s="1063"/>
      <c r="AW333" s="1063"/>
      <c r="AX333" s="1063"/>
      <c r="AY333" s="1063"/>
      <c r="AZ333" s="1063"/>
      <c r="BA333" s="1063"/>
      <c r="BB333" s="1063"/>
      <c r="BC333" s="1063"/>
      <c r="BD333" s="1063"/>
      <c r="BE333" s="1063"/>
      <c r="BF333" s="1063"/>
      <c r="BG333" s="1063"/>
      <c r="BH333" s="1063"/>
      <c r="BI333" s="1063"/>
      <c r="BJ333" s="1063"/>
      <c r="BK333" s="1063"/>
      <c r="BL333" s="1063"/>
      <c r="BM333" s="1063"/>
      <c r="BN333" s="1063"/>
      <c r="BO333" s="1063"/>
      <c r="BP333" s="1063"/>
      <c r="BQ333" s="1063"/>
      <c r="BR333" s="1063"/>
      <c r="BS333" s="1063"/>
    </row>
    <row r="334" spans="1:71" ht="12.75">
      <c r="A334" s="1063"/>
      <c r="B334" s="1070"/>
      <c r="C334" s="1070"/>
      <c r="D334" s="1063"/>
      <c r="E334" s="1063"/>
      <c r="F334" s="1063"/>
      <c r="G334" s="1063"/>
      <c r="H334" s="1063"/>
      <c r="I334" s="1063"/>
      <c r="J334" s="1063"/>
      <c r="K334" s="1063"/>
      <c r="L334" s="1063"/>
      <c r="M334" s="1063"/>
      <c r="N334" s="1063"/>
      <c r="O334" s="1063"/>
      <c r="P334" s="1063"/>
      <c r="Q334" s="1063"/>
      <c r="R334" s="1063"/>
      <c r="S334" s="1063"/>
      <c r="T334" s="1063"/>
      <c r="U334" s="1063"/>
      <c r="V334" s="1063"/>
      <c r="W334" s="1063"/>
      <c r="X334" s="1063"/>
      <c r="Y334" s="1063"/>
      <c r="Z334" s="1063"/>
      <c r="AA334" s="1063"/>
      <c r="AB334" s="1063"/>
      <c r="AC334" s="1063"/>
      <c r="AD334" s="1063"/>
      <c r="AE334" s="1063"/>
      <c r="AF334" s="1063"/>
      <c r="AG334" s="1063"/>
      <c r="AH334" s="1063"/>
      <c r="AI334" s="1063"/>
      <c r="AJ334" s="1063"/>
      <c r="AK334" s="1063"/>
      <c r="AL334" s="1063"/>
      <c r="AM334" s="1063"/>
      <c r="AN334" s="1063"/>
      <c r="AO334" s="1063"/>
      <c r="AP334" s="1063"/>
      <c r="AQ334" s="1063"/>
      <c r="AR334" s="1063"/>
      <c r="AS334" s="1063"/>
      <c r="AT334" s="1063"/>
      <c r="AU334" s="1063"/>
      <c r="AV334" s="1063"/>
      <c r="AW334" s="1063"/>
      <c r="AX334" s="1063"/>
      <c r="AY334" s="1063"/>
      <c r="AZ334" s="1063"/>
      <c r="BA334" s="1063"/>
      <c r="BB334" s="1063"/>
      <c r="BC334" s="1063"/>
      <c r="BD334" s="1063"/>
      <c r="BE334" s="1063"/>
      <c r="BF334" s="1063"/>
      <c r="BG334" s="1063"/>
      <c r="BH334" s="1063"/>
      <c r="BI334" s="1063"/>
      <c r="BJ334" s="1063"/>
      <c r="BK334" s="1063"/>
      <c r="BL334" s="1063"/>
      <c r="BM334" s="1063"/>
      <c r="BN334" s="1063"/>
      <c r="BO334" s="1063"/>
      <c r="BP334" s="1063"/>
      <c r="BQ334" s="1063"/>
      <c r="BR334" s="1063"/>
      <c r="BS334" s="1063"/>
    </row>
    <row r="335" spans="1:71" ht="12.75">
      <c r="A335" s="1063"/>
      <c r="B335" s="1070"/>
      <c r="C335" s="1070"/>
      <c r="D335" s="1063"/>
      <c r="E335" s="1063"/>
      <c r="F335" s="1063"/>
      <c r="G335" s="1079"/>
      <c r="H335" s="1063"/>
      <c r="I335" s="1063"/>
      <c r="J335" s="1063"/>
      <c r="K335" s="1063"/>
      <c r="L335" s="1063"/>
      <c r="M335" s="1063"/>
      <c r="N335" s="1063"/>
      <c r="O335" s="1063"/>
      <c r="P335" s="1063"/>
      <c r="Q335" s="1063"/>
      <c r="R335" s="1063"/>
      <c r="S335" s="1063"/>
      <c r="T335" s="1063"/>
      <c r="U335" s="1063"/>
      <c r="V335" s="1063"/>
      <c r="W335" s="1063"/>
      <c r="X335" s="1063"/>
      <c r="Y335" s="1063"/>
      <c r="Z335" s="1063"/>
      <c r="AA335" s="1063"/>
      <c r="AB335" s="1063"/>
      <c r="AC335" s="1063"/>
      <c r="AD335" s="1063"/>
      <c r="AE335" s="1063"/>
      <c r="AF335" s="1063"/>
      <c r="AG335" s="1063"/>
      <c r="AH335" s="1063"/>
      <c r="AI335" s="1063"/>
      <c r="AJ335" s="1063"/>
      <c r="AK335" s="1063"/>
      <c r="AL335" s="1063"/>
      <c r="AM335" s="1063"/>
      <c r="AN335" s="1063"/>
      <c r="AO335" s="1063"/>
      <c r="AP335" s="1063"/>
      <c r="AQ335" s="1063"/>
      <c r="AR335" s="1063"/>
      <c r="AS335" s="1063"/>
      <c r="AT335" s="1063"/>
      <c r="AU335" s="1063"/>
      <c r="AV335" s="1063"/>
      <c r="AW335" s="1063"/>
      <c r="AX335" s="1063"/>
      <c r="AY335" s="1063"/>
      <c r="AZ335" s="1063"/>
      <c r="BA335" s="1063"/>
      <c r="BB335" s="1063"/>
      <c r="BC335" s="1063"/>
      <c r="BD335" s="1063"/>
      <c r="BE335" s="1063"/>
      <c r="BF335" s="1063"/>
      <c r="BG335" s="1063"/>
      <c r="BH335" s="1063"/>
      <c r="BI335" s="1063"/>
      <c r="BJ335" s="1063"/>
      <c r="BK335" s="1063"/>
      <c r="BL335" s="1063"/>
      <c r="BM335" s="1063"/>
      <c r="BN335" s="1063"/>
      <c r="BO335" s="1063"/>
      <c r="BP335" s="1063"/>
      <c r="BQ335" s="1063"/>
      <c r="BR335" s="1063"/>
      <c r="BS335" s="1063"/>
    </row>
    <row r="336" spans="1:71" ht="12.75">
      <c r="A336" s="1063"/>
      <c r="B336" s="1070"/>
      <c r="C336" s="1070"/>
      <c r="D336" s="1063"/>
      <c r="E336" s="1063"/>
      <c r="F336" s="1063"/>
      <c r="G336" s="1063"/>
      <c r="H336" s="1071"/>
      <c r="I336" s="1071"/>
      <c r="J336" s="1071"/>
      <c r="K336" s="1071"/>
      <c r="L336" s="1071"/>
      <c r="M336" s="1071"/>
      <c r="N336" s="1071"/>
      <c r="O336" s="1071"/>
      <c r="P336" s="1071"/>
      <c r="Q336" s="1071"/>
      <c r="R336" s="1071"/>
      <c r="S336" s="1071"/>
      <c r="T336" s="1071"/>
      <c r="U336" s="1071"/>
      <c r="V336" s="1071"/>
      <c r="W336" s="1071"/>
      <c r="X336" s="1071"/>
      <c r="Y336" s="1071"/>
      <c r="Z336" s="1071"/>
      <c r="AA336" s="1071"/>
      <c r="AB336" s="1071"/>
      <c r="AC336" s="1071"/>
      <c r="AD336" s="1071"/>
      <c r="AE336" s="1071"/>
      <c r="AF336" s="1071"/>
      <c r="AG336" s="1071"/>
      <c r="AH336" s="1071"/>
      <c r="AI336" s="1071"/>
      <c r="AJ336" s="1071"/>
      <c r="AK336" s="1071"/>
      <c r="AL336" s="1071"/>
      <c r="AM336" s="1071"/>
      <c r="AN336" s="1071"/>
      <c r="AO336" s="1071"/>
      <c r="AP336" s="1063"/>
      <c r="AQ336" s="1063"/>
      <c r="AR336" s="1071"/>
      <c r="AS336" s="1063"/>
      <c r="AT336" s="1063"/>
      <c r="AU336" s="1071"/>
      <c r="AV336" s="1063"/>
      <c r="AW336" s="1063"/>
      <c r="AX336" s="1071"/>
      <c r="AY336" s="1063"/>
      <c r="AZ336" s="1063"/>
      <c r="BA336" s="1063"/>
      <c r="BB336" s="1063"/>
      <c r="BC336" s="1063"/>
      <c r="BD336" s="1063"/>
      <c r="BE336" s="1063"/>
      <c r="BF336" s="1063"/>
      <c r="BG336" s="1063"/>
      <c r="BH336" s="1063"/>
      <c r="BI336" s="1063"/>
      <c r="BJ336" s="1063"/>
      <c r="BK336" s="1063"/>
      <c r="BL336" s="1063"/>
      <c r="BM336" s="1063"/>
      <c r="BN336" s="1063"/>
      <c r="BO336" s="1063"/>
      <c r="BP336" s="1063"/>
      <c r="BQ336" s="1063"/>
      <c r="BR336" s="1063"/>
      <c r="BS336" s="1063"/>
    </row>
    <row r="337" spans="1:71" ht="12.75">
      <c r="A337" s="1063"/>
      <c r="B337" s="1070"/>
      <c r="C337" s="1070"/>
      <c r="D337" s="1063"/>
      <c r="E337" s="1063"/>
      <c r="F337" s="1063"/>
      <c r="G337" s="1063"/>
      <c r="H337" s="1063"/>
      <c r="I337" s="1063"/>
      <c r="J337" s="1063"/>
      <c r="K337" s="1063"/>
      <c r="L337" s="1063"/>
      <c r="M337" s="1063"/>
      <c r="N337" s="1063"/>
      <c r="O337" s="1063"/>
      <c r="P337" s="1063"/>
      <c r="Q337" s="1063"/>
      <c r="R337" s="1063"/>
      <c r="S337" s="1063"/>
      <c r="T337" s="1063"/>
      <c r="U337" s="1063"/>
      <c r="V337" s="1063"/>
      <c r="W337" s="1063"/>
      <c r="X337" s="1063"/>
      <c r="Y337" s="1063"/>
      <c r="Z337" s="1063"/>
      <c r="AA337" s="1063"/>
      <c r="AB337" s="1063"/>
      <c r="AC337" s="1063"/>
      <c r="AD337" s="1063"/>
      <c r="AE337" s="1063"/>
      <c r="AF337" s="1063"/>
      <c r="AG337" s="1063"/>
      <c r="AH337" s="1063"/>
      <c r="AI337" s="1063"/>
      <c r="AJ337" s="1063"/>
      <c r="AK337" s="1063"/>
      <c r="AL337" s="1063"/>
      <c r="AM337" s="1063"/>
      <c r="AN337" s="1063"/>
      <c r="AO337" s="1063"/>
      <c r="AP337" s="1063"/>
      <c r="AQ337" s="1063"/>
      <c r="AR337" s="1063"/>
      <c r="AS337" s="1063"/>
      <c r="AT337" s="1063"/>
      <c r="AU337" s="1063"/>
      <c r="AV337" s="1063"/>
      <c r="AW337" s="1063"/>
      <c r="AX337" s="1063"/>
      <c r="AY337" s="1063"/>
      <c r="AZ337" s="1063"/>
      <c r="BA337" s="1063"/>
      <c r="BB337" s="1063"/>
      <c r="BC337" s="1063"/>
      <c r="BD337" s="1063"/>
      <c r="BE337" s="1063"/>
      <c r="BF337" s="1063"/>
      <c r="BG337" s="1063"/>
      <c r="BH337" s="1063"/>
      <c r="BI337" s="1063"/>
      <c r="BJ337" s="1063"/>
      <c r="BK337" s="1063"/>
      <c r="BL337" s="1063"/>
      <c r="BM337" s="1063"/>
      <c r="BN337" s="1063"/>
      <c r="BO337" s="1063"/>
      <c r="BP337" s="1063"/>
      <c r="BQ337" s="1063"/>
      <c r="BR337" s="1063"/>
      <c r="BS337" s="1063"/>
    </row>
    <row r="338" spans="1:71" ht="12.75">
      <c r="A338" s="1063"/>
      <c r="B338" s="1070"/>
      <c r="C338" s="1070"/>
      <c r="D338" s="1063"/>
      <c r="E338" s="1063"/>
      <c r="F338" s="1063"/>
      <c r="G338" s="1063"/>
      <c r="H338" s="1063"/>
      <c r="I338" s="1063"/>
      <c r="J338" s="1063"/>
      <c r="K338" s="1063"/>
      <c r="L338" s="1063"/>
      <c r="M338" s="1063"/>
      <c r="N338" s="1063"/>
      <c r="O338" s="1063"/>
      <c r="P338" s="1063"/>
      <c r="Q338" s="1063"/>
      <c r="R338" s="1063"/>
      <c r="S338" s="1063"/>
      <c r="T338" s="1063"/>
      <c r="U338" s="1063"/>
      <c r="V338" s="1063"/>
      <c r="W338" s="1063"/>
      <c r="X338" s="1063"/>
      <c r="Y338" s="1063"/>
      <c r="Z338" s="1063"/>
      <c r="AA338" s="1063"/>
      <c r="AB338" s="1063"/>
      <c r="AC338" s="1063"/>
      <c r="AD338" s="1063"/>
      <c r="AE338" s="1063"/>
      <c r="AF338" s="1063"/>
      <c r="AG338" s="1063"/>
      <c r="AH338" s="1063"/>
      <c r="AI338" s="1063"/>
      <c r="AJ338" s="1063"/>
      <c r="AK338" s="1063"/>
      <c r="AL338" s="1063"/>
      <c r="AM338" s="1063"/>
      <c r="AN338" s="1063"/>
      <c r="AO338" s="1063"/>
      <c r="AP338" s="1063"/>
      <c r="AQ338" s="1063"/>
      <c r="AR338" s="1073"/>
      <c r="AS338" s="1063"/>
      <c r="AT338" s="1063"/>
      <c r="AU338" s="1063"/>
      <c r="AV338" s="1063"/>
      <c r="AW338" s="1063"/>
      <c r="AX338" s="1063"/>
      <c r="AY338" s="1063"/>
      <c r="AZ338" s="1063"/>
      <c r="BA338" s="1063"/>
      <c r="BB338" s="1063"/>
      <c r="BC338" s="1063"/>
      <c r="BD338" s="1063"/>
      <c r="BE338" s="1063"/>
      <c r="BF338" s="1063"/>
      <c r="BG338" s="1063"/>
      <c r="BH338" s="1063"/>
      <c r="BI338" s="1063"/>
      <c r="BJ338" s="1063"/>
      <c r="BK338" s="1063"/>
      <c r="BL338" s="1063"/>
      <c r="BM338" s="1063"/>
      <c r="BN338" s="1063"/>
      <c r="BO338" s="1063"/>
      <c r="BP338" s="1063"/>
      <c r="BQ338" s="1063"/>
      <c r="BR338" s="1063"/>
      <c r="BS338" s="1063"/>
    </row>
    <row r="339" spans="1:71" ht="12.75">
      <c r="A339" s="1063"/>
      <c r="B339" s="1070"/>
      <c r="C339" s="1070"/>
      <c r="D339" s="1063"/>
      <c r="E339" s="1063"/>
      <c r="F339" s="1063"/>
      <c r="G339" s="1063"/>
      <c r="H339" s="1063"/>
      <c r="I339" s="1063"/>
      <c r="J339" s="1063"/>
      <c r="K339" s="1063"/>
      <c r="L339" s="1063"/>
      <c r="M339" s="1063"/>
      <c r="N339" s="1063"/>
      <c r="O339" s="1063"/>
      <c r="P339" s="1063"/>
      <c r="Q339" s="1063"/>
      <c r="R339" s="1063"/>
      <c r="S339" s="1063"/>
      <c r="T339" s="1063"/>
      <c r="U339" s="1063"/>
      <c r="V339" s="1063"/>
      <c r="W339" s="1063"/>
      <c r="X339" s="1063"/>
      <c r="Y339" s="1063"/>
      <c r="Z339" s="1063"/>
      <c r="AA339" s="1063"/>
      <c r="AB339" s="1063"/>
      <c r="AC339" s="1063"/>
      <c r="AD339" s="1063"/>
      <c r="AE339" s="1063"/>
      <c r="AF339" s="1063"/>
      <c r="AG339" s="1063"/>
      <c r="AH339" s="1063"/>
      <c r="AI339" s="1063"/>
      <c r="AJ339" s="1063"/>
      <c r="AK339" s="1063"/>
      <c r="AL339" s="1063"/>
      <c r="AM339" s="1063"/>
      <c r="AN339" s="1063"/>
      <c r="AO339" s="1063"/>
      <c r="AP339" s="1063"/>
      <c r="AQ339" s="1063"/>
      <c r="AR339" s="1063"/>
      <c r="AS339" s="1063"/>
      <c r="AT339" s="1063"/>
      <c r="AU339" s="1063"/>
      <c r="AV339" s="1063"/>
      <c r="AW339" s="1063"/>
      <c r="AX339" s="1063"/>
      <c r="AY339" s="1063"/>
      <c r="AZ339" s="1063"/>
      <c r="BA339" s="1063"/>
      <c r="BB339" s="1063"/>
      <c r="BC339" s="1063"/>
      <c r="BD339" s="1063"/>
      <c r="BE339" s="1063"/>
      <c r="BF339" s="1063"/>
      <c r="BG339" s="1063"/>
      <c r="BH339" s="1063"/>
      <c r="BI339" s="1063"/>
      <c r="BJ339" s="1063"/>
      <c r="BK339" s="1063"/>
      <c r="BL339" s="1063"/>
      <c r="BM339" s="1063"/>
      <c r="BN339" s="1063"/>
      <c r="BO339" s="1063"/>
      <c r="BP339" s="1063"/>
      <c r="BQ339" s="1063"/>
      <c r="BR339" s="1063"/>
      <c r="BS339" s="1063"/>
    </row>
    <row r="340" spans="1:71" ht="12.75">
      <c r="A340" s="1063"/>
      <c r="B340" s="1070"/>
      <c r="C340" s="1070"/>
      <c r="D340" s="1063"/>
      <c r="E340" s="1063"/>
      <c r="F340" s="1063"/>
      <c r="G340" s="1063"/>
      <c r="H340" s="1072"/>
      <c r="I340" s="1072"/>
      <c r="J340" s="1072"/>
      <c r="K340" s="1072"/>
      <c r="L340" s="1072"/>
      <c r="M340" s="1072"/>
      <c r="N340" s="1072"/>
      <c r="O340" s="1072"/>
      <c r="P340" s="1072"/>
      <c r="Q340" s="1072"/>
      <c r="R340" s="1072"/>
      <c r="S340" s="1072"/>
      <c r="T340" s="1072"/>
      <c r="U340" s="1072"/>
      <c r="V340" s="1072"/>
      <c r="W340" s="1072"/>
      <c r="X340" s="1072"/>
      <c r="Y340" s="1072"/>
      <c r="Z340" s="1072"/>
      <c r="AA340" s="1072"/>
      <c r="AB340" s="1072"/>
      <c r="AC340" s="1072"/>
      <c r="AD340" s="1072"/>
      <c r="AE340" s="1072"/>
      <c r="AF340" s="1072"/>
      <c r="AG340" s="1072"/>
      <c r="AH340" s="1072"/>
      <c r="AI340" s="1072"/>
      <c r="AJ340" s="1072"/>
      <c r="AK340" s="1072"/>
      <c r="AL340" s="1072"/>
      <c r="AM340" s="1072"/>
      <c r="AN340" s="1072"/>
      <c r="AO340" s="1072"/>
      <c r="AP340" s="1072"/>
      <c r="AQ340" s="1072"/>
      <c r="AR340" s="1072"/>
      <c r="AS340" s="1072"/>
      <c r="AT340" s="1072"/>
      <c r="AU340" s="1072"/>
      <c r="AV340" s="1063"/>
      <c r="AW340" s="1063"/>
      <c r="AX340" s="1072"/>
      <c r="AY340" s="1063"/>
      <c r="AZ340" s="1063"/>
      <c r="BA340" s="1063"/>
      <c r="BB340" s="1063"/>
      <c r="BC340" s="1063"/>
      <c r="BD340" s="1063"/>
      <c r="BE340" s="1063"/>
      <c r="BF340" s="1063"/>
      <c r="BG340" s="1063"/>
      <c r="BH340" s="1063"/>
      <c r="BI340" s="1063"/>
      <c r="BJ340" s="1063"/>
      <c r="BK340" s="1063"/>
      <c r="BL340" s="1063"/>
      <c r="BM340" s="1063"/>
      <c r="BN340" s="1063"/>
      <c r="BO340" s="1063"/>
      <c r="BP340" s="1063"/>
      <c r="BQ340" s="1063"/>
      <c r="BR340" s="1063"/>
      <c r="BS340" s="1063"/>
    </row>
    <row r="341" spans="1:71" ht="12.75">
      <c r="A341" s="1063"/>
      <c r="B341" s="1070"/>
      <c r="C341" s="1070"/>
      <c r="D341" s="1063"/>
      <c r="E341" s="1063"/>
      <c r="F341" s="1063"/>
      <c r="G341" s="1063"/>
      <c r="H341" s="1063"/>
      <c r="I341" s="1063"/>
      <c r="J341" s="1063"/>
      <c r="K341" s="1063"/>
      <c r="L341" s="1063"/>
      <c r="M341" s="1063"/>
      <c r="N341" s="1063"/>
      <c r="O341" s="1063"/>
      <c r="P341" s="1063"/>
      <c r="Q341" s="1063"/>
      <c r="R341" s="1063"/>
      <c r="S341" s="1063"/>
      <c r="T341" s="1063"/>
      <c r="U341" s="1063"/>
      <c r="V341" s="1063"/>
      <c r="W341" s="1063"/>
      <c r="X341" s="1063"/>
      <c r="Y341" s="1063"/>
      <c r="Z341" s="1063"/>
      <c r="AA341" s="1063"/>
      <c r="AB341" s="1063"/>
      <c r="AC341" s="1063"/>
      <c r="AD341" s="1063"/>
      <c r="AE341" s="1063"/>
      <c r="AF341" s="1063"/>
      <c r="AG341" s="1063"/>
      <c r="AH341" s="1063"/>
      <c r="AI341" s="1063"/>
      <c r="AJ341" s="1063"/>
      <c r="AK341" s="1063"/>
      <c r="AL341" s="1063"/>
      <c r="AM341" s="1063"/>
      <c r="AN341" s="1063"/>
      <c r="AO341" s="1063"/>
      <c r="AP341" s="1063"/>
      <c r="AQ341" s="1063"/>
      <c r="AR341" s="1063"/>
      <c r="AS341" s="1063"/>
      <c r="AT341" s="1063"/>
      <c r="AU341" s="1063"/>
      <c r="AV341" s="1063"/>
      <c r="AW341" s="1063"/>
      <c r="AX341" s="1063"/>
      <c r="AY341" s="1063"/>
      <c r="AZ341" s="1063"/>
      <c r="BA341" s="1063"/>
      <c r="BB341" s="1063"/>
      <c r="BC341" s="1063"/>
      <c r="BD341" s="1063"/>
      <c r="BE341" s="1063"/>
      <c r="BF341" s="1063"/>
      <c r="BG341" s="1063"/>
      <c r="BH341" s="1063"/>
      <c r="BI341" s="1063"/>
      <c r="BJ341" s="1063"/>
      <c r="BK341" s="1063"/>
      <c r="BL341" s="1063"/>
      <c r="BM341" s="1063"/>
      <c r="BN341" s="1063"/>
      <c r="BO341" s="1063"/>
      <c r="BP341" s="1063"/>
      <c r="BQ341" s="1063"/>
      <c r="BR341" s="1063"/>
      <c r="BS341" s="1063"/>
    </row>
    <row r="342" spans="1:71" ht="12.75">
      <c r="A342" s="1063"/>
      <c r="B342" s="1070"/>
      <c r="C342" s="1070"/>
      <c r="D342" s="1063"/>
      <c r="E342" s="1063"/>
      <c r="F342" s="1063"/>
      <c r="G342" s="1063"/>
      <c r="H342" s="1063"/>
      <c r="I342" s="1063"/>
      <c r="J342" s="1063"/>
      <c r="K342" s="1063"/>
      <c r="L342" s="1063"/>
      <c r="M342" s="1063"/>
      <c r="N342" s="1063"/>
      <c r="O342" s="1063"/>
      <c r="P342" s="1063"/>
      <c r="Q342" s="1063"/>
      <c r="R342" s="1063"/>
      <c r="S342" s="1063"/>
      <c r="T342" s="1063"/>
      <c r="U342" s="1063"/>
      <c r="V342" s="1063"/>
      <c r="W342" s="1063"/>
      <c r="X342" s="1063"/>
      <c r="Y342" s="1063"/>
      <c r="Z342" s="1063"/>
      <c r="AA342" s="1063"/>
      <c r="AB342" s="1063"/>
      <c r="AC342" s="1063"/>
      <c r="AD342" s="1063"/>
      <c r="AE342" s="1063"/>
      <c r="AF342" s="1063"/>
      <c r="AG342" s="1063"/>
      <c r="AH342" s="1063"/>
      <c r="AI342" s="1063"/>
      <c r="AJ342" s="1063"/>
      <c r="AK342" s="1063"/>
      <c r="AL342" s="1063"/>
      <c r="AM342" s="1063"/>
      <c r="AN342" s="1063"/>
      <c r="AO342" s="1063"/>
      <c r="AP342" s="1063"/>
      <c r="AQ342" s="1063"/>
      <c r="AR342" s="1063"/>
      <c r="AS342" s="1063"/>
      <c r="AT342" s="1063"/>
      <c r="AU342" s="1063"/>
      <c r="AV342" s="1063"/>
      <c r="AW342" s="1063"/>
      <c r="AX342" s="1063"/>
      <c r="AY342" s="1063"/>
      <c r="AZ342" s="1063"/>
      <c r="BA342" s="1063"/>
      <c r="BB342" s="1063"/>
      <c r="BC342" s="1063"/>
      <c r="BD342" s="1063"/>
      <c r="BE342" s="1063"/>
      <c r="BF342" s="1063"/>
      <c r="BG342" s="1063"/>
      <c r="BH342" s="1063"/>
      <c r="BI342" s="1063"/>
      <c r="BJ342" s="1063"/>
      <c r="BK342" s="1063"/>
      <c r="BL342" s="1063"/>
      <c r="BM342" s="1063"/>
      <c r="BN342" s="1063"/>
      <c r="BO342" s="1063"/>
      <c r="BP342" s="1063"/>
      <c r="BQ342" s="1063"/>
      <c r="BR342" s="1063"/>
      <c r="BS342" s="1063"/>
    </row>
    <row r="343" spans="1:71" ht="12.75">
      <c r="A343" s="1063"/>
      <c r="B343" s="1070"/>
      <c r="C343" s="1070"/>
      <c r="D343" s="1063"/>
      <c r="E343" s="1063"/>
      <c r="F343" s="1063"/>
      <c r="G343" s="1063"/>
      <c r="H343" s="1063"/>
      <c r="I343" s="1063"/>
      <c r="J343" s="1063"/>
      <c r="K343" s="1063"/>
      <c r="L343" s="1063"/>
      <c r="M343" s="1063"/>
      <c r="N343" s="1063"/>
      <c r="O343" s="1063"/>
      <c r="P343" s="1063"/>
      <c r="Q343" s="1063"/>
      <c r="R343" s="1063"/>
      <c r="S343" s="1063"/>
      <c r="T343" s="1063"/>
      <c r="U343" s="1063"/>
      <c r="V343" s="1063"/>
      <c r="W343" s="1063"/>
      <c r="X343" s="1063"/>
      <c r="Y343" s="1063"/>
      <c r="Z343" s="1063"/>
      <c r="AA343" s="1063"/>
      <c r="AB343" s="1063"/>
      <c r="AC343" s="1063"/>
      <c r="AD343" s="1063"/>
      <c r="AE343" s="1063"/>
      <c r="AF343" s="1063"/>
      <c r="AG343" s="1063"/>
      <c r="AH343" s="1063"/>
      <c r="AI343" s="1063"/>
      <c r="AJ343" s="1063"/>
      <c r="AK343" s="1063"/>
      <c r="AL343" s="1063"/>
      <c r="AM343" s="1063"/>
      <c r="AN343" s="1063"/>
      <c r="AO343" s="1063"/>
      <c r="AP343" s="1063"/>
      <c r="AQ343" s="1063"/>
      <c r="AR343" s="1063"/>
      <c r="AS343" s="1063"/>
      <c r="AT343" s="1063"/>
      <c r="AU343" s="1063"/>
      <c r="AV343" s="1063"/>
      <c r="AW343" s="1063"/>
      <c r="AX343" s="1063"/>
      <c r="AY343" s="1063"/>
      <c r="AZ343" s="1063"/>
      <c r="BA343" s="1063"/>
      <c r="BB343" s="1063"/>
      <c r="BC343" s="1063"/>
      <c r="BD343" s="1063"/>
      <c r="BE343" s="1063"/>
      <c r="BF343" s="1063"/>
      <c r="BG343" s="1063"/>
      <c r="BH343" s="1063"/>
      <c r="BI343" s="1063"/>
      <c r="BJ343" s="1063"/>
      <c r="BK343" s="1063"/>
      <c r="BL343" s="1063"/>
      <c r="BM343" s="1063"/>
      <c r="BN343" s="1063"/>
      <c r="BO343" s="1063"/>
      <c r="BP343" s="1063"/>
      <c r="BQ343" s="1063"/>
      <c r="BR343" s="1063"/>
      <c r="BS343" s="1063"/>
    </row>
    <row r="344" spans="1:71" ht="12.75">
      <c r="A344" s="1063"/>
      <c r="B344" s="1070"/>
      <c r="C344" s="1070"/>
      <c r="D344" s="1063"/>
      <c r="E344" s="1063"/>
      <c r="F344" s="1063"/>
      <c r="G344" s="1063"/>
      <c r="H344" s="1063"/>
      <c r="I344" s="1063"/>
      <c r="J344" s="1063"/>
      <c r="K344" s="1063"/>
      <c r="L344" s="1063"/>
      <c r="M344" s="1063"/>
      <c r="N344" s="1063"/>
      <c r="O344" s="1063"/>
      <c r="P344" s="1063"/>
      <c r="Q344" s="1063"/>
      <c r="R344" s="1063"/>
      <c r="S344" s="1063"/>
      <c r="T344" s="1063"/>
      <c r="U344" s="1063"/>
      <c r="V344" s="1063"/>
      <c r="W344" s="1063"/>
      <c r="X344" s="1063"/>
      <c r="Y344" s="1063"/>
      <c r="Z344" s="1063"/>
      <c r="AA344" s="1063"/>
      <c r="AB344" s="1063"/>
      <c r="AC344" s="1063"/>
      <c r="AD344" s="1063"/>
      <c r="AE344" s="1063"/>
      <c r="AF344" s="1063"/>
      <c r="AG344" s="1063"/>
      <c r="AH344" s="1063"/>
      <c r="AI344" s="1063"/>
      <c r="AJ344" s="1063"/>
      <c r="AK344" s="1063"/>
      <c r="AL344" s="1063"/>
      <c r="AM344" s="1063"/>
      <c r="AN344" s="1063"/>
      <c r="AO344" s="1063"/>
      <c r="AP344" s="1063"/>
      <c r="AQ344" s="1063"/>
      <c r="AR344" s="1063"/>
      <c r="AS344" s="1063"/>
      <c r="AT344" s="1063"/>
      <c r="AU344" s="1063"/>
      <c r="AV344" s="1063"/>
      <c r="AW344" s="1063"/>
      <c r="AX344" s="1063"/>
      <c r="AY344" s="1063"/>
      <c r="AZ344" s="1063"/>
      <c r="BA344" s="1063"/>
      <c r="BB344" s="1063"/>
      <c r="BC344" s="1063"/>
      <c r="BD344" s="1063"/>
      <c r="BE344" s="1063"/>
      <c r="BF344" s="1063"/>
      <c r="BG344" s="1063"/>
      <c r="BH344" s="1063"/>
      <c r="BI344" s="1063"/>
      <c r="BJ344" s="1063"/>
      <c r="BK344" s="1063"/>
      <c r="BL344" s="1063"/>
      <c r="BM344" s="1063"/>
      <c r="BN344" s="1063"/>
      <c r="BO344" s="1063"/>
      <c r="BP344" s="1063"/>
      <c r="BQ344" s="1063"/>
      <c r="BR344" s="1063"/>
      <c r="BS344" s="1063"/>
    </row>
    <row r="345" spans="1:71" ht="12.75">
      <c r="A345" s="1063"/>
      <c r="B345" s="1070"/>
      <c r="C345" s="1070"/>
      <c r="D345" s="1063"/>
      <c r="E345" s="1063"/>
      <c r="F345" s="1063"/>
      <c r="G345" s="1063"/>
      <c r="H345" s="1063"/>
      <c r="I345" s="1063"/>
      <c r="J345" s="1063"/>
      <c r="K345" s="1063"/>
      <c r="L345" s="1063"/>
      <c r="M345" s="1063"/>
      <c r="N345" s="1063"/>
      <c r="O345" s="1063"/>
      <c r="P345" s="1063"/>
      <c r="Q345" s="1063"/>
      <c r="R345" s="1063"/>
      <c r="S345" s="1063"/>
      <c r="T345" s="1063"/>
      <c r="U345" s="1063"/>
      <c r="V345" s="1063"/>
      <c r="W345" s="1063"/>
      <c r="X345" s="1063"/>
      <c r="Y345" s="1063"/>
      <c r="Z345" s="1063"/>
      <c r="AA345" s="1063"/>
      <c r="AB345" s="1063"/>
      <c r="AC345" s="1063"/>
      <c r="AD345" s="1063"/>
      <c r="AE345" s="1063"/>
      <c r="AF345" s="1063"/>
      <c r="AG345" s="1063"/>
      <c r="AH345" s="1063"/>
      <c r="AI345" s="1063"/>
      <c r="AJ345" s="1063"/>
      <c r="AK345" s="1063"/>
      <c r="AL345" s="1063"/>
      <c r="AM345" s="1063"/>
      <c r="AN345" s="1063"/>
      <c r="AO345" s="1063"/>
      <c r="AP345" s="1063"/>
      <c r="AQ345" s="1063"/>
      <c r="AR345" s="1063"/>
      <c r="AS345" s="1063"/>
      <c r="AT345" s="1063"/>
      <c r="AU345" s="1063"/>
      <c r="AV345" s="1063"/>
      <c r="AW345" s="1063"/>
      <c r="AX345" s="1063"/>
      <c r="AY345" s="1063"/>
      <c r="AZ345" s="1063"/>
      <c r="BA345" s="1063"/>
      <c r="BB345" s="1063"/>
      <c r="BC345" s="1063"/>
      <c r="BD345" s="1063"/>
      <c r="BE345" s="1063"/>
      <c r="BF345" s="1063"/>
      <c r="BG345" s="1063"/>
      <c r="BH345" s="1063"/>
      <c r="BI345" s="1063"/>
      <c r="BJ345" s="1063"/>
      <c r="BK345" s="1063"/>
      <c r="BL345" s="1063"/>
      <c r="BM345" s="1063"/>
      <c r="BN345" s="1063"/>
      <c r="BO345" s="1063"/>
      <c r="BP345" s="1063"/>
      <c r="BQ345" s="1063"/>
      <c r="BR345" s="1063"/>
      <c r="BS345" s="1063"/>
    </row>
    <row r="346" spans="1:71" ht="12.75">
      <c r="A346" s="1063"/>
      <c r="B346" s="1070"/>
      <c r="C346" s="1070"/>
      <c r="D346" s="1063"/>
      <c r="E346" s="1063"/>
      <c r="F346" s="1063"/>
      <c r="G346" s="1063"/>
      <c r="H346" s="1063"/>
      <c r="I346" s="1063"/>
      <c r="J346" s="1063"/>
      <c r="K346" s="1063"/>
      <c r="L346" s="1063"/>
      <c r="M346" s="1063"/>
      <c r="N346" s="1063"/>
      <c r="O346" s="1063"/>
      <c r="P346" s="1063"/>
      <c r="Q346" s="1063"/>
      <c r="R346" s="1063"/>
      <c r="S346" s="1063"/>
      <c r="T346" s="1063"/>
      <c r="U346" s="1063"/>
      <c r="V346" s="1063"/>
      <c r="W346" s="1063"/>
      <c r="X346" s="1063"/>
      <c r="Y346" s="1063"/>
      <c r="Z346" s="1063"/>
      <c r="AA346" s="1063"/>
      <c r="AB346" s="1063"/>
      <c r="AC346" s="1063"/>
      <c r="AD346" s="1063"/>
      <c r="AE346" s="1063"/>
      <c r="AF346" s="1063"/>
      <c r="AG346" s="1063"/>
      <c r="AH346" s="1063"/>
      <c r="AI346" s="1063"/>
      <c r="AJ346" s="1063"/>
      <c r="AK346" s="1063"/>
      <c r="AL346" s="1063"/>
      <c r="AM346" s="1063"/>
      <c r="AN346" s="1063"/>
      <c r="AO346" s="1063"/>
      <c r="AP346" s="1063"/>
      <c r="AQ346" s="1063"/>
      <c r="AR346" s="1063"/>
      <c r="AS346" s="1063"/>
      <c r="AT346" s="1063"/>
      <c r="AU346" s="1063"/>
      <c r="AV346" s="1063"/>
      <c r="AW346" s="1063"/>
      <c r="AX346" s="1063"/>
      <c r="AY346" s="1063"/>
      <c r="AZ346" s="1063"/>
      <c r="BA346" s="1063"/>
      <c r="BB346" s="1063"/>
      <c r="BC346" s="1063"/>
      <c r="BD346" s="1063"/>
      <c r="BE346" s="1063"/>
      <c r="BF346" s="1063"/>
      <c r="BG346" s="1063"/>
      <c r="BH346" s="1063"/>
      <c r="BI346" s="1063"/>
      <c r="BJ346" s="1063"/>
      <c r="BK346" s="1063"/>
      <c r="BL346" s="1063"/>
      <c r="BM346" s="1063"/>
      <c r="BN346" s="1063"/>
      <c r="BO346" s="1063"/>
      <c r="BP346" s="1063"/>
      <c r="BQ346" s="1063"/>
      <c r="BR346" s="1063"/>
      <c r="BS346" s="1063"/>
    </row>
    <row r="347" spans="1:71" ht="12.75">
      <c r="A347" s="1063"/>
      <c r="B347" s="1070"/>
      <c r="C347" s="1070"/>
      <c r="D347" s="1063"/>
      <c r="E347" s="1063"/>
      <c r="F347" s="1063"/>
      <c r="G347" s="1063"/>
      <c r="H347" s="1063"/>
      <c r="I347" s="1063"/>
      <c r="J347" s="1063"/>
      <c r="K347" s="1063"/>
      <c r="L347" s="1063"/>
      <c r="M347" s="1063"/>
      <c r="N347" s="1063"/>
      <c r="O347" s="1063"/>
      <c r="P347" s="1063"/>
      <c r="Q347" s="1063"/>
      <c r="R347" s="1063"/>
      <c r="S347" s="1063"/>
      <c r="T347" s="1063"/>
      <c r="U347" s="1063"/>
      <c r="V347" s="1063"/>
      <c r="W347" s="1063"/>
      <c r="X347" s="1063"/>
      <c r="Y347" s="1063"/>
      <c r="Z347" s="1063"/>
      <c r="AA347" s="1063"/>
      <c r="AB347" s="1063"/>
      <c r="AC347" s="1063"/>
      <c r="AD347" s="1063"/>
      <c r="AE347" s="1063"/>
      <c r="AF347" s="1063"/>
      <c r="AG347" s="1063"/>
      <c r="AH347" s="1063"/>
      <c r="AI347" s="1063"/>
      <c r="AJ347" s="1063"/>
      <c r="AK347" s="1063"/>
      <c r="AL347" s="1063"/>
      <c r="AM347" s="1063"/>
      <c r="AN347" s="1063"/>
      <c r="AO347" s="1063"/>
      <c r="AP347" s="1063"/>
      <c r="AQ347" s="1063"/>
      <c r="AR347" s="1063"/>
      <c r="AS347" s="1063"/>
      <c r="AT347" s="1063"/>
      <c r="AU347" s="1063"/>
      <c r="AV347" s="1063"/>
      <c r="AW347" s="1063"/>
      <c r="AX347" s="1063"/>
      <c r="AY347" s="1063"/>
      <c r="AZ347" s="1063"/>
      <c r="BA347" s="1063"/>
      <c r="BB347" s="1063"/>
      <c r="BC347" s="1063"/>
      <c r="BD347" s="1063"/>
      <c r="BE347" s="1063"/>
      <c r="BF347" s="1063"/>
      <c r="BG347" s="1063"/>
      <c r="BH347" s="1063"/>
      <c r="BI347" s="1063"/>
      <c r="BJ347" s="1063"/>
      <c r="BK347" s="1063"/>
      <c r="BL347" s="1063"/>
      <c r="BM347" s="1063"/>
      <c r="BN347" s="1063"/>
      <c r="BO347" s="1063"/>
      <c r="BP347" s="1063"/>
      <c r="BQ347" s="1063"/>
      <c r="BR347" s="1063"/>
      <c r="BS347" s="1063"/>
    </row>
    <row r="348" spans="1:71" ht="12.75">
      <c r="A348" s="1063"/>
      <c r="B348" s="1070"/>
      <c r="C348" s="1070"/>
      <c r="D348" s="1063"/>
      <c r="E348" s="1063"/>
      <c r="F348" s="1063"/>
      <c r="G348" s="1063"/>
      <c r="H348" s="1063"/>
      <c r="I348" s="1063"/>
      <c r="J348" s="1063"/>
      <c r="K348" s="1063"/>
      <c r="L348" s="1063"/>
      <c r="M348" s="1063"/>
      <c r="N348" s="1063"/>
      <c r="O348" s="1063"/>
      <c r="P348" s="1063"/>
      <c r="Q348" s="1063"/>
      <c r="R348" s="1063"/>
      <c r="S348" s="1063"/>
      <c r="T348" s="1063"/>
      <c r="U348" s="1063"/>
      <c r="V348" s="1063"/>
      <c r="W348" s="1063"/>
      <c r="X348" s="1063"/>
      <c r="Y348" s="1063"/>
      <c r="Z348" s="1063"/>
      <c r="AA348" s="1063"/>
      <c r="AB348" s="1063"/>
      <c r="AC348" s="1063"/>
      <c r="AD348" s="1063"/>
      <c r="AE348" s="1063"/>
      <c r="AF348" s="1063"/>
      <c r="AG348" s="1063"/>
      <c r="AH348" s="1063"/>
      <c r="AI348" s="1063"/>
      <c r="AJ348" s="1063"/>
      <c r="AK348" s="1063"/>
      <c r="AL348" s="1063"/>
      <c r="AM348" s="1063"/>
      <c r="AN348" s="1063"/>
      <c r="AO348" s="1063"/>
      <c r="AP348" s="1063"/>
      <c r="AQ348" s="1063"/>
      <c r="AR348" s="1063"/>
      <c r="AS348" s="1063"/>
      <c r="AT348" s="1063"/>
      <c r="AU348" s="1063"/>
      <c r="AV348" s="1063"/>
      <c r="AW348" s="1063"/>
      <c r="AX348" s="1063"/>
      <c r="AY348" s="1063"/>
      <c r="AZ348" s="1063"/>
      <c r="BA348" s="1063"/>
      <c r="BB348" s="1063"/>
      <c r="BC348" s="1063"/>
      <c r="BD348" s="1063"/>
      <c r="BE348" s="1063"/>
      <c r="BF348" s="1063"/>
      <c r="BG348" s="1063"/>
      <c r="BH348" s="1063"/>
      <c r="BI348" s="1063"/>
      <c r="BJ348" s="1063"/>
      <c r="BK348" s="1063"/>
      <c r="BL348" s="1063"/>
      <c r="BM348" s="1063"/>
      <c r="BN348" s="1063"/>
      <c r="BO348" s="1063"/>
      <c r="BP348" s="1063"/>
      <c r="BQ348" s="1063"/>
      <c r="BR348" s="1063"/>
      <c r="BS348" s="1063"/>
    </row>
    <row r="349" spans="1:71" ht="12.75">
      <c r="A349" s="1063"/>
      <c r="B349" s="1070"/>
      <c r="C349" s="1070"/>
      <c r="D349" s="1063"/>
      <c r="E349" s="1063"/>
      <c r="F349" s="1063"/>
      <c r="G349" s="1063"/>
      <c r="H349" s="1063"/>
      <c r="I349" s="1063"/>
      <c r="J349" s="1063"/>
      <c r="K349" s="1063"/>
      <c r="L349" s="1063"/>
      <c r="M349" s="1063"/>
      <c r="N349" s="1063"/>
      <c r="O349" s="1063"/>
      <c r="P349" s="1063"/>
      <c r="Q349" s="1063"/>
      <c r="R349" s="1063"/>
      <c r="S349" s="1063"/>
      <c r="T349" s="1063"/>
      <c r="U349" s="1063"/>
      <c r="V349" s="1063"/>
      <c r="W349" s="1063"/>
      <c r="X349" s="1063"/>
      <c r="Y349" s="1063"/>
      <c r="Z349" s="1063"/>
      <c r="AA349" s="1063"/>
      <c r="AB349" s="1063"/>
      <c r="AC349" s="1063"/>
      <c r="AD349" s="1063"/>
      <c r="AE349" s="1063"/>
      <c r="AF349" s="1063"/>
      <c r="AG349" s="1063"/>
      <c r="AH349" s="1063"/>
      <c r="AI349" s="1063"/>
      <c r="AJ349" s="1063"/>
      <c r="AK349" s="1063"/>
      <c r="AL349" s="1063"/>
      <c r="AM349" s="1063"/>
      <c r="AN349" s="1063"/>
      <c r="AO349" s="1063"/>
      <c r="AP349" s="1063"/>
      <c r="AQ349" s="1063"/>
      <c r="AR349" s="1063"/>
      <c r="AS349" s="1063"/>
      <c r="AT349" s="1063"/>
      <c r="AU349" s="1063"/>
      <c r="AV349" s="1063"/>
      <c r="AW349" s="1063"/>
      <c r="AX349" s="1063"/>
      <c r="AY349" s="1063"/>
      <c r="AZ349" s="1063"/>
      <c r="BA349" s="1063"/>
      <c r="BB349" s="1063"/>
      <c r="BC349" s="1063"/>
      <c r="BD349" s="1063"/>
      <c r="BE349" s="1063"/>
      <c r="BF349" s="1063"/>
      <c r="BG349" s="1063"/>
      <c r="BH349" s="1063"/>
      <c r="BI349" s="1063"/>
      <c r="BJ349" s="1063"/>
      <c r="BK349" s="1063"/>
      <c r="BL349" s="1063"/>
      <c r="BM349" s="1063"/>
      <c r="BN349" s="1063"/>
      <c r="BO349" s="1063"/>
      <c r="BP349" s="1063"/>
      <c r="BQ349" s="1063"/>
      <c r="BR349" s="1063"/>
      <c r="BS349" s="1063"/>
    </row>
    <row r="350" spans="1:71" ht="12.75">
      <c r="A350" s="1063"/>
      <c r="B350" s="1070"/>
      <c r="C350" s="1070"/>
      <c r="D350" s="1063"/>
      <c r="E350" s="1063"/>
      <c r="F350" s="1063"/>
      <c r="G350" s="1063"/>
      <c r="H350" s="1063"/>
      <c r="I350" s="1063"/>
      <c r="J350" s="1063"/>
      <c r="K350" s="1063"/>
      <c r="L350" s="1063"/>
      <c r="M350" s="1063"/>
      <c r="N350" s="1063"/>
      <c r="O350" s="1063"/>
      <c r="P350" s="1063"/>
      <c r="Q350" s="1063"/>
      <c r="R350" s="1063"/>
      <c r="S350" s="1063"/>
      <c r="T350" s="1063"/>
      <c r="U350" s="1063"/>
      <c r="V350" s="1063"/>
      <c r="W350" s="1063"/>
      <c r="X350" s="1063"/>
      <c r="Y350" s="1063"/>
      <c r="Z350" s="1063"/>
      <c r="AA350" s="1063"/>
      <c r="AB350" s="1063"/>
      <c r="AC350" s="1063"/>
      <c r="AD350" s="1063"/>
      <c r="AE350" s="1063"/>
      <c r="AF350" s="1063"/>
      <c r="AG350" s="1063"/>
      <c r="AH350" s="1063"/>
      <c r="AI350" s="1063"/>
      <c r="AJ350" s="1063"/>
      <c r="AK350" s="1063"/>
      <c r="AL350" s="1063"/>
      <c r="AM350" s="1063"/>
      <c r="AN350" s="1063"/>
      <c r="AO350" s="1063"/>
      <c r="AP350" s="1063"/>
      <c r="AQ350" s="1063"/>
      <c r="AR350" s="1063"/>
      <c r="AS350" s="1063"/>
      <c r="AT350" s="1063"/>
      <c r="AU350" s="1063"/>
      <c r="AV350" s="1063"/>
      <c r="AW350" s="1063"/>
      <c r="AX350" s="1063"/>
      <c r="AY350" s="1063"/>
      <c r="AZ350" s="1063"/>
      <c r="BA350" s="1063"/>
      <c r="BB350" s="1063"/>
      <c r="BC350" s="1063"/>
      <c r="BD350" s="1063"/>
      <c r="BE350" s="1063"/>
      <c r="BF350" s="1063"/>
      <c r="BG350" s="1063"/>
      <c r="BH350" s="1063"/>
      <c r="BI350" s="1063"/>
      <c r="BJ350" s="1063"/>
      <c r="BK350" s="1063"/>
      <c r="BL350" s="1063"/>
      <c r="BM350" s="1063"/>
      <c r="BN350" s="1063"/>
      <c r="BO350" s="1063"/>
      <c r="BP350" s="1063"/>
      <c r="BQ350" s="1063"/>
      <c r="BR350" s="1063"/>
      <c r="BS350" s="1063"/>
    </row>
    <row r="351" spans="1:71" ht="12.75">
      <c r="A351" s="1063"/>
      <c r="B351" s="1070"/>
      <c r="C351" s="1070"/>
      <c r="D351" s="1063"/>
      <c r="E351" s="1063"/>
      <c r="F351" s="1063"/>
      <c r="G351" s="1063"/>
      <c r="H351" s="1063"/>
      <c r="I351" s="1063"/>
      <c r="J351" s="1063"/>
      <c r="K351" s="1063"/>
      <c r="L351" s="1063"/>
      <c r="M351" s="1063"/>
      <c r="N351" s="1063"/>
      <c r="O351" s="1063"/>
      <c r="P351" s="1063"/>
      <c r="Q351" s="1063"/>
      <c r="R351" s="1063"/>
      <c r="S351" s="1063"/>
      <c r="T351" s="1063"/>
      <c r="U351" s="1063"/>
      <c r="V351" s="1063"/>
      <c r="W351" s="1063"/>
      <c r="X351" s="1063"/>
      <c r="Y351" s="1063"/>
      <c r="Z351" s="1063"/>
      <c r="AA351" s="1063"/>
      <c r="AB351" s="1063"/>
      <c r="AC351" s="1063"/>
      <c r="AD351" s="1063"/>
      <c r="AE351" s="1063"/>
      <c r="AF351" s="1063"/>
      <c r="AG351" s="1063"/>
      <c r="AH351" s="1063"/>
      <c r="AI351" s="1063"/>
      <c r="AJ351" s="1063"/>
      <c r="AK351" s="1063"/>
      <c r="AL351" s="1063"/>
      <c r="AM351" s="1063"/>
      <c r="AN351" s="1063"/>
      <c r="AO351" s="1063"/>
      <c r="AP351" s="1063"/>
      <c r="AQ351" s="1063"/>
      <c r="AR351" s="1063"/>
      <c r="AS351" s="1063"/>
      <c r="AT351" s="1063"/>
      <c r="AU351" s="1063"/>
      <c r="AV351" s="1063"/>
      <c r="AW351" s="1063"/>
      <c r="AX351" s="1063"/>
      <c r="AY351" s="1063"/>
      <c r="AZ351" s="1063"/>
      <c r="BA351" s="1063"/>
      <c r="BB351" s="1063"/>
      <c r="BC351" s="1063"/>
      <c r="BD351" s="1063"/>
      <c r="BE351" s="1063"/>
      <c r="BF351" s="1063"/>
      <c r="BG351" s="1063"/>
      <c r="BH351" s="1063"/>
      <c r="BI351" s="1063"/>
      <c r="BJ351" s="1063"/>
      <c r="BK351" s="1063"/>
      <c r="BL351" s="1063"/>
      <c r="BM351" s="1063"/>
      <c r="BN351" s="1063"/>
      <c r="BO351" s="1063"/>
      <c r="BP351" s="1063"/>
      <c r="BQ351" s="1063"/>
      <c r="BR351" s="1063"/>
      <c r="BS351" s="1063"/>
    </row>
    <row r="352" spans="1:71" ht="12.75">
      <c r="A352" s="1063"/>
      <c r="B352" s="1070"/>
      <c r="C352" s="1070"/>
      <c r="D352" s="1063"/>
      <c r="E352" s="1063"/>
      <c r="F352" s="1063"/>
      <c r="G352" s="1063"/>
      <c r="H352" s="1063"/>
      <c r="I352" s="1063"/>
      <c r="J352" s="1063"/>
      <c r="K352" s="1063"/>
      <c r="L352" s="1063"/>
      <c r="M352" s="1063"/>
      <c r="N352" s="1063"/>
      <c r="O352" s="1063"/>
      <c r="P352" s="1063"/>
      <c r="Q352" s="1063"/>
      <c r="R352" s="1063"/>
      <c r="S352" s="1063"/>
      <c r="T352" s="1063"/>
      <c r="U352" s="1063"/>
      <c r="V352" s="1063"/>
      <c r="W352" s="1063"/>
      <c r="X352" s="1063"/>
      <c r="Y352" s="1063"/>
      <c r="Z352" s="1063"/>
      <c r="AA352" s="1063"/>
      <c r="AB352" s="1063"/>
      <c r="AC352" s="1063"/>
      <c r="AD352" s="1063"/>
      <c r="AE352" s="1063"/>
      <c r="AF352" s="1063"/>
      <c r="AG352" s="1063"/>
      <c r="AH352" s="1063"/>
      <c r="AI352" s="1063"/>
      <c r="AJ352" s="1063"/>
      <c r="AK352" s="1063"/>
      <c r="AL352" s="1063"/>
      <c r="AM352" s="1063"/>
      <c r="AN352" s="1063"/>
      <c r="AO352" s="1063"/>
      <c r="AP352" s="1063"/>
      <c r="AQ352" s="1063"/>
      <c r="AR352" s="1063"/>
      <c r="AS352" s="1063"/>
      <c r="AT352" s="1063"/>
      <c r="AU352" s="1063"/>
      <c r="AV352" s="1063"/>
      <c r="AW352" s="1063"/>
      <c r="AX352" s="1063"/>
      <c r="AY352" s="1063"/>
      <c r="AZ352" s="1063"/>
      <c r="BA352" s="1063"/>
      <c r="BB352" s="1063"/>
      <c r="BC352" s="1063"/>
      <c r="BD352" s="1063"/>
      <c r="BE352" s="1063"/>
      <c r="BF352" s="1063"/>
      <c r="BG352" s="1063"/>
      <c r="BH352" s="1063"/>
      <c r="BI352" s="1063"/>
      <c r="BJ352" s="1063"/>
      <c r="BK352" s="1063"/>
      <c r="BL352" s="1063"/>
      <c r="BM352" s="1063"/>
      <c r="BN352" s="1063"/>
      <c r="BO352" s="1063"/>
      <c r="BP352" s="1063"/>
      <c r="BQ352" s="1063"/>
      <c r="BR352" s="1063"/>
      <c r="BS352" s="1063"/>
    </row>
    <row r="353" spans="1:71" ht="12.75">
      <c r="A353" s="1063"/>
      <c r="B353" s="1070"/>
      <c r="C353" s="1070"/>
      <c r="D353" s="1063"/>
      <c r="E353" s="1063"/>
      <c r="F353" s="1063"/>
      <c r="G353" s="1063"/>
      <c r="H353" s="1063"/>
      <c r="I353" s="1063"/>
      <c r="J353" s="1063"/>
      <c r="K353" s="1063"/>
      <c r="L353" s="1063"/>
      <c r="M353" s="1063"/>
      <c r="N353" s="1063"/>
      <c r="O353" s="1063"/>
      <c r="P353" s="1063"/>
      <c r="Q353" s="1063"/>
      <c r="R353" s="1063"/>
      <c r="S353" s="1063"/>
      <c r="T353" s="1063"/>
      <c r="U353" s="1063"/>
      <c r="V353" s="1063"/>
      <c r="W353" s="1063"/>
      <c r="X353" s="1063"/>
      <c r="Y353" s="1063"/>
      <c r="Z353" s="1063"/>
      <c r="AA353" s="1063"/>
      <c r="AB353" s="1063"/>
      <c r="AC353" s="1063"/>
      <c r="AD353" s="1063"/>
      <c r="AE353" s="1063"/>
      <c r="AF353" s="1063"/>
      <c r="AG353" s="1063"/>
      <c r="AH353" s="1063"/>
      <c r="AI353" s="1063"/>
      <c r="AJ353" s="1063"/>
      <c r="AK353" s="1063"/>
      <c r="AL353" s="1063"/>
      <c r="AM353" s="1063"/>
      <c r="AN353" s="1063"/>
      <c r="AO353" s="1063"/>
      <c r="AP353" s="1063"/>
      <c r="AQ353" s="1063"/>
      <c r="AR353" s="1063"/>
      <c r="AS353" s="1063"/>
      <c r="AT353" s="1063"/>
      <c r="AU353" s="1063"/>
      <c r="AV353" s="1063"/>
      <c r="AW353" s="1063"/>
      <c r="AX353" s="1063"/>
      <c r="AY353" s="1063"/>
      <c r="AZ353" s="1063"/>
      <c r="BA353" s="1063"/>
      <c r="BB353" s="1063"/>
      <c r="BC353" s="1063"/>
      <c r="BD353" s="1063"/>
      <c r="BE353" s="1063"/>
      <c r="BF353" s="1063"/>
      <c r="BG353" s="1063"/>
      <c r="BH353" s="1063"/>
      <c r="BI353" s="1063"/>
      <c r="BJ353" s="1063"/>
      <c r="BK353" s="1063"/>
      <c r="BL353" s="1063"/>
      <c r="BM353" s="1063"/>
      <c r="BN353" s="1063"/>
      <c r="BO353" s="1063"/>
      <c r="BP353" s="1063"/>
      <c r="BQ353" s="1063"/>
      <c r="BR353" s="1063"/>
      <c r="BS353" s="1063"/>
    </row>
    <row r="354" spans="1:71" ht="12.75">
      <c r="A354" s="1063"/>
      <c r="B354" s="1070"/>
      <c r="C354" s="1070"/>
      <c r="D354" s="1063"/>
      <c r="E354" s="1063"/>
      <c r="F354" s="1063"/>
      <c r="G354" s="1063"/>
      <c r="H354" s="1063"/>
      <c r="I354" s="1063"/>
      <c r="J354" s="1063"/>
      <c r="K354" s="1063"/>
      <c r="L354" s="1063"/>
      <c r="M354" s="1063"/>
      <c r="N354" s="1063"/>
      <c r="O354" s="1063"/>
      <c r="P354" s="1063"/>
      <c r="Q354" s="1063"/>
      <c r="R354" s="1063"/>
      <c r="S354" s="1063"/>
      <c r="T354" s="1063"/>
      <c r="U354" s="1063"/>
      <c r="V354" s="1063"/>
      <c r="W354" s="1063"/>
      <c r="X354" s="1063"/>
      <c r="Y354" s="1063"/>
      <c r="Z354" s="1063"/>
      <c r="AA354" s="1063"/>
      <c r="AB354" s="1063"/>
      <c r="AC354" s="1063"/>
      <c r="AD354" s="1063"/>
      <c r="AE354" s="1063"/>
      <c r="AF354" s="1063"/>
      <c r="AG354" s="1063"/>
      <c r="AH354" s="1063"/>
      <c r="AI354" s="1063"/>
      <c r="AJ354" s="1063"/>
      <c r="AK354" s="1063"/>
      <c r="AL354" s="1063"/>
      <c r="AM354" s="1063"/>
      <c r="AN354" s="1063"/>
      <c r="AO354" s="1063"/>
      <c r="AP354" s="1063"/>
      <c r="AQ354" s="1063"/>
      <c r="AR354" s="1063"/>
      <c r="AS354" s="1063"/>
      <c r="AT354" s="1063"/>
      <c r="AU354" s="1063"/>
      <c r="AV354" s="1063"/>
      <c r="AW354" s="1063"/>
      <c r="AX354" s="1063"/>
      <c r="AY354" s="1063"/>
      <c r="AZ354" s="1063"/>
      <c r="BA354" s="1063"/>
      <c r="BB354" s="1063"/>
      <c r="BC354" s="1063"/>
      <c r="BD354" s="1063"/>
      <c r="BE354" s="1063"/>
      <c r="BF354" s="1063"/>
      <c r="BG354" s="1063"/>
      <c r="BH354" s="1063"/>
      <c r="BI354" s="1063"/>
      <c r="BJ354" s="1063"/>
      <c r="BK354" s="1063"/>
      <c r="BL354" s="1063"/>
      <c r="BM354" s="1063"/>
      <c r="BN354" s="1063"/>
      <c r="BO354" s="1063"/>
      <c r="BP354" s="1063"/>
      <c r="BQ354" s="1063"/>
      <c r="BR354" s="1063"/>
      <c r="BS354" s="1063"/>
    </row>
    <row r="355" spans="1:71" ht="12.75">
      <c r="A355" s="1063"/>
      <c r="B355" s="1070"/>
      <c r="C355" s="1070"/>
      <c r="D355" s="1063"/>
      <c r="E355" s="1063"/>
      <c r="F355" s="1063"/>
      <c r="G355" s="1063"/>
      <c r="H355" s="1063"/>
      <c r="I355" s="1063"/>
      <c r="J355" s="1063"/>
      <c r="K355" s="1063"/>
      <c r="L355" s="1063"/>
      <c r="M355" s="1063"/>
      <c r="N355" s="1063"/>
      <c r="O355" s="1063"/>
      <c r="P355" s="1063"/>
      <c r="Q355" s="1063"/>
      <c r="R355" s="1063"/>
      <c r="S355" s="1063"/>
      <c r="T355" s="1063"/>
      <c r="U355" s="1063"/>
      <c r="V355" s="1063"/>
      <c r="W355" s="1063"/>
      <c r="X355" s="1063"/>
      <c r="Y355" s="1063"/>
      <c r="Z355" s="1063"/>
      <c r="AA355" s="1063"/>
      <c r="AB355" s="1063"/>
      <c r="AC355" s="1063"/>
      <c r="AD355" s="1063"/>
      <c r="AE355" s="1063"/>
      <c r="AF355" s="1063"/>
      <c r="AG355" s="1063"/>
      <c r="AH355" s="1063"/>
      <c r="AI355" s="1063"/>
      <c r="AJ355" s="1063"/>
      <c r="AK355" s="1063"/>
      <c r="AL355" s="1063"/>
      <c r="AM355" s="1063"/>
      <c r="AN355" s="1063"/>
      <c r="AO355" s="1063"/>
      <c r="AP355" s="1063"/>
      <c r="AQ355" s="1063"/>
      <c r="AR355" s="1063"/>
      <c r="AS355" s="1063"/>
      <c r="AT355" s="1063"/>
      <c r="AU355" s="1063"/>
      <c r="AV355" s="1063"/>
      <c r="AW355" s="1063"/>
      <c r="AX355" s="1063"/>
      <c r="AY355" s="1063"/>
      <c r="AZ355" s="1063"/>
      <c r="BA355" s="1063"/>
      <c r="BB355" s="1063"/>
      <c r="BC355" s="1063"/>
      <c r="BD355" s="1063"/>
      <c r="BE355" s="1063"/>
      <c r="BF355" s="1063"/>
      <c r="BG355" s="1063"/>
      <c r="BH355" s="1063"/>
      <c r="BI355" s="1063"/>
      <c r="BJ355" s="1063"/>
      <c r="BK355" s="1063"/>
      <c r="BL355" s="1063"/>
      <c r="BM355" s="1063"/>
      <c r="BN355" s="1063"/>
      <c r="BO355" s="1063"/>
      <c r="BP355" s="1063"/>
      <c r="BQ355" s="1063"/>
      <c r="BR355" s="1063"/>
      <c r="BS355" s="1063"/>
    </row>
    <row r="356" spans="1:71" ht="12.75">
      <c r="A356" s="1063"/>
      <c r="B356" s="1070"/>
      <c r="C356" s="1070"/>
      <c r="D356" s="1063"/>
      <c r="E356" s="1063"/>
      <c r="F356" s="1063"/>
      <c r="G356" s="1063"/>
      <c r="H356" s="1063"/>
      <c r="I356" s="1063"/>
      <c r="J356" s="1063"/>
      <c r="K356" s="1063"/>
      <c r="L356" s="1063"/>
      <c r="M356" s="1063"/>
      <c r="N356" s="1063"/>
      <c r="O356" s="1063"/>
      <c r="P356" s="1063"/>
      <c r="Q356" s="1063"/>
      <c r="R356" s="1063"/>
      <c r="S356" s="1063"/>
      <c r="T356" s="1063"/>
      <c r="U356" s="1063"/>
      <c r="V356" s="1063"/>
      <c r="W356" s="1063"/>
      <c r="X356" s="1063"/>
      <c r="Y356" s="1063"/>
      <c r="Z356" s="1063"/>
      <c r="AA356" s="1063"/>
      <c r="AB356" s="1063"/>
      <c r="AC356" s="1063"/>
      <c r="AD356" s="1063"/>
      <c r="AE356" s="1063"/>
      <c r="AF356" s="1063"/>
      <c r="AG356" s="1063"/>
      <c r="AH356" s="1063"/>
      <c r="AI356" s="1063"/>
      <c r="AJ356" s="1063"/>
      <c r="AK356" s="1063"/>
      <c r="AL356" s="1063"/>
      <c r="AM356" s="1063"/>
      <c r="AN356" s="1063"/>
      <c r="AO356" s="1063"/>
      <c r="AP356" s="1063"/>
      <c r="AQ356" s="1063"/>
      <c r="AR356" s="1063"/>
      <c r="AS356" s="1063"/>
      <c r="AT356" s="1063"/>
      <c r="AU356" s="1063"/>
      <c r="AV356" s="1063"/>
      <c r="AW356" s="1063"/>
      <c r="AX356" s="1063"/>
      <c r="AY356" s="1063"/>
      <c r="AZ356" s="1063"/>
      <c r="BA356" s="1063"/>
      <c r="BB356" s="1063"/>
      <c r="BC356" s="1063"/>
      <c r="BD356" s="1063"/>
      <c r="BE356" s="1063"/>
      <c r="BF356" s="1063"/>
      <c r="BG356" s="1063"/>
      <c r="BH356" s="1063"/>
      <c r="BI356" s="1063"/>
      <c r="BJ356" s="1063"/>
      <c r="BK356" s="1063"/>
      <c r="BL356" s="1063"/>
      <c r="BM356" s="1063"/>
      <c r="BN356" s="1063"/>
      <c r="BO356" s="1063"/>
      <c r="BP356" s="1063"/>
      <c r="BQ356" s="1063"/>
      <c r="BR356" s="1063"/>
      <c r="BS356" s="1063"/>
    </row>
    <row r="357" spans="1:71" ht="12.75">
      <c r="A357" s="1063"/>
      <c r="B357" s="1070"/>
      <c r="C357" s="1070"/>
      <c r="D357" s="1063"/>
      <c r="E357" s="1063"/>
      <c r="F357" s="1063"/>
      <c r="G357" s="1063"/>
      <c r="H357" s="1063"/>
      <c r="I357" s="1063"/>
      <c r="J357" s="1063"/>
      <c r="K357" s="1063"/>
      <c r="L357" s="1063"/>
      <c r="M357" s="1063"/>
      <c r="N357" s="1063"/>
      <c r="O357" s="1063"/>
      <c r="P357" s="1063"/>
      <c r="Q357" s="1063"/>
      <c r="R357" s="1063"/>
      <c r="S357" s="1063"/>
      <c r="T357" s="1063"/>
      <c r="U357" s="1063"/>
      <c r="V357" s="1063"/>
      <c r="W357" s="1063"/>
      <c r="X357" s="1063"/>
      <c r="Y357" s="1063"/>
      <c r="Z357" s="1063"/>
      <c r="AA357" s="1063"/>
      <c r="AB357" s="1063"/>
      <c r="AC357" s="1063"/>
      <c r="AD357" s="1063"/>
      <c r="AE357" s="1063"/>
      <c r="AF357" s="1063"/>
      <c r="AG357" s="1063"/>
      <c r="AH357" s="1063"/>
      <c r="AI357" s="1063"/>
      <c r="AJ357" s="1063"/>
      <c r="AK357" s="1063"/>
      <c r="AL357" s="1063"/>
      <c r="AM357" s="1063"/>
      <c r="AN357" s="1063"/>
      <c r="AO357" s="1063"/>
      <c r="AP357" s="1063"/>
      <c r="AQ357" s="1063"/>
      <c r="AR357" s="1063"/>
      <c r="AS357" s="1063"/>
      <c r="AT357" s="1063"/>
      <c r="AU357" s="1063"/>
      <c r="AV357" s="1063"/>
      <c r="AW357" s="1063"/>
      <c r="AX357" s="1063"/>
      <c r="AY357" s="1063"/>
      <c r="AZ357" s="1063"/>
      <c r="BA357" s="1063"/>
      <c r="BB357" s="1063"/>
      <c r="BC357" s="1063"/>
      <c r="BD357" s="1063"/>
      <c r="BE357" s="1063"/>
      <c r="BF357" s="1063"/>
      <c r="BG357" s="1063"/>
      <c r="BH357" s="1063"/>
      <c r="BI357" s="1063"/>
      <c r="BJ357" s="1063"/>
      <c r="BK357" s="1063"/>
      <c r="BL357" s="1063"/>
      <c r="BM357" s="1063"/>
      <c r="BN357" s="1063"/>
      <c r="BO357" s="1063"/>
      <c r="BP357" s="1063"/>
      <c r="BQ357" s="1063"/>
      <c r="BR357" s="1063"/>
      <c r="BS357" s="1063"/>
    </row>
    <row r="358" spans="1:71" ht="12.75">
      <c r="A358" s="1063"/>
      <c r="B358" s="1070"/>
      <c r="C358" s="1070"/>
      <c r="D358" s="1063"/>
      <c r="E358" s="1063"/>
      <c r="F358" s="1063"/>
      <c r="G358" s="1063"/>
      <c r="H358" s="1063"/>
      <c r="I358" s="1063"/>
      <c r="J358" s="1063"/>
      <c r="K358" s="1063"/>
      <c r="L358" s="1063"/>
      <c r="M358" s="1063"/>
      <c r="N358" s="1063"/>
      <c r="O358" s="1063"/>
      <c r="P358" s="1063"/>
      <c r="Q358" s="1063"/>
      <c r="R358" s="1063"/>
      <c r="S358" s="1063"/>
      <c r="T358" s="1063"/>
      <c r="U358" s="1063"/>
      <c r="V358" s="1063"/>
      <c r="W358" s="1063"/>
      <c r="X358" s="1063"/>
      <c r="Y358" s="1063"/>
      <c r="Z358" s="1063"/>
      <c r="AA358" s="1063"/>
      <c r="AB358" s="1063"/>
      <c r="AC358" s="1063"/>
      <c r="AD358" s="1063"/>
      <c r="AE358" s="1063"/>
      <c r="AF358" s="1063"/>
      <c r="AG358" s="1063"/>
      <c r="AH358" s="1063"/>
      <c r="AI358" s="1063"/>
      <c r="AJ358" s="1063"/>
      <c r="AK358" s="1063"/>
      <c r="AL358" s="1063"/>
      <c r="AM358" s="1063"/>
      <c r="AN358" s="1063"/>
      <c r="AO358" s="1063"/>
      <c r="AP358" s="1063"/>
      <c r="AQ358" s="1063"/>
      <c r="AR358" s="1063"/>
      <c r="AS358" s="1063"/>
      <c r="AT358" s="1063"/>
      <c r="AU358" s="1063"/>
      <c r="AV358" s="1063"/>
      <c r="AW358" s="1063"/>
      <c r="AX358" s="1063"/>
      <c r="AY358" s="1063"/>
      <c r="AZ358" s="1063"/>
      <c r="BA358" s="1063"/>
      <c r="BB358" s="1063"/>
      <c r="BC358" s="1063"/>
      <c r="BD358" s="1063"/>
      <c r="BE358" s="1063"/>
      <c r="BF358" s="1063"/>
      <c r="BG358" s="1063"/>
      <c r="BH358" s="1063"/>
      <c r="BI358" s="1063"/>
      <c r="BJ358" s="1063"/>
      <c r="BK358" s="1063"/>
      <c r="BL358" s="1063"/>
      <c r="BM358" s="1063"/>
      <c r="BN358" s="1063"/>
      <c r="BO358" s="1063"/>
      <c r="BP358" s="1063"/>
      <c r="BQ358" s="1063"/>
      <c r="BR358" s="1063"/>
      <c r="BS358" s="1063"/>
    </row>
    <row r="359" spans="1:71" ht="12.75">
      <c r="A359" s="1063"/>
      <c r="B359" s="1070"/>
      <c r="C359" s="1070"/>
      <c r="D359" s="1063"/>
      <c r="E359" s="1063"/>
      <c r="F359" s="1063"/>
      <c r="G359" s="1063"/>
      <c r="H359" s="1063"/>
      <c r="I359" s="1063"/>
      <c r="J359" s="1063"/>
      <c r="K359" s="1063"/>
      <c r="L359" s="1063"/>
      <c r="M359" s="1063"/>
      <c r="N359" s="1063"/>
      <c r="O359" s="1063"/>
      <c r="P359" s="1063"/>
      <c r="Q359" s="1063"/>
      <c r="R359" s="1063"/>
      <c r="S359" s="1063"/>
      <c r="T359" s="1063"/>
      <c r="U359" s="1063"/>
      <c r="V359" s="1063"/>
      <c r="W359" s="1063"/>
      <c r="X359" s="1063"/>
      <c r="Y359" s="1063"/>
      <c r="Z359" s="1063"/>
      <c r="AA359" s="1063"/>
      <c r="AB359" s="1063"/>
      <c r="AC359" s="1063"/>
      <c r="AD359" s="1063"/>
      <c r="AE359" s="1063"/>
      <c r="AF359" s="1063"/>
      <c r="AG359" s="1063"/>
      <c r="AH359" s="1063"/>
      <c r="AI359" s="1063"/>
      <c r="AJ359" s="1063"/>
      <c r="AK359" s="1063"/>
      <c r="AL359" s="1063"/>
      <c r="AM359" s="1063"/>
      <c r="AN359" s="1063"/>
      <c r="AO359" s="1063"/>
      <c r="AP359" s="1063"/>
      <c r="AQ359" s="1063"/>
      <c r="AR359" s="1063"/>
      <c r="AS359" s="1063"/>
      <c r="AT359" s="1063"/>
      <c r="AU359" s="1063"/>
      <c r="AV359" s="1063"/>
      <c r="AW359" s="1063"/>
      <c r="AX359" s="1063"/>
      <c r="AY359" s="1063"/>
      <c r="AZ359" s="1063"/>
      <c r="BA359" s="1063"/>
      <c r="BB359" s="1063"/>
      <c r="BC359" s="1063"/>
      <c r="BD359" s="1063"/>
      <c r="BE359" s="1063"/>
      <c r="BF359" s="1063"/>
      <c r="BG359" s="1063"/>
      <c r="BH359" s="1063"/>
      <c r="BI359" s="1063"/>
      <c r="BJ359" s="1063"/>
      <c r="BK359" s="1063"/>
      <c r="BL359" s="1063"/>
      <c r="BM359" s="1063"/>
      <c r="BN359" s="1063"/>
      <c r="BO359" s="1063"/>
      <c r="BP359" s="1063"/>
      <c r="BQ359" s="1063"/>
      <c r="BR359" s="1063"/>
      <c r="BS359" s="1063"/>
    </row>
    <row r="360" spans="1:71" ht="12.75">
      <c r="A360" s="1063"/>
      <c r="B360" s="1070"/>
      <c r="C360" s="1070"/>
      <c r="D360" s="1063"/>
      <c r="E360" s="1063"/>
      <c r="F360" s="1063"/>
      <c r="G360" s="1063"/>
      <c r="H360" s="1063"/>
      <c r="I360" s="1063"/>
      <c r="J360" s="1063"/>
      <c r="K360" s="1063"/>
      <c r="L360" s="1063"/>
      <c r="M360" s="1063"/>
      <c r="N360" s="1063"/>
      <c r="O360" s="1063"/>
      <c r="P360" s="1063"/>
      <c r="Q360" s="1063"/>
      <c r="R360" s="1063"/>
      <c r="S360" s="1063"/>
      <c r="T360" s="1063"/>
      <c r="U360" s="1063"/>
      <c r="V360" s="1063"/>
      <c r="W360" s="1063"/>
      <c r="X360" s="1063"/>
      <c r="Y360" s="1063"/>
      <c r="Z360" s="1063"/>
      <c r="AA360" s="1063"/>
      <c r="AB360" s="1063"/>
      <c r="AC360" s="1063"/>
      <c r="AD360" s="1063"/>
      <c r="AE360" s="1063"/>
      <c r="AF360" s="1063"/>
      <c r="AG360" s="1063"/>
      <c r="AH360" s="1063"/>
      <c r="AI360" s="1063"/>
      <c r="AJ360" s="1063"/>
      <c r="AK360" s="1063"/>
      <c r="AL360" s="1063"/>
      <c r="AM360" s="1063"/>
      <c r="AN360" s="1063"/>
      <c r="AO360" s="1063"/>
      <c r="AP360" s="1063"/>
      <c r="AQ360" s="1063"/>
      <c r="AR360" s="1063"/>
      <c r="AS360" s="1063"/>
      <c r="AT360" s="1063"/>
      <c r="AU360" s="1063"/>
      <c r="AV360" s="1063"/>
      <c r="AW360" s="1063"/>
      <c r="AX360" s="1063"/>
      <c r="AY360" s="1063"/>
      <c r="AZ360" s="1063"/>
      <c r="BA360" s="1063"/>
      <c r="BB360" s="1063"/>
      <c r="BC360" s="1063"/>
      <c r="BD360" s="1063"/>
      <c r="BE360" s="1063"/>
      <c r="BF360" s="1063"/>
      <c r="BG360" s="1063"/>
      <c r="BH360" s="1063"/>
      <c r="BI360" s="1063"/>
      <c r="BJ360" s="1063"/>
      <c r="BK360" s="1063"/>
      <c r="BL360" s="1063"/>
      <c r="BM360" s="1063"/>
      <c r="BN360" s="1063"/>
      <c r="BO360" s="1063"/>
      <c r="BP360" s="1063"/>
      <c r="BQ360" s="1063"/>
      <c r="BR360" s="1063"/>
      <c r="BS360" s="1063"/>
    </row>
    <row r="361" spans="1:71" ht="12.75">
      <c r="A361" s="1063"/>
      <c r="B361" s="1070"/>
      <c r="C361" s="1070"/>
      <c r="D361" s="1063"/>
      <c r="E361" s="1063"/>
      <c r="F361" s="1063"/>
      <c r="G361" s="1063"/>
      <c r="H361" s="1063"/>
      <c r="I361" s="1063"/>
      <c r="J361" s="1063"/>
      <c r="K361" s="1063"/>
      <c r="L361" s="1063"/>
      <c r="M361" s="1063"/>
      <c r="N361" s="1063"/>
      <c r="O361" s="1063"/>
      <c r="P361" s="1063"/>
      <c r="Q361" s="1063"/>
      <c r="R361" s="1063"/>
      <c r="S361" s="1063"/>
      <c r="T361" s="1063"/>
      <c r="U361" s="1063"/>
      <c r="V361" s="1063"/>
      <c r="W361" s="1063"/>
      <c r="X361" s="1063"/>
      <c r="Y361" s="1063"/>
      <c r="Z361" s="1063"/>
      <c r="AA361" s="1063"/>
      <c r="AB361" s="1063"/>
      <c r="AC361" s="1063"/>
      <c r="AD361" s="1063"/>
      <c r="AE361" s="1063"/>
      <c r="AF361" s="1063"/>
      <c r="AG361" s="1063"/>
      <c r="AH361" s="1063"/>
      <c r="AI361" s="1063"/>
      <c r="AJ361" s="1063"/>
      <c r="AK361" s="1063"/>
      <c r="AL361" s="1063"/>
      <c r="AM361" s="1063"/>
      <c r="AN361" s="1063"/>
      <c r="AO361" s="1063"/>
      <c r="AP361" s="1063"/>
      <c r="AQ361" s="1063"/>
      <c r="AR361" s="1063"/>
      <c r="AS361" s="1063"/>
      <c r="AT361" s="1063"/>
      <c r="AU361" s="1063"/>
      <c r="AV361" s="1063"/>
      <c r="AW361" s="1063"/>
      <c r="AX361" s="1063"/>
      <c r="AY361" s="1063"/>
      <c r="AZ361" s="1063"/>
      <c r="BA361" s="1063"/>
      <c r="BB361" s="1063"/>
      <c r="BC361" s="1063"/>
      <c r="BD361" s="1063"/>
      <c r="BE361" s="1063"/>
      <c r="BF361" s="1063"/>
      <c r="BG361" s="1063"/>
      <c r="BH361" s="1063"/>
      <c r="BI361" s="1063"/>
      <c r="BJ361" s="1063"/>
      <c r="BK361" s="1063"/>
      <c r="BL361" s="1063"/>
      <c r="BM361" s="1063"/>
      <c r="BN361" s="1063"/>
      <c r="BO361" s="1063"/>
      <c r="BP361" s="1063"/>
      <c r="BQ361" s="1063"/>
      <c r="BR361" s="1063"/>
      <c r="BS361" s="1063"/>
    </row>
    <row r="362" spans="1:71" ht="12.75">
      <c r="A362" s="1063"/>
      <c r="B362" s="1070"/>
      <c r="C362" s="1070"/>
      <c r="D362" s="1063"/>
      <c r="E362" s="1063"/>
      <c r="F362" s="1063"/>
      <c r="G362" s="1063"/>
      <c r="H362" s="1063"/>
      <c r="I362" s="1063"/>
      <c r="J362" s="1063"/>
      <c r="K362" s="1063"/>
      <c r="L362" s="1063"/>
      <c r="M362" s="1063"/>
      <c r="N362" s="1063"/>
      <c r="O362" s="1063"/>
      <c r="P362" s="1063"/>
      <c r="Q362" s="1063"/>
      <c r="R362" s="1063"/>
      <c r="S362" s="1063"/>
      <c r="T362" s="1063"/>
      <c r="U362" s="1063"/>
      <c r="V362" s="1063"/>
      <c r="W362" s="1063"/>
      <c r="X362" s="1063"/>
      <c r="Y362" s="1063"/>
      <c r="Z362" s="1063"/>
      <c r="AA362" s="1063"/>
      <c r="AB362" s="1063"/>
      <c r="AC362" s="1063"/>
      <c r="AD362" s="1063"/>
      <c r="AE362" s="1063"/>
      <c r="AF362" s="1063"/>
      <c r="AG362" s="1063"/>
      <c r="AH362" s="1063"/>
      <c r="AI362" s="1063"/>
      <c r="AJ362" s="1063"/>
      <c r="AK362" s="1063"/>
      <c r="AL362" s="1063"/>
      <c r="AM362" s="1063"/>
      <c r="AN362" s="1063"/>
      <c r="AO362" s="1063"/>
      <c r="AP362" s="1063"/>
      <c r="AQ362" s="1063"/>
      <c r="AR362" s="1063"/>
      <c r="AS362" s="1063"/>
      <c r="AT362" s="1063"/>
      <c r="AU362" s="1063"/>
      <c r="AV362" s="1063"/>
      <c r="AW362" s="1063"/>
      <c r="AX362" s="1063"/>
      <c r="AY362" s="1063"/>
      <c r="AZ362" s="1063"/>
      <c r="BA362" s="1063"/>
      <c r="BB362" s="1063"/>
      <c r="BC362" s="1063"/>
      <c r="BD362" s="1063"/>
      <c r="BE362" s="1063"/>
      <c r="BF362" s="1063"/>
      <c r="BG362" s="1063"/>
      <c r="BH362" s="1063"/>
      <c r="BI362" s="1063"/>
      <c r="BJ362" s="1063"/>
      <c r="BK362" s="1063"/>
      <c r="BL362" s="1063"/>
      <c r="BM362" s="1063"/>
      <c r="BN362" s="1063"/>
      <c r="BO362" s="1063"/>
      <c r="BP362" s="1063"/>
      <c r="BQ362" s="1063"/>
      <c r="BR362" s="1063"/>
      <c r="BS362" s="1063"/>
    </row>
    <row r="363" spans="1:71" ht="12.75">
      <c r="A363" s="1063"/>
      <c r="B363" s="1070"/>
      <c r="C363" s="1070"/>
      <c r="D363" s="1063"/>
      <c r="E363" s="1063"/>
      <c r="F363" s="1063"/>
      <c r="G363" s="1063"/>
      <c r="H363" s="1063"/>
      <c r="I363" s="1063"/>
      <c r="J363" s="1063"/>
      <c r="K363" s="1063"/>
      <c r="L363" s="1063"/>
      <c r="M363" s="1063"/>
      <c r="N363" s="1063"/>
      <c r="O363" s="1063"/>
      <c r="P363" s="1063"/>
      <c r="Q363" s="1063"/>
      <c r="R363" s="1063"/>
      <c r="S363" s="1063"/>
      <c r="T363" s="1063"/>
      <c r="U363" s="1063"/>
      <c r="V363" s="1063"/>
      <c r="W363" s="1063"/>
      <c r="X363" s="1063"/>
      <c r="Y363" s="1063"/>
      <c r="Z363" s="1063"/>
      <c r="AA363" s="1063"/>
      <c r="AB363" s="1063"/>
      <c r="AC363" s="1063"/>
      <c r="AD363" s="1063"/>
      <c r="AE363" s="1063"/>
      <c r="AF363" s="1063"/>
      <c r="AG363" s="1063"/>
      <c r="AH363" s="1063"/>
      <c r="AI363" s="1063"/>
      <c r="AJ363" s="1063"/>
      <c r="AK363" s="1063"/>
      <c r="AL363" s="1063"/>
      <c r="AM363" s="1063"/>
      <c r="AN363" s="1063"/>
      <c r="AO363" s="1063"/>
      <c r="AP363" s="1063"/>
      <c r="AQ363" s="1063"/>
      <c r="AR363" s="1063"/>
      <c r="AS363" s="1063"/>
      <c r="AT363" s="1063"/>
      <c r="AU363" s="1063"/>
      <c r="AV363" s="1063"/>
      <c r="AW363" s="1063"/>
      <c r="AX363" s="1063"/>
      <c r="AY363" s="1063"/>
      <c r="AZ363" s="1063"/>
      <c r="BA363" s="1063"/>
      <c r="BB363" s="1063"/>
      <c r="BC363" s="1063"/>
      <c r="BD363" s="1063"/>
      <c r="BE363" s="1063"/>
      <c r="BF363" s="1063"/>
      <c r="BG363" s="1063"/>
      <c r="BH363" s="1063"/>
      <c r="BI363" s="1063"/>
      <c r="BJ363" s="1063"/>
      <c r="BK363" s="1063"/>
      <c r="BL363" s="1063"/>
      <c r="BM363" s="1063"/>
      <c r="BN363" s="1063"/>
      <c r="BO363" s="1063"/>
      <c r="BP363" s="1063"/>
      <c r="BQ363" s="1063"/>
      <c r="BR363" s="1063"/>
      <c r="BS363" s="1063"/>
    </row>
    <row r="364" spans="1:71" ht="12.75">
      <c r="A364" s="1063"/>
      <c r="B364" s="1070"/>
      <c r="C364" s="1070"/>
      <c r="D364" s="1063"/>
      <c r="E364" s="1063"/>
      <c r="F364" s="1063"/>
      <c r="G364" s="1063"/>
      <c r="H364" s="1063"/>
      <c r="I364" s="1063"/>
      <c r="J364" s="1063"/>
      <c r="K364" s="1063"/>
      <c r="L364" s="1063"/>
      <c r="M364" s="1063"/>
      <c r="N364" s="1063"/>
      <c r="O364" s="1063"/>
      <c r="P364" s="1063"/>
      <c r="Q364" s="1063"/>
      <c r="R364" s="1063"/>
      <c r="S364" s="1063"/>
      <c r="T364" s="1063"/>
      <c r="U364" s="1063"/>
      <c r="V364" s="1063"/>
      <c r="W364" s="1063"/>
      <c r="X364" s="1063"/>
      <c r="Y364" s="1063"/>
      <c r="Z364" s="1063"/>
      <c r="AA364" s="1063"/>
      <c r="AB364" s="1063"/>
      <c r="AC364" s="1063"/>
      <c r="AD364" s="1063"/>
      <c r="AE364" s="1063"/>
      <c r="AF364" s="1063"/>
      <c r="AG364" s="1063"/>
      <c r="AH364" s="1063"/>
      <c r="AI364" s="1063"/>
      <c r="AJ364" s="1063"/>
      <c r="AK364" s="1063"/>
      <c r="AL364" s="1063"/>
      <c r="AM364" s="1063"/>
      <c r="AN364" s="1063"/>
      <c r="AO364" s="1063"/>
      <c r="AP364" s="1063"/>
      <c r="AQ364" s="1063"/>
      <c r="AR364" s="1063"/>
      <c r="AS364" s="1063"/>
      <c r="AT364" s="1063"/>
      <c r="AU364" s="1063"/>
      <c r="AV364" s="1063"/>
      <c r="AW364" s="1063"/>
      <c r="AX364" s="1063"/>
      <c r="AY364" s="1063"/>
      <c r="AZ364" s="1063"/>
      <c r="BA364" s="1063"/>
      <c r="BB364" s="1063"/>
      <c r="BC364" s="1063"/>
      <c r="BD364" s="1063"/>
      <c r="BE364" s="1063"/>
      <c r="BF364" s="1063"/>
      <c r="BG364" s="1063"/>
      <c r="BH364" s="1063"/>
      <c r="BI364" s="1063"/>
      <c r="BJ364" s="1063"/>
      <c r="BK364" s="1063"/>
      <c r="BL364" s="1063"/>
      <c r="BM364" s="1063"/>
      <c r="BN364" s="1063"/>
      <c r="BO364" s="1063"/>
      <c r="BP364" s="1063"/>
      <c r="BQ364" s="1063"/>
      <c r="BR364" s="1063"/>
      <c r="BS364" s="1063"/>
    </row>
    <row r="365" spans="1:71" ht="12.75">
      <c r="A365" s="1063"/>
      <c r="B365" s="1070"/>
      <c r="C365" s="1070"/>
      <c r="D365" s="1063"/>
      <c r="E365" s="1063"/>
      <c r="F365" s="1063"/>
      <c r="G365" s="1063"/>
      <c r="H365" s="1063"/>
      <c r="I365" s="1063"/>
      <c r="J365" s="1063"/>
      <c r="K365" s="1063"/>
      <c r="L365" s="1063"/>
      <c r="M365" s="1063"/>
      <c r="N365" s="1063"/>
      <c r="O365" s="1063"/>
      <c r="P365" s="1063"/>
      <c r="Q365" s="1063"/>
      <c r="R365" s="1063"/>
      <c r="S365" s="1063"/>
      <c r="T365" s="1063"/>
      <c r="U365" s="1063"/>
      <c r="V365" s="1063"/>
      <c r="W365" s="1063"/>
      <c r="X365" s="1063"/>
      <c r="Y365" s="1063"/>
      <c r="Z365" s="1063"/>
      <c r="AA365" s="1063"/>
      <c r="AB365" s="1063"/>
      <c r="AC365" s="1063"/>
      <c r="AD365" s="1063"/>
      <c r="AE365" s="1063"/>
      <c r="AF365" s="1063"/>
      <c r="AG365" s="1063"/>
      <c r="AH365" s="1063"/>
      <c r="AI365" s="1063"/>
      <c r="AJ365" s="1063"/>
      <c r="AK365" s="1063"/>
      <c r="AL365" s="1063"/>
      <c r="AM365" s="1063"/>
      <c r="AN365" s="1063"/>
      <c r="AO365" s="1063"/>
      <c r="AP365" s="1063"/>
      <c r="AQ365" s="1063"/>
      <c r="AR365" s="1063"/>
      <c r="AS365" s="1063"/>
      <c r="AT365" s="1063"/>
      <c r="AU365" s="1063"/>
      <c r="AV365" s="1063"/>
      <c r="AW365" s="1063"/>
      <c r="AX365" s="1063"/>
      <c r="AY365" s="1063"/>
      <c r="AZ365" s="1063"/>
      <c r="BA365" s="1063"/>
      <c r="BB365" s="1063"/>
      <c r="BC365" s="1063"/>
      <c r="BD365" s="1063"/>
      <c r="BE365" s="1063"/>
      <c r="BF365" s="1063"/>
      <c r="BG365" s="1063"/>
      <c r="BH365" s="1063"/>
      <c r="BI365" s="1063"/>
      <c r="BJ365" s="1063"/>
      <c r="BK365" s="1063"/>
      <c r="BL365" s="1063"/>
      <c r="BM365" s="1063"/>
      <c r="BN365" s="1063"/>
      <c r="BO365" s="1063"/>
      <c r="BP365" s="1063"/>
      <c r="BQ365" s="1063"/>
      <c r="BR365" s="1063"/>
      <c r="BS365" s="1063"/>
    </row>
    <row r="366" spans="1:71" ht="12.75">
      <c r="A366" s="1063"/>
      <c r="B366" s="1070"/>
      <c r="C366" s="1070"/>
      <c r="D366" s="1063"/>
      <c r="E366" s="1063"/>
      <c r="F366" s="1063"/>
      <c r="G366" s="1063"/>
      <c r="H366" s="1063"/>
      <c r="I366" s="1063"/>
      <c r="J366" s="1063"/>
      <c r="K366" s="1063"/>
      <c r="L366" s="1063"/>
      <c r="M366" s="1063"/>
      <c r="N366" s="1063"/>
      <c r="O366" s="1063"/>
      <c r="P366" s="1063"/>
      <c r="Q366" s="1063"/>
      <c r="R366" s="1063"/>
      <c r="S366" s="1063"/>
      <c r="T366" s="1063"/>
      <c r="U366" s="1063"/>
      <c r="V366" s="1063"/>
      <c r="W366" s="1063"/>
      <c r="X366" s="1063"/>
      <c r="Y366" s="1063"/>
      <c r="Z366" s="1063"/>
      <c r="AA366" s="1063"/>
      <c r="AB366" s="1063"/>
      <c r="AC366" s="1063"/>
      <c r="AD366" s="1063"/>
      <c r="AE366" s="1063"/>
      <c r="AF366" s="1063"/>
      <c r="AG366" s="1063"/>
      <c r="AH366" s="1063"/>
      <c r="AI366" s="1063"/>
      <c r="AJ366" s="1063"/>
      <c r="AK366" s="1063"/>
      <c r="AL366" s="1063"/>
      <c r="AM366" s="1063"/>
      <c r="AN366" s="1063"/>
      <c r="AO366" s="1063"/>
      <c r="AP366" s="1063"/>
      <c r="AQ366" s="1063"/>
      <c r="AR366" s="1063"/>
      <c r="AS366" s="1063"/>
      <c r="AT366" s="1063"/>
      <c r="AU366" s="1063"/>
      <c r="AV366" s="1063"/>
      <c r="AW366" s="1063"/>
      <c r="AX366" s="1063"/>
      <c r="AY366" s="1063"/>
      <c r="AZ366" s="1063"/>
      <c r="BA366" s="1063"/>
      <c r="BB366" s="1063"/>
      <c r="BC366" s="1063"/>
      <c r="BD366" s="1063"/>
      <c r="BE366" s="1063"/>
      <c r="BF366" s="1063"/>
      <c r="BG366" s="1063"/>
      <c r="BH366" s="1063"/>
      <c r="BI366" s="1063"/>
      <c r="BJ366" s="1063"/>
      <c r="BK366" s="1063"/>
      <c r="BL366" s="1063"/>
      <c r="BM366" s="1063"/>
      <c r="BN366" s="1063"/>
      <c r="BO366" s="1063"/>
      <c r="BP366" s="1063"/>
      <c r="BQ366" s="1063"/>
      <c r="BR366" s="1063"/>
      <c r="BS366" s="1063"/>
    </row>
    <row r="367" spans="1:71" ht="12.75">
      <c r="A367" s="1063"/>
      <c r="B367" s="1070"/>
      <c r="C367" s="1070"/>
      <c r="D367" s="1063"/>
      <c r="E367" s="1063"/>
      <c r="F367" s="1063"/>
      <c r="G367" s="1063"/>
      <c r="H367" s="1063"/>
      <c r="I367" s="1063"/>
      <c r="J367" s="1063"/>
      <c r="K367" s="1063"/>
      <c r="L367" s="1063"/>
      <c r="M367" s="1063"/>
      <c r="N367" s="1063"/>
      <c r="O367" s="1063"/>
      <c r="P367" s="1063"/>
      <c r="Q367" s="1063"/>
      <c r="R367" s="1063"/>
      <c r="S367" s="1063"/>
      <c r="T367" s="1063"/>
      <c r="U367" s="1063"/>
      <c r="V367" s="1063"/>
      <c r="W367" s="1063"/>
      <c r="X367" s="1063"/>
      <c r="Y367" s="1063"/>
      <c r="Z367" s="1063"/>
      <c r="AA367" s="1063"/>
      <c r="AB367" s="1063"/>
      <c r="AC367" s="1063"/>
      <c r="AD367" s="1063"/>
      <c r="AE367" s="1063"/>
      <c r="AF367" s="1063"/>
      <c r="AG367" s="1063"/>
      <c r="AH367" s="1063"/>
      <c r="AI367" s="1063"/>
      <c r="AJ367" s="1063"/>
      <c r="AK367" s="1063"/>
      <c r="AL367" s="1063"/>
      <c r="AM367" s="1063"/>
      <c r="AN367" s="1063"/>
      <c r="AO367" s="1063"/>
      <c r="AP367" s="1063"/>
      <c r="AQ367" s="1063"/>
      <c r="AR367" s="1063"/>
      <c r="AS367" s="1063"/>
      <c r="AT367" s="1063"/>
      <c r="AU367" s="1063"/>
      <c r="AV367" s="1063"/>
      <c r="AW367" s="1063"/>
      <c r="AX367" s="1063"/>
      <c r="AY367" s="1063"/>
      <c r="AZ367" s="1063"/>
      <c r="BA367" s="1063"/>
      <c r="BB367" s="1063"/>
      <c r="BC367" s="1063"/>
      <c r="BD367" s="1063"/>
      <c r="BE367" s="1063"/>
      <c r="BF367" s="1063"/>
      <c r="BG367" s="1063"/>
      <c r="BH367" s="1063"/>
      <c r="BI367" s="1063"/>
      <c r="BJ367" s="1063"/>
      <c r="BK367" s="1063"/>
      <c r="BL367" s="1063"/>
      <c r="BM367" s="1063"/>
      <c r="BN367" s="1063"/>
      <c r="BO367" s="1063"/>
      <c r="BP367" s="1063"/>
      <c r="BQ367" s="1063"/>
      <c r="BR367" s="1063"/>
      <c r="BS367" s="1063"/>
    </row>
    <row r="368" spans="1:71" ht="12.75">
      <c r="A368" s="1063"/>
      <c r="B368" s="1070"/>
      <c r="C368" s="1070"/>
      <c r="D368" s="1063"/>
      <c r="E368" s="1063"/>
      <c r="F368" s="1063"/>
      <c r="G368" s="1063"/>
      <c r="H368" s="1063"/>
      <c r="I368" s="1063"/>
      <c r="J368" s="1063"/>
      <c r="K368" s="1063"/>
      <c r="L368" s="1063"/>
      <c r="M368" s="1063"/>
      <c r="N368" s="1063"/>
      <c r="O368" s="1063"/>
      <c r="P368" s="1063"/>
      <c r="Q368" s="1063"/>
      <c r="R368" s="1063"/>
      <c r="S368" s="1063"/>
      <c r="T368" s="1063"/>
      <c r="U368" s="1063"/>
      <c r="V368" s="1063"/>
      <c r="W368" s="1063"/>
      <c r="X368" s="1063"/>
      <c r="Y368" s="1063"/>
      <c r="Z368" s="1063"/>
      <c r="AA368" s="1063"/>
      <c r="AB368" s="1063"/>
      <c r="AC368" s="1063"/>
      <c r="AD368" s="1063"/>
      <c r="AE368" s="1063"/>
      <c r="AF368" s="1063"/>
      <c r="AG368" s="1063"/>
      <c r="AH368" s="1063"/>
      <c r="AI368" s="1063"/>
      <c r="AJ368" s="1063"/>
      <c r="AK368" s="1063"/>
      <c r="AL368" s="1063"/>
      <c r="AM368" s="1063"/>
      <c r="AN368" s="1063"/>
      <c r="AO368" s="1063"/>
      <c r="AP368" s="1063"/>
      <c r="AQ368" s="1063"/>
      <c r="AR368" s="1063"/>
      <c r="AS368" s="1063"/>
      <c r="AT368" s="1063"/>
      <c r="AU368" s="1063"/>
      <c r="AV368" s="1063"/>
      <c r="AW368" s="1063"/>
      <c r="AX368" s="1063"/>
      <c r="AY368" s="1063"/>
      <c r="AZ368" s="1063"/>
      <c r="BA368" s="1063"/>
      <c r="BB368" s="1063"/>
      <c r="BC368" s="1063"/>
      <c r="BD368" s="1063"/>
      <c r="BE368" s="1063"/>
      <c r="BF368" s="1063"/>
      <c r="BG368" s="1063"/>
      <c r="BH368" s="1063"/>
      <c r="BI368" s="1063"/>
      <c r="BJ368" s="1063"/>
      <c r="BK368" s="1063"/>
      <c r="BL368" s="1063"/>
      <c r="BM368" s="1063"/>
      <c r="BN368" s="1063"/>
      <c r="BO368" s="1063"/>
      <c r="BP368" s="1063"/>
      <c r="BQ368" s="1063"/>
      <c r="BR368" s="1063"/>
      <c r="BS368" s="1063"/>
    </row>
    <row r="369" spans="1:71" ht="12.75">
      <c r="A369" s="1063"/>
      <c r="B369" s="1070"/>
      <c r="C369" s="1070"/>
      <c r="D369" s="1063"/>
      <c r="E369" s="1063"/>
      <c r="F369" s="1063"/>
      <c r="G369" s="1063"/>
      <c r="H369" s="1063"/>
      <c r="I369" s="1063"/>
      <c r="J369" s="1063"/>
      <c r="K369" s="1063"/>
      <c r="L369" s="1063"/>
      <c r="M369" s="1063"/>
      <c r="N369" s="1063"/>
      <c r="O369" s="1063"/>
      <c r="P369" s="1063"/>
      <c r="Q369" s="1063"/>
      <c r="R369" s="1063"/>
      <c r="S369" s="1063"/>
      <c r="T369" s="1063"/>
      <c r="U369" s="1063"/>
      <c r="V369" s="1063"/>
      <c r="W369" s="1063"/>
      <c r="X369" s="1063"/>
      <c r="Y369" s="1063"/>
      <c r="Z369" s="1063"/>
      <c r="AA369" s="1063"/>
      <c r="AB369" s="1063"/>
      <c r="AC369" s="1063"/>
      <c r="AD369" s="1063"/>
      <c r="AE369" s="1063"/>
      <c r="AF369" s="1063"/>
      <c r="AG369" s="1063"/>
      <c r="AH369" s="1063"/>
      <c r="AI369" s="1063"/>
      <c r="AJ369" s="1063"/>
      <c r="AK369" s="1063"/>
      <c r="AL369" s="1063"/>
      <c r="AM369" s="1063"/>
      <c r="AN369" s="1063"/>
      <c r="AO369" s="1063"/>
      <c r="AP369" s="1063"/>
      <c r="AQ369" s="1063"/>
      <c r="AR369" s="1063"/>
      <c r="AS369" s="1063"/>
      <c r="AT369" s="1063"/>
      <c r="AU369" s="1063"/>
      <c r="AV369" s="1063"/>
      <c r="AW369" s="1063"/>
      <c r="AX369" s="1063"/>
      <c r="AY369" s="1063"/>
      <c r="AZ369" s="1063"/>
      <c r="BA369" s="1063"/>
      <c r="BB369" s="1063"/>
      <c r="BC369" s="1063"/>
      <c r="BD369" s="1063"/>
      <c r="BE369" s="1063"/>
      <c r="BF369" s="1063"/>
      <c r="BG369" s="1063"/>
      <c r="BH369" s="1063"/>
      <c r="BI369" s="1063"/>
      <c r="BJ369" s="1063"/>
      <c r="BK369" s="1063"/>
      <c r="BL369" s="1063"/>
      <c r="BM369" s="1063"/>
      <c r="BN369" s="1063"/>
      <c r="BO369" s="1063"/>
      <c r="BP369" s="1063"/>
      <c r="BQ369" s="1063"/>
      <c r="BR369" s="1063"/>
      <c r="BS369" s="1063"/>
    </row>
    <row r="370" spans="1:71" ht="12.75">
      <c r="A370" s="1063"/>
      <c r="B370" s="1070"/>
      <c r="C370" s="1070"/>
      <c r="D370" s="1063"/>
      <c r="E370" s="1063"/>
      <c r="F370" s="1063"/>
      <c r="G370" s="1063"/>
      <c r="H370" s="1063"/>
      <c r="I370" s="1063"/>
      <c r="J370" s="1063"/>
      <c r="K370" s="1063"/>
      <c r="L370" s="1063"/>
      <c r="M370" s="1063"/>
      <c r="N370" s="1063"/>
      <c r="O370" s="1063"/>
      <c r="P370" s="1063"/>
      <c r="Q370" s="1063"/>
      <c r="R370" s="1063"/>
      <c r="S370" s="1063"/>
      <c r="T370" s="1063"/>
      <c r="U370" s="1063"/>
      <c r="V370" s="1063"/>
      <c r="W370" s="1063"/>
      <c r="X370" s="1063"/>
      <c r="Y370" s="1063"/>
      <c r="Z370" s="1063"/>
      <c r="AA370" s="1063"/>
      <c r="AB370" s="1063"/>
      <c r="AC370" s="1063"/>
      <c r="AD370" s="1063"/>
      <c r="AE370" s="1063"/>
      <c r="AF370" s="1063"/>
      <c r="AG370" s="1063"/>
      <c r="AH370" s="1063"/>
      <c r="AI370" s="1063"/>
      <c r="AJ370" s="1063"/>
      <c r="AK370" s="1063"/>
      <c r="AL370" s="1063"/>
      <c r="AM370" s="1063"/>
      <c r="AN370" s="1063"/>
      <c r="AO370" s="1063"/>
      <c r="AP370" s="1063"/>
      <c r="AQ370" s="1063"/>
      <c r="AR370" s="1063"/>
      <c r="AS370" s="1063"/>
      <c r="AT370" s="1063"/>
      <c r="AU370" s="1063"/>
      <c r="AV370" s="1063"/>
      <c r="AW370" s="1063"/>
      <c r="AX370" s="1063"/>
      <c r="AY370" s="1063"/>
      <c r="AZ370" s="1063"/>
      <c r="BA370" s="1063"/>
      <c r="BB370" s="1063"/>
      <c r="BC370" s="1063"/>
      <c r="BD370" s="1063"/>
      <c r="BE370" s="1063"/>
      <c r="BF370" s="1063"/>
      <c r="BG370" s="1063"/>
      <c r="BH370" s="1063"/>
      <c r="BI370" s="1063"/>
      <c r="BJ370" s="1063"/>
      <c r="BK370" s="1063"/>
      <c r="BL370" s="1063"/>
      <c r="BM370" s="1063"/>
      <c r="BN370" s="1063"/>
      <c r="BO370" s="1063"/>
      <c r="BP370" s="1063"/>
      <c r="BQ370" s="1063"/>
      <c r="BR370" s="1063"/>
      <c r="BS370" s="1063"/>
    </row>
    <row r="371" spans="1:71" ht="12.75">
      <c r="A371" s="1063"/>
      <c r="B371" s="1070"/>
      <c r="C371" s="1070"/>
      <c r="D371" s="1063"/>
      <c r="E371" s="1063"/>
      <c r="F371" s="1063"/>
      <c r="G371" s="1063"/>
      <c r="H371" s="1063"/>
      <c r="I371" s="1063"/>
      <c r="J371" s="1063"/>
      <c r="K371" s="1063"/>
      <c r="L371" s="1063"/>
      <c r="M371" s="1063"/>
      <c r="N371" s="1063"/>
      <c r="O371" s="1063"/>
      <c r="P371" s="1063"/>
      <c r="Q371" s="1063"/>
      <c r="R371" s="1063"/>
      <c r="S371" s="1063"/>
      <c r="T371" s="1063"/>
      <c r="U371" s="1063"/>
      <c r="V371" s="1063"/>
      <c r="W371" s="1063"/>
      <c r="X371" s="1063"/>
      <c r="Y371" s="1063"/>
      <c r="Z371" s="1063"/>
      <c r="AA371" s="1063"/>
      <c r="AB371" s="1063"/>
      <c r="AC371" s="1063"/>
      <c r="AD371" s="1063"/>
      <c r="AE371" s="1063"/>
      <c r="AF371" s="1063"/>
      <c r="AG371" s="1063"/>
      <c r="AH371" s="1063"/>
      <c r="AI371" s="1063"/>
      <c r="AJ371" s="1063"/>
      <c r="AK371" s="1063"/>
      <c r="AL371" s="1063"/>
      <c r="AM371" s="1063"/>
      <c r="AN371" s="1063"/>
      <c r="AO371" s="1063"/>
      <c r="AP371" s="1063"/>
      <c r="AQ371" s="1063"/>
      <c r="AR371" s="1063"/>
      <c r="AS371" s="1063"/>
      <c r="AT371" s="1063"/>
      <c r="AU371" s="1063"/>
      <c r="AV371" s="1063"/>
      <c r="AW371" s="1063"/>
      <c r="AX371" s="1063"/>
      <c r="AY371" s="1063"/>
      <c r="AZ371" s="1063"/>
      <c r="BA371" s="1063"/>
      <c r="BB371" s="1063"/>
      <c r="BC371" s="1063"/>
      <c r="BD371" s="1063"/>
      <c r="BE371" s="1063"/>
      <c r="BF371" s="1063"/>
      <c r="BG371" s="1063"/>
      <c r="BH371" s="1063"/>
      <c r="BI371" s="1063"/>
      <c r="BJ371" s="1063"/>
      <c r="BK371" s="1063"/>
      <c r="BL371" s="1063"/>
      <c r="BM371" s="1063"/>
      <c r="BN371" s="1063"/>
      <c r="BO371" s="1063"/>
      <c r="BP371" s="1063"/>
      <c r="BQ371" s="1063"/>
      <c r="BR371" s="1063"/>
      <c r="BS371" s="1063"/>
    </row>
    <row r="372" spans="1:71" ht="12.75">
      <c r="A372" s="1063"/>
      <c r="B372" s="1070"/>
      <c r="C372" s="1070"/>
      <c r="D372" s="1063"/>
      <c r="E372" s="1063"/>
      <c r="F372" s="1063"/>
      <c r="G372" s="1063"/>
      <c r="H372" s="1063"/>
      <c r="I372" s="1063"/>
      <c r="J372" s="1063"/>
      <c r="K372" s="1063"/>
      <c r="L372" s="1063"/>
      <c r="M372" s="1063"/>
      <c r="N372" s="1063"/>
      <c r="O372" s="1063"/>
      <c r="P372" s="1063"/>
      <c r="Q372" s="1063"/>
      <c r="R372" s="1063"/>
      <c r="S372" s="1063"/>
      <c r="T372" s="1063"/>
      <c r="U372" s="1063"/>
      <c r="V372" s="1063"/>
      <c r="W372" s="1063"/>
      <c r="X372" s="1063"/>
      <c r="Y372" s="1063"/>
      <c r="Z372" s="1063"/>
      <c r="AA372" s="1063"/>
      <c r="AB372" s="1063"/>
      <c r="AC372" s="1063"/>
      <c r="AD372" s="1063"/>
      <c r="AE372" s="1063"/>
      <c r="AF372" s="1063"/>
      <c r="AG372" s="1063"/>
      <c r="AH372" s="1063"/>
      <c r="AI372" s="1063"/>
      <c r="AJ372" s="1063"/>
      <c r="AK372" s="1063"/>
      <c r="AL372" s="1063"/>
      <c r="AM372" s="1063"/>
      <c r="AN372" s="1063"/>
      <c r="AO372" s="1063"/>
      <c r="AP372" s="1063"/>
      <c r="AQ372" s="1063"/>
      <c r="AR372" s="1063"/>
      <c r="AS372" s="1063"/>
      <c r="AT372" s="1063"/>
      <c r="AU372" s="1063"/>
      <c r="AV372" s="1063"/>
      <c r="AW372" s="1063"/>
      <c r="AX372" s="1063"/>
      <c r="AY372" s="1063"/>
      <c r="AZ372" s="1063"/>
      <c r="BA372" s="1063"/>
      <c r="BB372" s="1063"/>
      <c r="BC372" s="1063"/>
      <c r="BD372" s="1063"/>
      <c r="BE372" s="1063"/>
      <c r="BF372" s="1063"/>
      <c r="BG372" s="1063"/>
      <c r="BH372" s="1063"/>
      <c r="BI372" s="1063"/>
      <c r="BJ372" s="1063"/>
      <c r="BK372" s="1063"/>
      <c r="BL372" s="1063"/>
      <c r="BM372" s="1063"/>
      <c r="BN372" s="1063"/>
      <c r="BO372" s="1063"/>
      <c r="BP372" s="1063"/>
      <c r="BQ372" s="1063"/>
      <c r="BR372" s="1063"/>
      <c r="BS372" s="1063"/>
    </row>
    <row r="373" spans="1:71" ht="12.75">
      <c r="A373" s="1063"/>
      <c r="B373" s="1070"/>
      <c r="C373" s="1070"/>
      <c r="D373" s="1063"/>
      <c r="E373" s="1063"/>
      <c r="F373" s="1063"/>
      <c r="G373" s="1063"/>
      <c r="H373" s="1063"/>
      <c r="I373" s="1063"/>
      <c r="J373" s="1063"/>
      <c r="K373" s="1063"/>
      <c r="L373" s="1063"/>
      <c r="M373" s="1063"/>
      <c r="N373" s="1063"/>
      <c r="O373" s="1063"/>
      <c r="P373" s="1063"/>
      <c r="Q373" s="1063"/>
      <c r="R373" s="1063"/>
      <c r="S373" s="1063"/>
      <c r="T373" s="1063"/>
      <c r="U373" s="1063"/>
      <c r="V373" s="1063"/>
      <c r="W373" s="1063"/>
      <c r="X373" s="1063"/>
      <c r="Y373" s="1063"/>
      <c r="Z373" s="1063"/>
      <c r="AA373" s="1063"/>
      <c r="AB373" s="1063"/>
      <c r="AC373" s="1063"/>
      <c r="AD373" s="1063"/>
      <c r="AE373" s="1063"/>
      <c r="AF373" s="1063"/>
      <c r="AG373" s="1063"/>
      <c r="AH373" s="1063"/>
      <c r="AI373" s="1063"/>
      <c r="AJ373" s="1063"/>
      <c r="AK373" s="1063"/>
      <c r="AL373" s="1063"/>
      <c r="AM373" s="1063"/>
      <c r="AN373" s="1063"/>
      <c r="AO373" s="1063"/>
      <c r="AP373" s="1063"/>
      <c r="AQ373" s="1063"/>
      <c r="AR373" s="1063"/>
      <c r="AS373" s="1063"/>
      <c r="AT373" s="1063"/>
      <c r="AU373" s="1063"/>
      <c r="AV373" s="1063"/>
      <c r="AW373" s="1063"/>
      <c r="AX373" s="1063"/>
      <c r="AY373" s="1063"/>
      <c r="AZ373" s="1063"/>
      <c r="BA373" s="1063"/>
      <c r="BB373" s="1063"/>
      <c r="BC373" s="1063"/>
      <c r="BD373" s="1063"/>
      <c r="BE373" s="1063"/>
      <c r="BF373" s="1063"/>
      <c r="BG373" s="1063"/>
      <c r="BH373" s="1063"/>
      <c r="BI373" s="1063"/>
      <c r="BJ373" s="1063"/>
      <c r="BK373" s="1063"/>
      <c r="BL373" s="1063"/>
      <c r="BM373" s="1063"/>
      <c r="BN373" s="1063"/>
      <c r="BO373" s="1063"/>
      <c r="BP373" s="1063"/>
      <c r="BQ373" s="1063"/>
      <c r="BR373" s="1063"/>
      <c r="BS373" s="1063"/>
    </row>
    <row r="374" spans="1:71" ht="12.75">
      <c r="A374" s="1063"/>
      <c r="B374" s="1070"/>
      <c r="C374" s="1070"/>
      <c r="D374" s="1063"/>
      <c r="E374" s="1063"/>
      <c r="F374" s="1063"/>
      <c r="G374" s="1063"/>
      <c r="H374" s="1063"/>
      <c r="I374" s="1063"/>
      <c r="J374" s="1063"/>
      <c r="K374" s="1063"/>
      <c r="L374" s="1063"/>
      <c r="M374" s="1063"/>
      <c r="N374" s="1063"/>
      <c r="O374" s="1063"/>
      <c r="P374" s="1063"/>
      <c r="Q374" s="1063"/>
      <c r="R374" s="1063"/>
      <c r="S374" s="1063"/>
      <c r="T374" s="1063"/>
      <c r="U374" s="1063"/>
      <c r="V374" s="1063"/>
      <c r="W374" s="1063"/>
      <c r="X374" s="1063"/>
      <c r="Y374" s="1063"/>
      <c r="Z374" s="1063"/>
      <c r="AA374" s="1063"/>
      <c r="AB374" s="1063"/>
      <c r="AC374" s="1063"/>
      <c r="AD374" s="1063"/>
      <c r="AE374" s="1063"/>
      <c r="AF374" s="1063"/>
      <c r="AG374" s="1063"/>
      <c r="AH374" s="1063"/>
      <c r="AI374" s="1063"/>
      <c r="AJ374" s="1063"/>
      <c r="AK374" s="1063"/>
      <c r="AL374" s="1063"/>
      <c r="AM374" s="1063"/>
      <c r="AN374" s="1063"/>
      <c r="AO374" s="1063"/>
      <c r="AP374" s="1063"/>
      <c r="AQ374" s="1063"/>
      <c r="AR374" s="1063"/>
      <c r="AS374" s="1063"/>
      <c r="AT374" s="1063"/>
      <c r="AU374" s="1063"/>
      <c r="AV374" s="1063"/>
      <c r="AW374" s="1063"/>
      <c r="AX374" s="1063"/>
      <c r="AY374" s="1063"/>
      <c r="AZ374" s="1063"/>
      <c r="BA374" s="1063"/>
      <c r="BB374" s="1063"/>
      <c r="BC374" s="1063"/>
      <c r="BD374" s="1063"/>
      <c r="BE374" s="1063"/>
      <c r="BF374" s="1063"/>
      <c r="BG374" s="1063"/>
      <c r="BH374" s="1063"/>
      <c r="BI374" s="1063"/>
      <c r="BJ374" s="1063"/>
      <c r="BK374" s="1063"/>
      <c r="BL374" s="1063"/>
      <c r="BM374" s="1063"/>
      <c r="BN374" s="1063"/>
      <c r="BO374" s="1063"/>
      <c r="BP374" s="1063"/>
      <c r="BQ374" s="1063"/>
      <c r="BR374" s="1063"/>
      <c r="BS374" s="1063"/>
    </row>
    <row r="375" spans="1:71" ht="12.75">
      <c r="A375" s="1063"/>
      <c r="B375" s="1070"/>
      <c r="C375" s="1070"/>
      <c r="D375" s="1063"/>
      <c r="E375" s="1063"/>
      <c r="F375" s="1063"/>
      <c r="G375" s="1063"/>
      <c r="H375" s="1063"/>
      <c r="I375" s="1063"/>
      <c r="J375" s="1063"/>
      <c r="K375" s="1063"/>
      <c r="L375" s="1063"/>
      <c r="M375" s="1063"/>
      <c r="N375" s="1063"/>
      <c r="O375" s="1063"/>
      <c r="P375" s="1063"/>
      <c r="Q375" s="1063"/>
      <c r="R375" s="1063"/>
      <c r="S375" s="1063"/>
      <c r="T375" s="1063"/>
      <c r="U375" s="1063"/>
      <c r="V375" s="1063"/>
      <c r="W375" s="1063"/>
      <c r="X375" s="1063"/>
      <c r="Y375" s="1063"/>
      <c r="Z375" s="1063"/>
      <c r="AA375" s="1063"/>
      <c r="AB375" s="1063"/>
      <c r="AC375" s="1063"/>
      <c r="AD375" s="1063"/>
      <c r="AE375" s="1063"/>
      <c r="AF375" s="1063"/>
      <c r="AG375" s="1063"/>
      <c r="AH375" s="1063"/>
      <c r="AI375" s="1063"/>
      <c r="AJ375" s="1063"/>
      <c r="AK375" s="1063"/>
      <c r="AL375" s="1063"/>
      <c r="AM375" s="1063"/>
      <c r="AN375" s="1063"/>
      <c r="AO375" s="1063"/>
      <c r="AP375" s="1063"/>
      <c r="AQ375" s="1063"/>
      <c r="AR375" s="1063"/>
      <c r="AS375" s="1063"/>
      <c r="AT375" s="1063"/>
      <c r="AU375" s="1063"/>
      <c r="AV375" s="1063"/>
      <c r="AW375" s="1063"/>
      <c r="AX375" s="1063"/>
      <c r="AY375" s="1063"/>
      <c r="AZ375" s="1063"/>
      <c r="BA375" s="1063"/>
      <c r="BB375" s="1063"/>
      <c r="BC375" s="1063"/>
      <c r="BD375" s="1063"/>
      <c r="BE375" s="1063"/>
      <c r="BF375" s="1063"/>
      <c r="BG375" s="1063"/>
      <c r="BH375" s="1063"/>
      <c r="BI375" s="1063"/>
      <c r="BJ375" s="1063"/>
      <c r="BK375" s="1063"/>
      <c r="BL375" s="1063"/>
      <c r="BM375" s="1063"/>
      <c r="BN375" s="1063"/>
      <c r="BO375" s="1063"/>
      <c r="BP375" s="1063"/>
      <c r="BQ375" s="1063"/>
      <c r="BR375" s="1063"/>
      <c r="BS375" s="1063"/>
    </row>
    <row r="376" spans="1:71" ht="12.75">
      <c r="A376" s="1063"/>
      <c r="B376" s="1070"/>
      <c r="C376" s="1070"/>
      <c r="D376" s="1063"/>
      <c r="E376" s="1063"/>
      <c r="F376" s="1063"/>
      <c r="G376" s="1063"/>
      <c r="H376" s="1063"/>
      <c r="I376" s="1063"/>
      <c r="J376" s="1063"/>
      <c r="K376" s="1063"/>
      <c r="L376" s="1063"/>
      <c r="M376" s="1063"/>
      <c r="N376" s="1063"/>
      <c r="O376" s="1063"/>
      <c r="P376" s="1063"/>
      <c r="Q376" s="1063"/>
      <c r="R376" s="1063"/>
      <c r="S376" s="1063"/>
      <c r="T376" s="1063"/>
      <c r="U376" s="1063"/>
      <c r="V376" s="1063"/>
      <c r="W376" s="1063"/>
      <c r="X376" s="1063"/>
      <c r="Y376" s="1063"/>
      <c r="Z376" s="1063"/>
      <c r="AA376" s="1063"/>
      <c r="AB376" s="1063"/>
      <c r="AC376" s="1063"/>
      <c r="AD376" s="1063"/>
      <c r="AE376" s="1063"/>
      <c r="AF376" s="1063"/>
      <c r="AG376" s="1063"/>
      <c r="AH376" s="1063"/>
      <c r="AI376" s="1063"/>
      <c r="AJ376" s="1063"/>
      <c r="AK376" s="1063"/>
      <c r="AL376" s="1063"/>
      <c r="AM376" s="1063"/>
      <c r="AN376" s="1063"/>
      <c r="AO376" s="1063"/>
      <c r="AP376" s="1063"/>
      <c r="AQ376" s="1063"/>
      <c r="AR376" s="1063"/>
      <c r="AS376" s="1063"/>
      <c r="AT376" s="1063"/>
      <c r="AU376" s="1063"/>
      <c r="AV376" s="1063"/>
      <c r="AW376" s="1063"/>
      <c r="AX376" s="1063"/>
      <c r="AY376" s="1063"/>
      <c r="AZ376" s="1063"/>
      <c r="BA376" s="1063"/>
      <c r="BB376" s="1063"/>
      <c r="BC376" s="1063"/>
      <c r="BD376" s="1063"/>
      <c r="BE376" s="1063"/>
      <c r="BF376" s="1063"/>
      <c r="BG376" s="1063"/>
      <c r="BH376" s="1063"/>
      <c r="BI376" s="1063"/>
      <c r="BJ376" s="1063"/>
      <c r="BK376" s="1063"/>
      <c r="BL376" s="1063"/>
      <c r="BM376" s="1063"/>
      <c r="BN376" s="1063"/>
      <c r="BO376" s="1063"/>
      <c r="BP376" s="1063"/>
      <c r="BQ376" s="1063"/>
      <c r="BR376" s="1063"/>
      <c r="BS376" s="1063"/>
    </row>
    <row r="377" spans="1:71" ht="12.75">
      <c r="A377" s="1063"/>
      <c r="B377" s="1070"/>
      <c r="C377" s="1070"/>
      <c r="D377" s="1063"/>
      <c r="E377" s="1063"/>
      <c r="F377" s="1063"/>
      <c r="G377" s="1063"/>
      <c r="H377" s="1063"/>
      <c r="I377" s="1063"/>
      <c r="J377" s="1063"/>
      <c r="K377" s="1063"/>
      <c r="L377" s="1063"/>
      <c r="M377" s="1063"/>
      <c r="N377" s="1063"/>
      <c r="O377" s="1063"/>
      <c r="P377" s="1063"/>
      <c r="Q377" s="1063"/>
      <c r="R377" s="1063"/>
      <c r="S377" s="1063"/>
      <c r="T377" s="1063"/>
      <c r="U377" s="1063"/>
      <c r="V377" s="1063"/>
      <c r="W377" s="1063"/>
      <c r="X377" s="1063"/>
      <c r="Y377" s="1063"/>
      <c r="Z377" s="1063"/>
      <c r="AA377" s="1063"/>
      <c r="AB377" s="1063"/>
      <c r="AC377" s="1063"/>
      <c r="AD377" s="1063"/>
      <c r="AE377" s="1063"/>
      <c r="AF377" s="1063"/>
      <c r="AG377" s="1063"/>
      <c r="AH377" s="1063"/>
      <c r="AI377" s="1063"/>
      <c r="AJ377" s="1063"/>
      <c r="AK377" s="1063"/>
      <c r="AL377" s="1063"/>
      <c r="AM377" s="1063"/>
      <c r="AN377" s="1063"/>
      <c r="AO377" s="1063"/>
      <c r="AP377" s="1063"/>
      <c r="AQ377" s="1063"/>
      <c r="AR377" s="1063"/>
      <c r="AS377" s="1063"/>
      <c r="AT377" s="1063"/>
      <c r="AU377" s="1063"/>
      <c r="AV377" s="1063"/>
      <c r="AW377" s="1063"/>
      <c r="AX377" s="1063"/>
      <c r="AY377" s="1063"/>
      <c r="AZ377" s="1063"/>
      <c r="BA377" s="1063"/>
      <c r="BB377" s="1063"/>
      <c r="BC377" s="1063"/>
      <c r="BD377" s="1063"/>
      <c r="BE377" s="1063"/>
      <c r="BF377" s="1063"/>
      <c r="BG377" s="1063"/>
      <c r="BH377" s="1063"/>
      <c r="BI377" s="1063"/>
      <c r="BJ377" s="1063"/>
      <c r="BK377" s="1063"/>
      <c r="BL377" s="1063"/>
      <c r="BM377" s="1063"/>
      <c r="BN377" s="1063"/>
      <c r="BO377" s="1063"/>
      <c r="BP377" s="1063"/>
      <c r="BQ377" s="1063"/>
      <c r="BR377" s="1063"/>
      <c r="BS377" s="1063"/>
    </row>
    <row r="378" spans="1:71" ht="12.75">
      <c r="A378" s="1063"/>
      <c r="B378" s="1070"/>
      <c r="C378" s="1070"/>
      <c r="D378" s="1063"/>
      <c r="E378" s="1063"/>
      <c r="F378" s="1063"/>
      <c r="G378" s="1063"/>
      <c r="H378" s="1063"/>
      <c r="I378" s="1063"/>
      <c r="J378" s="1063"/>
      <c r="K378" s="1063"/>
      <c r="L378" s="1063"/>
      <c r="M378" s="1063"/>
      <c r="N378" s="1063"/>
      <c r="O378" s="1063"/>
      <c r="P378" s="1063"/>
      <c r="Q378" s="1063"/>
      <c r="R378" s="1063"/>
      <c r="S378" s="1063"/>
      <c r="T378" s="1063"/>
      <c r="U378" s="1063"/>
      <c r="V378" s="1063"/>
      <c r="W378" s="1063"/>
      <c r="X378" s="1063"/>
      <c r="Y378" s="1063"/>
      <c r="Z378" s="1063"/>
      <c r="AA378" s="1063"/>
      <c r="AB378" s="1063"/>
      <c r="AC378" s="1063"/>
      <c r="AD378" s="1063"/>
      <c r="AE378" s="1063"/>
      <c r="AF378" s="1063"/>
      <c r="AG378" s="1063"/>
      <c r="AH378" s="1063"/>
      <c r="AI378" s="1063"/>
      <c r="AJ378" s="1063"/>
      <c r="AK378" s="1063"/>
      <c r="AL378" s="1063"/>
      <c r="AM378" s="1063"/>
      <c r="AN378" s="1063"/>
      <c r="AO378" s="1063"/>
      <c r="AP378" s="1063"/>
      <c r="AQ378" s="1063"/>
      <c r="AR378" s="1063"/>
      <c r="AS378" s="1063"/>
      <c r="AT378" s="1063"/>
      <c r="AU378" s="1063"/>
      <c r="AV378" s="1063"/>
      <c r="AW378" s="1063"/>
      <c r="AX378" s="1063"/>
      <c r="AY378" s="1063"/>
      <c r="AZ378" s="1063"/>
      <c r="BA378" s="1063"/>
      <c r="BB378" s="1063"/>
      <c r="BC378" s="1063"/>
      <c r="BD378" s="1063"/>
      <c r="BE378" s="1063"/>
      <c r="BF378" s="1063"/>
      <c r="BG378" s="1063"/>
      <c r="BH378" s="1063"/>
      <c r="BI378" s="1063"/>
      <c r="BJ378" s="1063"/>
      <c r="BK378" s="1063"/>
      <c r="BL378" s="1063"/>
      <c r="BM378" s="1063"/>
      <c r="BN378" s="1063"/>
      <c r="BO378" s="1063"/>
      <c r="BP378" s="1063"/>
      <c r="BQ378" s="1063"/>
      <c r="BR378" s="1063"/>
      <c r="BS378" s="1063"/>
    </row>
    <row r="379" spans="1:71" ht="12.75">
      <c r="A379" s="1063"/>
      <c r="B379" s="1070"/>
      <c r="C379" s="1070"/>
      <c r="D379" s="1063"/>
      <c r="E379" s="1063"/>
      <c r="F379" s="1063"/>
      <c r="G379" s="1063"/>
      <c r="H379" s="1063"/>
      <c r="I379" s="1063"/>
      <c r="J379" s="1063"/>
      <c r="K379" s="1063"/>
      <c r="L379" s="1063"/>
      <c r="M379" s="1063"/>
      <c r="N379" s="1063"/>
      <c r="O379" s="1063"/>
      <c r="P379" s="1063"/>
      <c r="Q379" s="1063"/>
      <c r="R379" s="1063"/>
      <c r="S379" s="1063"/>
      <c r="T379" s="1063"/>
      <c r="U379" s="1063"/>
      <c r="V379" s="1063"/>
      <c r="W379" s="1063"/>
      <c r="X379" s="1063"/>
      <c r="Y379" s="1063"/>
      <c r="Z379" s="1063"/>
      <c r="AA379" s="1063"/>
      <c r="AB379" s="1063"/>
      <c r="AC379" s="1063"/>
      <c r="AD379" s="1063"/>
      <c r="AE379" s="1063"/>
      <c r="AF379" s="1063"/>
      <c r="AG379" s="1063"/>
      <c r="AH379" s="1063"/>
      <c r="AI379" s="1063"/>
      <c r="AJ379" s="1063"/>
      <c r="AK379" s="1063"/>
      <c r="AL379" s="1063"/>
      <c r="AM379" s="1063"/>
      <c r="AN379" s="1063"/>
      <c r="AO379" s="1063"/>
      <c r="AP379" s="1063"/>
      <c r="AQ379" s="1063"/>
      <c r="AR379" s="1063"/>
      <c r="AS379" s="1063"/>
      <c r="AT379" s="1063"/>
      <c r="AU379" s="1063"/>
      <c r="AV379" s="1063"/>
      <c r="AW379" s="1063"/>
      <c r="AX379" s="1063"/>
      <c r="AY379" s="1063"/>
      <c r="AZ379" s="1063"/>
      <c r="BA379" s="1063"/>
      <c r="BB379" s="1063"/>
      <c r="BC379" s="1063"/>
      <c r="BD379" s="1063"/>
      <c r="BE379" s="1063"/>
      <c r="BF379" s="1063"/>
      <c r="BG379" s="1063"/>
      <c r="BH379" s="1063"/>
      <c r="BI379" s="1063"/>
      <c r="BJ379" s="1063"/>
      <c r="BK379" s="1063"/>
      <c r="BL379" s="1063"/>
      <c r="BM379" s="1063"/>
      <c r="BN379" s="1063"/>
      <c r="BO379" s="1063"/>
      <c r="BP379" s="1063"/>
      <c r="BQ379" s="1063"/>
      <c r="BR379" s="1063"/>
      <c r="BS379" s="1063"/>
    </row>
    <row r="380" spans="1:71" ht="12.75">
      <c r="A380" s="1063"/>
      <c r="B380" s="1070"/>
      <c r="C380" s="1070"/>
      <c r="D380" s="1063"/>
      <c r="E380" s="1063"/>
      <c r="F380" s="1063"/>
      <c r="G380" s="1063"/>
      <c r="H380" s="1063"/>
      <c r="I380" s="1063"/>
      <c r="J380" s="1063"/>
      <c r="K380" s="1063"/>
      <c r="L380" s="1063"/>
      <c r="M380" s="1063"/>
      <c r="N380" s="1063"/>
      <c r="O380" s="1063"/>
      <c r="P380" s="1063"/>
      <c r="Q380" s="1063"/>
      <c r="R380" s="1063"/>
      <c r="S380" s="1063"/>
      <c r="T380" s="1063"/>
      <c r="U380" s="1063"/>
      <c r="V380" s="1063"/>
      <c r="W380" s="1063"/>
      <c r="X380" s="1063"/>
      <c r="Y380" s="1063"/>
      <c r="Z380" s="1063"/>
      <c r="AA380" s="1063"/>
      <c r="AB380" s="1063"/>
      <c r="AC380" s="1063"/>
      <c r="AD380" s="1063"/>
      <c r="AE380" s="1063"/>
      <c r="AF380" s="1063"/>
      <c r="AG380" s="1063"/>
      <c r="AH380" s="1063"/>
      <c r="AI380" s="1063"/>
      <c r="AJ380" s="1063"/>
      <c r="AK380" s="1063"/>
      <c r="AL380" s="1063"/>
      <c r="AM380" s="1063"/>
      <c r="AN380" s="1063"/>
      <c r="AO380" s="1063"/>
      <c r="AP380" s="1063"/>
      <c r="AQ380" s="1063"/>
      <c r="AR380" s="1063"/>
      <c r="AS380" s="1063"/>
      <c r="AT380" s="1063"/>
      <c r="AU380" s="1063"/>
      <c r="AV380" s="1063"/>
      <c r="AW380" s="1063"/>
      <c r="AX380" s="1063"/>
      <c r="AY380" s="1063"/>
      <c r="AZ380" s="1063"/>
      <c r="BA380" s="1063"/>
      <c r="BB380" s="1063"/>
      <c r="BC380" s="1063"/>
      <c r="BD380" s="1063"/>
      <c r="BE380" s="1063"/>
      <c r="BF380" s="1063"/>
      <c r="BG380" s="1063"/>
      <c r="BH380" s="1063"/>
      <c r="BI380" s="1063"/>
      <c r="BJ380" s="1063"/>
      <c r="BK380" s="1063"/>
      <c r="BL380" s="1063"/>
      <c r="BM380" s="1063"/>
      <c r="BN380" s="1063"/>
      <c r="BO380" s="1063"/>
      <c r="BP380" s="1063"/>
      <c r="BQ380" s="1063"/>
      <c r="BR380" s="1063"/>
      <c r="BS380" s="1063"/>
    </row>
    <row r="381" spans="1:71" ht="12.75">
      <c r="A381" s="1063"/>
      <c r="B381" s="1070"/>
      <c r="C381" s="1070"/>
      <c r="D381" s="1063"/>
      <c r="E381" s="1063"/>
      <c r="F381" s="1063"/>
      <c r="G381" s="1063"/>
      <c r="H381" s="1063"/>
      <c r="I381" s="1063"/>
      <c r="J381" s="1063"/>
      <c r="K381" s="1063"/>
      <c r="L381" s="1063"/>
      <c r="M381" s="1063"/>
      <c r="N381" s="1063"/>
      <c r="O381" s="1063"/>
      <c r="P381" s="1063"/>
      <c r="Q381" s="1063"/>
      <c r="R381" s="1063"/>
      <c r="S381" s="1063"/>
      <c r="T381" s="1063"/>
      <c r="U381" s="1063"/>
      <c r="V381" s="1063"/>
      <c r="W381" s="1063"/>
      <c r="X381" s="1063"/>
      <c r="Y381" s="1063"/>
      <c r="Z381" s="1063"/>
      <c r="AA381" s="1063"/>
      <c r="AB381" s="1063"/>
      <c r="AC381" s="1063"/>
      <c r="AD381" s="1063"/>
      <c r="AE381" s="1063"/>
      <c r="AF381" s="1063"/>
      <c r="AG381" s="1063"/>
      <c r="AH381" s="1063"/>
      <c r="AI381" s="1063"/>
      <c r="AJ381" s="1063"/>
      <c r="AK381" s="1063"/>
      <c r="AL381" s="1063"/>
      <c r="AM381" s="1063"/>
      <c r="AN381" s="1063"/>
      <c r="AO381" s="1063"/>
      <c r="AP381" s="1063"/>
      <c r="AQ381" s="1063"/>
      <c r="AR381" s="1063"/>
      <c r="AS381" s="1063"/>
      <c r="AT381" s="1063"/>
      <c r="AU381" s="1063"/>
      <c r="AV381" s="1063"/>
      <c r="AW381" s="1063"/>
      <c r="AX381" s="1063"/>
      <c r="AY381" s="1063"/>
      <c r="AZ381" s="1063"/>
      <c r="BA381" s="1063"/>
      <c r="BB381" s="1063"/>
      <c r="BC381" s="1063"/>
      <c r="BD381" s="1063"/>
      <c r="BE381" s="1063"/>
      <c r="BF381" s="1063"/>
      <c r="BG381" s="1063"/>
      <c r="BH381" s="1063"/>
      <c r="BI381" s="1063"/>
      <c r="BJ381" s="1063"/>
      <c r="BK381" s="1063"/>
      <c r="BL381" s="1063"/>
      <c r="BM381" s="1063"/>
      <c r="BN381" s="1063"/>
      <c r="BO381" s="1063"/>
      <c r="BP381" s="1063"/>
      <c r="BQ381" s="1063"/>
      <c r="BR381" s="1063"/>
      <c r="BS381" s="1063"/>
    </row>
    <row r="382" spans="1:71" ht="12.75">
      <c r="A382" s="1063"/>
      <c r="B382" s="1070"/>
      <c r="C382" s="1070"/>
      <c r="D382" s="1063"/>
      <c r="E382" s="1063"/>
      <c r="F382" s="1063"/>
      <c r="G382" s="1063"/>
      <c r="H382" s="1063"/>
      <c r="I382" s="1063"/>
      <c r="J382" s="1063"/>
      <c r="K382" s="1063"/>
      <c r="L382" s="1063"/>
      <c r="M382" s="1063"/>
      <c r="N382" s="1063"/>
      <c r="O382" s="1063"/>
      <c r="P382" s="1063"/>
      <c r="Q382" s="1063"/>
      <c r="R382" s="1063"/>
      <c r="S382" s="1063"/>
      <c r="T382" s="1063"/>
      <c r="U382" s="1063"/>
      <c r="V382" s="1063"/>
      <c r="W382" s="1063"/>
      <c r="X382" s="1063"/>
      <c r="Y382" s="1063"/>
      <c r="Z382" s="1063"/>
      <c r="AA382" s="1063"/>
      <c r="AB382" s="1063"/>
      <c r="AC382" s="1063"/>
      <c r="AD382" s="1063"/>
      <c r="AE382" s="1063"/>
      <c r="AF382" s="1063"/>
      <c r="AG382" s="1063"/>
      <c r="AH382" s="1063"/>
      <c r="AI382" s="1063"/>
      <c r="AJ382" s="1063"/>
      <c r="AK382" s="1063"/>
      <c r="AL382" s="1063"/>
      <c r="AM382" s="1063"/>
      <c r="AN382" s="1063"/>
      <c r="AO382" s="1063"/>
      <c r="AP382" s="1063"/>
      <c r="AQ382" s="1063"/>
      <c r="AR382" s="1063"/>
      <c r="AS382" s="1063"/>
      <c r="AT382" s="1063"/>
      <c r="AU382" s="1063"/>
      <c r="AV382" s="1063"/>
      <c r="AW382" s="1063"/>
      <c r="AX382" s="1063"/>
      <c r="AY382" s="1063"/>
      <c r="AZ382" s="1063"/>
      <c r="BA382" s="1063"/>
      <c r="BB382" s="1063"/>
      <c r="BC382" s="1063"/>
      <c r="BD382" s="1063"/>
      <c r="BE382" s="1063"/>
      <c r="BF382" s="1063"/>
      <c r="BG382" s="1063"/>
      <c r="BH382" s="1063"/>
      <c r="BI382" s="1063"/>
      <c r="BJ382" s="1063"/>
      <c r="BK382" s="1063"/>
      <c r="BL382" s="1063"/>
      <c r="BM382" s="1063"/>
      <c r="BN382" s="1063"/>
      <c r="BO382" s="1063"/>
      <c r="BP382" s="1063"/>
      <c r="BQ382" s="1063"/>
      <c r="BR382" s="1063"/>
      <c r="BS382" s="1063"/>
    </row>
    <row r="383" spans="1:71" ht="12.75">
      <c r="A383" s="1063"/>
      <c r="B383" s="1070"/>
      <c r="C383" s="1070"/>
      <c r="D383" s="1063"/>
      <c r="E383" s="1063"/>
      <c r="F383" s="1063"/>
      <c r="G383" s="1063"/>
      <c r="H383" s="1063"/>
      <c r="I383" s="1063"/>
      <c r="J383" s="1063"/>
      <c r="K383" s="1063"/>
      <c r="L383" s="1063"/>
      <c r="M383" s="1063"/>
      <c r="N383" s="1063"/>
      <c r="O383" s="1063"/>
      <c r="P383" s="1063"/>
      <c r="Q383" s="1063"/>
      <c r="R383" s="1063"/>
      <c r="S383" s="1063"/>
      <c r="T383" s="1063"/>
      <c r="U383" s="1063"/>
      <c r="V383" s="1063"/>
      <c r="W383" s="1063"/>
      <c r="X383" s="1063"/>
      <c r="Y383" s="1063"/>
      <c r="Z383" s="1063"/>
      <c r="AA383" s="1063"/>
      <c r="AB383" s="1063"/>
      <c r="AC383" s="1063"/>
      <c r="AD383" s="1063"/>
      <c r="AE383" s="1063"/>
      <c r="AF383" s="1063"/>
      <c r="AG383" s="1063"/>
      <c r="AH383" s="1063"/>
      <c r="AI383" s="1063"/>
      <c r="AJ383" s="1063"/>
      <c r="AK383" s="1063"/>
      <c r="AL383" s="1063"/>
      <c r="AM383" s="1063"/>
      <c r="AN383" s="1063"/>
      <c r="AO383" s="1063"/>
      <c r="AP383" s="1063"/>
      <c r="AQ383" s="1063"/>
      <c r="AR383" s="1063"/>
      <c r="AS383" s="1063"/>
      <c r="AT383" s="1063"/>
      <c r="AU383" s="1063"/>
      <c r="AV383" s="1063"/>
      <c r="AW383" s="1063"/>
      <c r="AX383" s="1063"/>
      <c r="AY383" s="1063"/>
      <c r="AZ383" s="1063"/>
      <c r="BA383" s="1063"/>
      <c r="BB383" s="1063"/>
      <c r="BC383" s="1063"/>
      <c r="BD383" s="1063"/>
      <c r="BE383" s="1063"/>
      <c r="BF383" s="1063"/>
      <c r="BG383" s="1063"/>
      <c r="BH383" s="1063"/>
      <c r="BI383" s="1063"/>
      <c r="BJ383" s="1063"/>
      <c r="BK383" s="1063"/>
      <c r="BL383" s="1063"/>
      <c r="BM383" s="1063"/>
      <c r="BN383" s="1063"/>
      <c r="BO383" s="1063"/>
      <c r="BP383" s="1063"/>
      <c r="BQ383" s="1063"/>
      <c r="BR383" s="1063"/>
      <c r="BS383" s="1063"/>
    </row>
    <row r="384" spans="1:71" ht="12.75">
      <c r="A384" s="1063"/>
      <c r="B384" s="1070"/>
      <c r="C384" s="1070"/>
      <c r="D384" s="1063"/>
      <c r="E384" s="1063"/>
      <c r="F384" s="1063"/>
      <c r="G384" s="1063"/>
      <c r="H384" s="1063"/>
      <c r="I384" s="1063"/>
      <c r="J384" s="1063"/>
      <c r="K384" s="1063"/>
      <c r="L384" s="1063"/>
      <c r="M384" s="1063"/>
      <c r="N384" s="1063"/>
      <c r="O384" s="1063"/>
      <c r="P384" s="1063"/>
      <c r="Q384" s="1063"/>
      <c r="R384" s="1063"/>
      <c r="S384" s="1063"/>
      <c r="T384" s="1063"/>
      <c r="U384" s="1063"/>
      <c r="V384" s="1063"/>
      <c r="W384" s="1063"/>
      <c r="X384" s="1063"/>
      <c r="Y384" s="1063"/>
      <c r="Z384" s="1063"/>
      <c r="AA384" s="1063"/>
      <c r="AB384" s="1063"/>
      <c r="AC384" s="1063"/>
      <c r="AD384" s="1063"/>
      <c r="AE384" s="1063"/>
      <c r="AF384" s="1063"/>
      <c r="AG384" s="1063"/>
      <c r="AH384" s="1063"/>
      <c r="AI384" s="1063"/>
      <c r="AJ384" s="1063"/>
      <c r="AK384" s="1063"/>
      <c r="AL384" s="1063"/>
      <c r="AM384" s="1063"/>
      <c r="AN384" s="1063"/>
      <c r="AO384" s="1063"/>
      <c r="AP384" s="1063"/>
      <c r="AQ384" s="1063"/>
      <c r="AR384" s="1063"/>
      <c r="AS384" s="1063"/>
      <c r="AT384" s="1063"/>
      <c r="AU384" s="1063"/>
      <c r="AV384" s="1063"/>
      <c r="AW384" s="1063"/>
      <c r="AX384" s="1063"/>
      <c r="AY384" s="1063"/>
      <c r="AZ384" s="1063"/>
      <c r="BA384" s="1063"/>
      <c r="BB384" s="1063"/>
      <c r="BC384" s="1063"/>
      <c r="BD384" s="1063"/>
      <c r="BE384" s="1063"/>
      <c r="BF384" s="1063"/>
      <c r="BG384" s="1063"/>
      <c r="BH384" s="1063"/>
      <c r="BI384" s="1063"/>
      <c r="BJ384" s="1063"/>
      <c r="BK384" s="1063"/>
      <c r="BL384" s="1063"/>
      <c r="BM384" s="1063"/>
      <c r="BN384" s="1063"/>
      <c r="BO384" s="1063"/>
      <c r="BP384" s="1063"/>
      <c r="BQ384" s="1063"/>
      <c r="BR384" s="1063"/>
      <c r="BS384" s="1063"/>
    </row>
    <row r="385" spans="1:71" ht="12.75">
      <c r="A385" s="1063"/>
      <c r="B385" s="1070"/>
      <c r="C385" s="1070"/>
      <c r="D385" s="1063"/>
      <c r="E385" s="1063"/>
      <c r="F385" s="1063"/>
      <c r="G385" s="1063"/>
      <c r="H385" s="1063"/>
      <c r="I385" s="1063"/>
      <c r="J385" s="1063"/>
      <c r="K385" s="1063"/>
      <c r="L385" s="1063"/>
      <c r="M385" s="1063"/>
      <c r="N385" s="1063"/>
      <c r="O385" s="1063"/>
      <c r="P385" s="1063"/>
      <c r="Q385" s="1063"/>
      <c r="R385" s="1063"/>
      <c r="S385" s="1063"/>
      <c r="T385" s="1063"/>
      <c r="U385" s="1063"/>
      <c r="V385" s="1063"/>
      <c r="W385" s="1063"/>
      <c r="X385" s="1063"/>
      <c r="Y385" s="1063"/>
      <c r="Z385" s="1063"/>
      <c r="AA385" s="1063"/>
      <c r="AB385" s="1063"/>
      <c r="AC385" s="1063"/>
      <c r="AD385" s="1063"/>
      <c r="AE385" s="1063"/>
      <c r="AF385" s="1063"/>
      <c r="AG385" s="1063"/>
      <c r="AH385" s="1063"/>
      <c r="AI385" s="1063"/>
      <c r="AJ385" s="1063"/>
      <c r="AK385" s="1063"/>
      <c r="AL385" s="1063"/>
      <c r="AM385" s="1063"/>
      <c r="AN385" s="1063"/>
      <c r="AO385" s="1063"/>
      <c r="AP385" s="1063"/>
      <c r="AQ385" s="1063"/>
      <c r="AR385" s="1063"/>
      <c r="AS385" s="1063"/>
      <c r="AT385" s="1063"/>
      <c r="AU385" s="1063"/>
      <c r="AV385" s="1063"/>
      <c r="AW385" s="1063"/>
      <c r="AX385" s="1063"/>
      <c r="AY385" s="1063"/>
      <c r="AZ385" s="1063"/>
      <c r="BA385" s="1063"/>
      <c r="BB385" s="1063"/>
      <c r="BC385" s="1063"/>
      <c r="BD385" s="1063"/>
      <c r="BE385" s="1063"/>
      <c r="BF385" s="1063"/>
      <c r="BG385" s="1063"/>
      <c r="BH385" s="1063"/>
      <c r="BI385" s="1063"/>
      <c r="BJ385" s="1063"/>
      <c r="BK385" s="1063"/>
      <c r="BL385" s="1063"/>
      <c r="BM385" s="1063"/>
      <c r="BN385" s="1063"/>
      <c r="BO385" s="1063"/>
      <c r="BP385" s="1063"/>
      <c r="BQ385" s="1063"/>
      <c r="BR385" s="1063"/>
      <c r="BS385" s="1063"/>
    </row>
    <row r="386" spans="1:71" ht="12.75">
      <c r="A386" s="1063"/>
      <c r="B386" s="1070"/>
      <c r="C386" s="1070"/>
      <c r="D386" s="1063"/>
      <c r="E386" s="1063"/>
      <c r="F386" s="1063"/>
      <c r="G386" s="1063"/>
      <c r="H386" s="1063"/>
      <c r="I386" s="1063"/>
      <c r="J386" s="1063"/>
      <c r="K386" s="1063"/>
      <c r="L386" s="1063"/>
      <c r="M386" s="1063"/>
      <c r="N386" s="1063"/>
      <c r="O386" s="1063"/>
      <c r="P386" s="1063"/>
      <c r="Q386" s="1063"/>
      <c r="R386" s="1063"/>
      <c r="S386" s="1063"/>
      <c r="T386" s="1063"/>
      <c r="U386" s="1063"/>
      <c r="V386" s="1063"/>
      <c r="W386" s="1063"/>
      <c r="X386" s="1063"/>
      <c r="Y386" s="1063"/>
      <c r="Z386" s="1063"/>
      <c r="AA386" s="1063"/>
      <c r="AB386" s="1063"/>
      <c r="AC386" s="1063"/>
      <c r="AD386" s="1063"/>
      <c r="AE386" s="1063"/>
      <c r="AF386" s="1063"/>
      <c r="AG386" s="1063"/>
      <c r="AH386" s="1063"/>
      <c r="AI386" s="1063"/>
      <c r="AJ386" s="1063"/>
      <c r="AK386" s="1063"/>
      <c r="AL386" s="1063"/>
      <c r="AM386" s="1063"/>
      <c r="AN386" s="1063"/>
      <c r="AO386" s="1063"/>
      <c r="AP386" s="1063"/>
      <c r="AQ386" s="1063"/>
      <c r="AR386" s="1063"/>
      <c r="AS386" s="1063"/>
      <c r="AT386" s="1063"/>
      <c r="AU386" s="1063"/>
      <c r="AV386" s="1063"/>
      <c r="AW386" s="1063"/>
      <c r="AX386" s="1063"/>
      <c r="AY386" s="1063"/>
      <c r="AZ386" s="1063"/>
      <c r="BA386" s="1063"/>
      <c r="BB386" s="1063"/>
      <c r="BC386" s="1063"/>
      <c r="BD386" s="1063"/>
      <c r="BE386" s="1063"/>
      <c r="BF386" s="1063"/>
      <c r="BG386" s="1063"/>
      <c r="BH386" s="1063"/>
      <c r="BI386" s="1063"/>
      <c r="BJ386" s="1063"/>
      <c r="BK386" s="1063"/>
      <c r="BL386" s="1063"/>
      <c r="BM386" s="1063"/>
      <c r="BN386" s="1063"/>
      <c r="BO386" s="1063"/>
      <c r="BP386" s="1063"/>
      <c r="BQ386" s="1063"/>
      <c r="BR386" s="1063"/>
      <c r="BS386" s="1063"/>
    </row>
    <row r="387" spans="1:71" ht="12.75">
      <c r="A387" s="1063"/>
      <c r="B387" s="1070"/>
      <c r="C387" s="1070"/>
      <c r="D387" s="1063"/>
      <c r="E387" s="1063"/>
      <c r="F387" s="1063"/>
      <c r="G387" s="1063"/>
      <c r="H387" s="1063"/>
      <c r="I387" s="1063"/>
      <c r="J387" s="1063"/>
      <c r="K387" s="1063"/>
      <c r="L387" s="1063"/>
      <c r="M387" s="1063"/>
      <c r="N387" s="1063"/>
      <c r="O387" s="1063"/>
      <c r="P387" s="1063"/>
      <c r="Q387" s="1063"/>
      <c r="R387" s="1063"/>
      <c r="S387" s="1063"/>
      <c r="T387" s="1063"/>
      <c r="U387" s="1063"/>
      <c r="V387" s="1063"/>
      <c r="W387" s="1063"/>
      <c r="X387" s="1063"/>
      <c r="Y387" s="1063"/>
      <c r="Z387" s="1063"/>
      <c r="AA387" s="1063"/>
      <c r="AB387" s="1063"/>
      <c r="AC387" s="1063"/>
      <c r="AD387" s="1063"/>
      <c r="AE387" s="1063"/>
      <c r="AF387" s="1063"/>
      <c r="AG387" s="1063"/>
      <c r="AH387" s="1063"/>
      <c r="AI387" s="1063"/>
      <c r="AJ387" s="1063"/>
      <c r="AK387" s="1063"/>
      <c r="AL387" s="1063"/>
      <c r="AM387" s="1063"/>
      <c r="AN387" s="1063"/>
      <c r="AO387" s="1063"/>
      <c r="AP387" s="1063"/>
      <c r="AQ387" s="1063"/>
      <c r="AR387" s="1063"/>
      <c r="AS387" s="1063"/>
      <c r="AT387" s="1063"/>
      <c r="AU387" s="1063"/>
      <c r="AV387" s="1063"/>
      <c r="AW387" s="1063"/>
      <c r="AX387" s="1063"/>
      <c r="AY387" s="1063"/>
      <c r="AZ387" s="1063"/>
      <c r="BA387" s="1063"/>
      <c r="BB387" s="1063"/>
      <c r="BC387" s="1063"/>
      <c r="BD387" s="1063"/>
      <c r="BE387" s="1063"/>
      <c r="BF387" s="1063"/>
      <c r="BG387" s="1063"/>
      <c r="BH387" s="1063"/>
      <c r="BI387" s="1063"/>
      <c r="BJ387" s="1063"/>
      <c r="BK387" s="1063"/>
      <c r="BL387" s="1063"/>
      <c r="BM387" s="1063"/>
      <c r="BN387" s="1063"/>
      <c r="BO387" s="1063"/>
      <c r="BP387" s="1063"/>
      <c r="BQ387" s="1063"/>
      <c r="BR387" s="1063"/>
      <c r="BS387" s="1063"/>
    </row>
    <row r="388" spans="1:71" ht="12.75">
      <c r="A388" s="1063"/>
      <c r="B388" s="1070"/>
      <c r="C388" s="1070"/>
      <c r="D388" s="1063"/>
      <c r="E388" s="1063"/>
      <c r="F388" s="1063"/>
      <c r="G388" s="1063"/>
      <c r="H388" s="1063"/>
      <c r="I388" s="1063"/>
      <c r="J388" s="1063"/>
      <c r="K388" s="1063"/>
      <c r="L388" s="1063"/>
      <c r="M388" s="1063"/>
      <c r="N388" s="1063"/>
      <c r="O388" s="1063"/>
      <c r="P388" s="1063"/>
      <c r="Q388" s="1063"/>
      <c r="R388" s="1063"/>
      <c r="S388" s="1063"/>
      <c r="T388" s="1063"/>
      <c r="U388" s="1063"/>
      <c r="V388" s="1063"/>
      <c r="W388" s="1063"/>
      <c r="X388" s="1063"/>
      <c r="Y388" s="1063"/>
      <c r="Z388" s="1063"/>
      <c r="AA388" s="1063"/>
      <c r="AB388" s="1063"/>
      <c r="AC388" s="1063"/>
      <c r="AD388" s="1063"/>
      <c r="AE388" s="1063"/>
      <c r="AF388" s="1063"/>
      <c r="AG388" s="1063"/>
      <c r="AH388" s="1063"/>
      <c r="AI388" s="1063"/>
      <c r="AJ388" s="1063"/>
      <c r="AK388" s="1063"/>
      <c r="AL388" s="1063"/>
      <c r="AM388" s="1063"/>
      <c r="AN388" s="1063"/>
      <c r="AO388" s="1063"/>
      <c r="AP388" s="1063"/>
      <c r="AQ388" s="1063"/>
      <c r="AR388" s="1063"/>
      <c r="AS388" s="1063"/>
      <c r="AT388" s="1063"/>
      <c r="AU388" s="1063"/>
      <c r="AV388" s="1063"/>
      <c r="AW388" s="1063"/>
      <c r="AX388" s="1063"/>
      <c r="AY388" s="1063"/>
      <c r="AZ388" s="1063"/>
      <c r="BA388" s="1063"/>
      <c r="BB388" s="1063"/>
      <c r="BC388" s="1063"/>
      <c r="BD388" s="1063"/>
      <c r="BE388" s="1063"/>
      <c r="BF388" s="1063"/>
      <c r="BG388" s="1063"/>
      <c r="BH388" s="1063"/>
      <c r="BI388" s="1063"/>
      <c r="BJ388" s="1063"/>
      <c r="BK388" s="1063"/>
      <c r="BL388" s="1063"/>
      <c r="BM388" s="1063"/>
      <c r="BN388" s="1063"/>
      <c r="BO388" s="1063"/>
      <c r="BP388" s="1063"/>
      <c r="BQ388" s="1063"/>
      <c r="BR388" s="1063"/>
      <c r="BS388" s="1063"/>
    </row>
    <row r="389" spans="1:71" ht="12.75">
      <c r="A389" s="1063"/>
      <c r="B389" s="1070"/>
      <c r="C389" s="1070"/>
      <c r="D389" s="1063"/>
      <c r="E389" s="1063"/>
      <c r="F389" s="1063"/>
      <c r="G389" s="1063"/>
      <c r="H389" s="1063"/>
      <c r="I389" s="1063"/>
      <c r="J389" s="1063"/>
      <c r="K389" s="1063"/>
      <c r="L389" s="1063"/>
      <c r="M389" s="1063"/>
      <c r="N389" s="1063"/>
      <c r="O389" s="1063"/>
      <c r="P389" s="1063"/>
      <c r="Q389" s="1063"/>
      <c r="R389" s="1063"/>
      <c r="S389" s="1063"/>
      <c r="T389" s="1063"/>
      <c r="U389" s="1063"/>
      <c r="V389" s="1063"/>
      <c r="W389" s="1063"/>
      <c r="X389" s="1063"/>
      <c r="Y389" s="1063"/>
      <c r="Z389" s="1063"/>
      <c r="AA389" s="1063"/>
      <c r="AB389" s="1063"/>
      <c r="AC389" s="1063"/>
      <c r="AD389" s="1063"/>
      <c r="AE389" s="1063"/>
      <c r="AF389" s="1063"/>
      <c r="AG389" s="1063"/>
      <c r="AH389" s="1063"/>
      <c r="AI389" s="1063"/>
      <c r="AJ389" s="1063"/>
      <c r="AK389" s="1063"/>
      <c r="AL389" s="1063"/>
      <c r="AM389" s="1063"/>
      <c r="AN389" s="1063"/>
      <c r="AO389" s="1063"/>
      <c r="AP389" s="1063"/>
      <c r="AQ389" s="1063"/>
      <c r="AR389" s="1063"/>
      <c r="AS389" s="1063"/>
      <c r="AT389" s="1063"/>
      <c r="AU389" s="1063"/>
      <c r="AV389" s="1063"/>
      <c r="AW389" s="1063"/>
      <c r="AX389" s="1063"/>
      <c r="AY389" s="1063"/>
      <c r="AZ389" s="1063"/>
      <c r="BA389" s="1063"/>
      <c r="BB389" s="1063"/>
      <c r="BC389" s="1063"/>
      <c r="BD389" s="1063"/>
      <c r="BE389" s="1063"/>
      <c r="BF389" s="1063"/>
      <c r="BG389" s="1063"/>
      <c r="BH389" s="1063"/>
      <c r="BI389" s="1063"/>
      <c r="BJ389" s="1063"/>
      <c r="BK389" s="1063"/>
      <c r="BL389" s="1063"/>
      <c r="BM389" s="1063"/>
      <c r="BN389" s="1063"/>
      <c r="BO389" s="1063"/>
      <c r="BP389" s="1063"/>
      <c r="BQ389" s="1063"/>
      <c r="BR389" s="1063"/>
      <c r="BS389" s="1063"/>
    </row>
    <row r="390" spans="1:71" ht="12.75">
      <c r="A390" s="1063"/>
      <c r="B390" s="1070"/>
      <c r="C390" s="1070"/>
      <c r="D390" s="1063"/>
      <c r="E390" s="1063"/>
      <c r="F390" s="1063"/>
      <c r="G390" s="1063"/>
      <c r="H390" s="1063"/>
      <c r="I390" s="1063"/>
      <c r="J390" s="1063"/>
      <c r="K390" s="1063"/>
      <c r="L390" s="1063"/>
      <c r="M390" s="1063"/>
      <c r="N390" s="1063"/>
      <c r="O390" s="1063"/>
      <c r="P390" s="1063"/>
      <c r="Q390" s="1063"/>
      <c r="R390" s="1063"/>
      <c r="S390" s="1063"/>
      <c r="T390" s="1063"/>
      <c r="U390" s="1063"/>
      <c r="V390" s="1063"/>
      <c r="W390" s="1063"/>
      <c r="X390" s="1063"/>
      <c r="Y390" s="1063"/>
      <c r="Z390" s="1063"/>
      <c r="AA390" s="1063"/>
      <c r="AB390" s="1063"/>
      <c r="AC390" s="1063"/>
      <c r="AD390" s="1063"/>
      <c r="AE390" s="1063"/>
      <c r="AF390" s="1063"/>
      <c r="AG390" s="1063"/>
      <c r="AH390" s="1063"/>
      <c r="AI390" s="1063"/>
      <c r="AJ390" s="1063"/>
      <c r="AK390" s="1063"/>
      <c r="AL390" s="1063"/>
      <c r="AM390" s="1063"/>
      <c r="AN390" s="1063"/>
      <c r="AO390" s="1063"/>
      <c r="AP390" s="1063"/>
      <c r="AQ390" s="1063"/>
      <c r="AR390" s="1063"/>
      <c r="AS390" s="1063"/>
      <c r="AT390" s="1063"/>
      <c r="AU390" s="1063"/>
      <c r="AV390" s="1063"/>
      <c r="AW390" s="1063"/>
      <c r="AX390" s="1063"/>
      <c r="AY390" s="1063"/>
      <c r="AZ390" s="1063"/>
      <c r="BA390" s="1063"/>
      <c r="BB390" s="1063"/>
      <c r="BC390" s="1063"/>
      <c r="BD390" s="1063"/>
      <c r="BE390" s="1063"/>
      <c r="BF390" s="1063"/>
      <c r="BG390" s="1063"/>
      <c r="BH390" s="1063"/>
      <c r="BI390" s="1063"/>
      <c r="BJ390" s="1063"/>
      <c r="BK390" s="1063"/>
      <c r="BL390" s="1063"/>
      <c r="BM390" s="1063"/>
      <c r="BN390" s="1063"/>
      <c r="BO390" s="1063"/>
      <c r="BP390" s="1063"/>
      <c r="BQ390" s="1063"/>
      <c r="BR390" s="1063"/>
      <c r="BS390" s="1063"/>
    </row>
    <row r="391" spans="1:71" ht="12.75">
      <c r="A391" s="1063"/>
      <c r="B391" s="1070"/>
      <c r="C391" s="1070"/>
      <c r="D391" s="1063"/>
      <c r="E391" s="1063"/>
      <c r="F391" s="1063"/>
      <c r="G391" s="1063"/>
      <c r="H391" s="1063"/>
      <c r="I391" s="1063"/>
      <c r="J391" s="1063"/>
      <c r="K391" s="1063"/>
      <c r="L391" s="1063"/>
      <c r="M391" s="1063"/>
      <c r="N391" s="1063"/>
      <c r="O391" s="1063"/>
      <c r="P391" s="1063"/>
      <c r="Q391" s="1063"/>
      <c r="R391" s="1063"/>
      <c r="S391" s="1063"/>
      <c r="T391" s="1063"/>
      <c r="U391" s="1063"/>
      <c r="V391" s="1063"/>
      <c r="W391" s="1063"/>
      <c r="X391" s="1063"/>
      <c r="Y391" s="1063"/>
      <c r="Z391" s="1063"/>
      <c r="AA391" s="1063"/>
      <c r="AB391" s="1063"/>
      <c r="AC391" s="1063"/>
      <c r="AD391" s="1063"/>
      <c r="AE391" s="1063"/>
      <c r="AF391" s="1063"/>
      <c r="AG391" s="1063"/>
      <c r="AH391" s="1063"/>
      <c r="AI391" s="1063"/>
      <c r="AJ391" s="1063"/>
      <c r="AK391" s="1063"/>
      <c r="AL391" s="1063"/>
      <c r="AM391" s="1063"/>
      <c r="AN391" s="1063"/>
      <c r="AO391" s="1063"/>
      <c r="AP391" s="1063"/>
      <c r="AQ391" s="1063"/>
      <c r="AR391" s="1063"/>
      <c r="AS391" s="1063"/>
      <c r="AT391" s="1063"/>
      <c r="AU391" s="1063"/>
      <c r="AV391" s="1063"/>
      <c r="AW391" s="1063"/>
      <c r="AX391" s="1063"/>
      <c r="AY391" s="1063"/>
      <c r="AZ391" s="1063"/>
      <c r="BA391" s="1063"/>
      <c r="BB391" s="1063"/>
      <c r="BC391" s="1063"/>
      <c r="BD391" s="1063"/>
      <c r="BE391" s="1063"/>
      <c r="BF391" s="1063"/>
      <c r="BG391" s="1063"/>
      <c r="BH391" s="1063"/>
      <c r="BI391" s="1063"/>
      <c r="BJ391" s="1063"/>
      <c r="BK391" s="1063"/>
      <c r="BL391" s="1063"/>
      <c r="BM391" s="1063"/>
      <c r="BN391" s="1063"/>
      <c r="BO391" s="1063"/>
      <c r="BP391" s="1063"/>
      <c r="BQ391" s="1063"/>
      <c r="BR391" s="1063"/>
      <c r="BS391" s="1063"/>
    </row>
    <row r="392" spans="1:71" ht="12.75">
      <c r="A392" s="1063"/>
      <c r="B392" s="1070"/>
      <c r="C392" s="1070"/>
      <c r="D392" s="1063"/>
      <c r="E392" s="1063"/>
      <c r="F392" s="1063"/>
      <c r="G392" s="1063"/>
      <c r="H392" s="1063"/>
      <c r="I392" s="1063"/>
      <c r="J392" s="1063"/>
      <c r="K392" s="1063"/>
      <c r="L392" s="1063"/>
      <c r="M392" s="1063"/>
      <c r="N392" s="1063"/>
      <c r="O392" s="1063"/>
      <c r="P392" s="1063"/>
      <c r="Q392" s="1063"/>
      <c r="R392" s="1063"/>
      <c r="S392" s="1063"/>
      <c r="T392" s="1063"/>
      <c r="U392" s="1063"/>
      <c r="V392" s="1063"/>
      <c r="W392" s="1063"/>
      <c r="X392" s="1063"/>
      <c r="Y392" s="1063"/>
      <c r="Z392" s="1063"/>
      <c r="AA392" s="1063"/>
      <c r="AB392" s="1063"/>
      <c r="AC392" s="1063"/>
      <c r="AD392" s="1063"/>
      <c r="AE392" s="1063"/>
      <c r="AF392" s="1063"/>
      <c r="AG392" s="1063"/>
      <c r="AH392" s="1063"/>
      <c r="AI392" s="1063"/>
      <c r="AJ392" s="1063"/>
      <c r="AK392" s="1063"/>
      <c r="AL392" s="1063"/>
      <c r="AM392" s="1063"/>
      <c r="AN392" s="1063"/>
      <c r="AO392" s="1063"/>
      <c r="AP392" s="1063"/>
      <c r="AQ392" s="1063"/>
      <c r="AR392" s="1063"/>
      <c r="AS392" s="1063"/>
      <c r="AT392" s="1063"/>
      <c r="AU392" s="1063"/>
      <c r="AV392" s="1063"/>
      <c r="AW392" s="1063"/>
      <c r="AX392" s="1063"/>
      <c r="AY392" s="1063"/>
      <c r="AZ392" s="1063"/>
      <c r="BA392" s="1063"/>
      <c r="BB392" s="1063"/>
      <c r="BC392" s="1063"/>
      <c r="BD392" s="1063"/>
      <c r="BE392" s="1063"/>
      <c r="BF392" s="1063"/>
      <c r="BG392" s="1063"/>
      <c r="BH392" s="1063"/>
      <c r="BI392" s="1063"/>
      <c r="BJ392" s="1063"/>
      <c r="BK392" s="1063"/>
      <c r="BL392" s="1063"/>
      <c r="BM392" s="1063"/>
      <c r="BN392" s="1063"/>
      <c r="BO392" s="1063"/>
      <c r="BP392" s="1063"/>
      <c r="BQ392" s="1063"/>
      <c r="BR392" s="1063"/>
      <c r="BS392" s="1063"/>
    </row>
    <row r="393" spans="1:71" ht="12.75">
      <c r="A393" s="1063"/>
      <c r="B393" s="1070"/>
      <c r="C393" s="1070"/>
      <c r="D393" s="1063"/>
      <c r="E393" s="1063"/>
      <c r="F393" s="1063"/>
      <c r="G393" s="1063"/>
      <c r="H393" s="1063"/>
      <c r="I393" s="1063"/>
      <c r="J393" s="1063"/>
      <c r="K393" s="1063"/>
      <c r="L393" s="1063"/>
      <c r="M393" s="1063"/>
      <c r="N393" s="1063"/>
      <c r="O393" s="1063"/>
      <c r="P393" s="1063"/>
      <c r="Q393" s="1063"/>
      <c r="R393" s="1063"/>
      <c r="S393" s="1063"/>
      <c r="T393" s="1063"/>
      <c r="U393" s="1063"/>
      <c r="V393" s="1063"/>
      <c r="W393" s="1063"/>
      <c r="X393" s="1063"/>
      <c r="Y393" s="1063"/>
      <c r="Z393" s="1063"/>
      <c r="AA393" s="1063"/>
      <c r="AB393" s="1063"/>
      <c r="AC393" s="1063"/>
      <c r="AD393" s="1063"/>
      <c r="AE393" s="1063"/>
      <c r="AF393" s="1063"/>
      <c r="AG393" s="1063"/>
      <c r="AH393" s="1063"/>
      <c r="AI393" s="1063"/>
      <c r="AJ393" s="1063"/>
      <c r="AK393" s="1063"/>
      <c r="AL393" s="1063"/>
      <c r="AM393" s="1063"/>
      <c r="AN393" s="1063"/>
      <c r="AO393" s="1063"/>
      <c r="AP393" s="1063"/>
      <c r="AQ393" s="1063"/>
      <c r="AR393" s="1063"/>
      <c r="AS393" s="1063"/>
      <c r="AT393" s="1063"/>
      <c r="AU393" s="1063"/>
      <c r="AV393" s="1063"/>
      <c r="AW393" s="1063"/>
      <c r="AX393" s="1063"/>
      <c r="AY393" s="1063"/>
      <c r="AZ393" s="1063"/>
      <c r="BA393" s="1063"/>
      <c r="BB393" s="1063"/>
      <c r="BC393" s="1063"/>
      <c r="BD393" s="1063"/>
      <c r="BE393" s="1063"/>
      <c r="BF393" s="1063"/>
      <c r="BG393" s="1063"/>
      <c r="BH393" s="1063"/>
      <c r="BI393" s="1063"/>
      <c r="BJ393" s="1063"/>
      <c r="BK393" s="1063"/>
      <c r="BL393" s="1063"/>
      <c r="BM393" s="1063"/>
      <c r="BN393" s="1063"/>
      <c r="BO393" s="1063"/>
      <c r="BP393" s="1063"/>
      <c r="BQ393" s="1063"/>
      <c r="BR393" s="1063"/>
      <c r="BS393" s="1063"/>
    </row>
    <row r="394" spans="1:71" ht="12.75">
      <c r="A394" s="1063"/>
      <c r="B394" s="1070"/>
      <c r="C394" s="1070"/>
      <c r="D394" s="1063"/>
      <c r="E394" s="1063"/>
      <c r="F394" s="1063"/>
      <c r="G394" s="1063"/>
      <c r="H394" s="1063"/>
      <c r="I394" s="1063"/>
      <c r="J394" s="1063"/>
      <c r="K394" s="1063"/>
      <c r="L394" s="1063"/>
      <c r="M394" s="1063"/>
      <c r="N394" s="1063"/>
      <c r="O394" s="1063"/>
      <c r="P394" s="1063"/>
      <c r="Q394" s="1063"/>
      <c r="R394" s="1063"/>
      <c r="S394" s="1063"/>
      <c r="T394" s="1063"/>
      <c r="U394" s="1063"/>
      <c r="V394" s="1063"/>
      <c r="W394" s="1063"/>
      <c r="X394" s="1063"/>
      <c r="Y394" s="1063"/>
      <c r="Z394" s="1063"/>
      <c r="AA394" s="1063"/>
      <c r="AB394" s="1063"/>
      <c r="AC394" s="1063"/>
      <c r="AD394" s="1063"/>
      <c r="AE394" s="1063"/>
      <c r="AF394" s="1063"/>
      <c r="AG394" s="1063"/>
      <c r="AH394" s="1063"/>
      <c r="AI394" s="1063"/>
      <c r="AJ394" s="1063"/>
      <c r="AK394" s="1063"/>
      <c r="AL394" s="1063"/>
      <c r="AM394" s="1063"/>
      <c r="AN394" s="1063"/>
      <c r="AO394" s="1063"/>
      <c r="AP394" s="1063"/>
      <c r="AQ394" s="1063"/>
      <c r="AR394" s="1063"/>
      <c r="AS394" s="1063"/>
      <c r="AT394" s="1063"/>
      <c r="AU394" s="1063"/>
      <c r="AV394" s="1063"/>
      <c r="AW394" s="1063"/>
      <c r="AX394" s="1063"/>
      <c r="AY394" s="1063"/>
      <c r="AZ394" s="1063"/>
      <c r="BA394" s="1063"/>
      <c r="BB394" s="1063"/>
      <c r="BC394" s="1063"/>
      <c r="BD394" s="1063"/>
      <c r="BE394" s="1063"/>
      <c r="BF394" s="1063"/>
      <c r="BG394" s="1063"/>
      <c r="BH394" s="1063"/>
      <c r="BI394" s="1063"/>
      <c r="BJ394" s="1063"/>
      <c r="BK394" s="1063"/>
      <c r="BL394" s="1063"/>
      <c r="BM394" s="1063"/>
      <c r="BN394" s="1063"/>
      <c r="BO394" s="1063"/>
      <c r="BP394" s="1063"/>
      <c r="BQ394" s="1063"/>
      <c r="BR394" s="1063"/>
      <c r="BS394" s="1063"/>
    </row>
    <row r="395" spans="1:71" ht="12.75">
      <c r="A395" s="1063"/>
      <c r="B395" s="1070"/>
      <c r="C395" s="1070"/>
      <c r="D395" s="1063"/>
      <c r="E395" s="1063"/>
      <c r="F395" s="1063"/>
      <c r="G395" s="1063"/>
      <c r="H395" s="1063"/>
      <c r="I395" s="1063"/>
      <c r="J395" s="1063"/>
      <c r="K395" s="1063"/>
      <c r="L395" s="1063"/>
      <c r="M395" s="1063"/>
      <c r="N395" s="1063"/>
      <c r="O395" s="1063"/>
      <c r="P395" s="1063"/>
      <c r="Q395" s="1063"/>
      <c r="R395" s="1063"/>
      <c r="S395" s="1063"/>
      <c r="T395" s="1063"/>
      <c r="U395" s="1063"/>
      <c r="V395" s="1063"/>
      <c r="W395" s="1063"/>
      <c r="X395" s="1063"/>
      <c r="Y395" s="1063"/>
      <c r="Z395" s="1063"/>
      <c r="AA395" s="1063"/>
      <c r="AB395" s="1063"/>
      <c r="AC395" s="1063"/>
      <c r="AD395" s="1063"/>
      <c r="AE395" s="1063"/>
      <c r="AF395" s="1063"/>
      <c r="AG395" s="1063"/>
      <c r="AH395" s="1063"/>
      <c r="AI395" s="1063"/>
      <c r="AJ395" s="1063"/>
      <c r="AK395" s="1063"/>
      <c r="AL395" s="1063"/>
      <c r="AM395" s="1063"/>
      <c r="AN395" s="1063"/>
      <c r="AO395" s="1063"/>
      <c r="AP395" s="1063"/>
      <c r="AQ395" s="1063"/>
      <c r="AR395" s="1063"/>
      <c r="AS395" s="1063"/>
      <c r="AT395" s="1063"/>
      <c r="AU395" s="1063"/>
      <c r="AV395" s="1063"/>
      <c r="AW395" s="1063"/>
      <c r="AX395" s="1063"/>
      <c r="AY395" s="1063"/>
      <c r="AZ395" s="1063"/>
      <c r="BA395" s="1063"/>
      <c r="BB395" s="1063"/>
      <c r="BC395" s="1063"/>
      <c r="BD395" s="1063"/>
      <c r="BE395" s="1063"/>
      <c r="BF395" s="1063"/>
      <c r="BG395" s="1063"/>
      <c r="BH395" s="1063"/>
      <c r="BI395" s="1063"/>
      <c r="BJ395" s="1063"/>
      <c r="BK395" s="1063"/>
      <c r="BL395" s="1063"/>
      <c r="BM395" s="1063"/>
      <c r="BN395" s="1063"/>
      <c r="BO395" s="1063"/>
      <c r="BP395" s="1063"/>
      <c r="BQ395" s="1063"/>
      <c r="BR395" s="1063"/>
      <c r="BS395" s="1063"/>
    </row>
    <row r="396" spans="1:71" ht="12.75">
      <c r="A396" s="1063"/>
      <c r="B396" s="1070"/>
      <c r="C396" s="1070"/>
      <c r="D396" s="1063"/>
      <c r="E396" s="1063"/>
      <c r="F396" s="1063"/>
      <c r="G396" s="1063"/>
      <c r="H396" s="1063"/>
      <c r="I396" s="1063"/>
      <c r="J396" s="1063"/>
      <c r="K396" s="1063"/>
      <c r="L396" s="1063"/>
      <c r="M396" s="1063"/>
      <c r="N396" s="1063"/>
      <c r="O396" s="1063"/>
      <c r="P396" s="1063"/>
      <c r="Q396" s="1063"/>
      <c r="R396" s="1063"/>
      <c r="S396" s="1063"/>
      <c r="T396" s="1063"/>
      <c r="U396" s="1063"/>
      <c r="V396" s="1063"/>
      <c r="W396" s="1063"/>
      <c r="X396" s="1063"/>
      <c r="Y396" s="1063"/>
      <c r="Z396" s="1063"/>
      <c r="AA396" s="1063"/>
      <c r="AB396" s="1063"/>
      <c r="AC396" s="1063"/>
      <c r="AD396" s="1063"/>
      <c r="AE396" s="1063"/>
      <c r="AF396" s="1063"/>
      <c r="AG396" s="1063"/>
      <c r="AH396" s="1063"/>
      <c r="AI396" s="1063"/>
      <c r="AJ396" s="1063"/>
      <c r="AK396" s="1063"/>
      <c r="AL396" s="1063"/>
      <c r="AM396" s="1063"/>
      <c r="AN396" s="1063"/>
      <c r="AO396" s="1063"/>
      <c r="AP396" s="1063"/>
      <c r="AQ396" s="1063"/>
      <c r="AR396" s="1063"/>
      <c r="AS396" s="1063"/>
      <c r="AT396" s="1063"/>
      <c r="AU396" s="1063"/>
      <c r="AV396" s="1063"/>
      <c r="AW396" s="1063"/>
      <c r="AX396" s="1063"/>
      <c r="AY396" s="1063"/>
      <c r="AZ396" s="1063"/>
      <c r="BA396" s="1063"/>
      <c r="BB396" s="1063"/>
      <c r="BC396" s="1063"/>
      <c r="BD396" s="1063"/>
      <c r="BE396" s="1063"/>
      <c r="BF396" s="1063"/>
      <c r="BG396" s="1063"/>
      <c r="BH396" s="1063"/>
      <c r="BI396" s="1063"/>
      <c r="BJ396" s="1063"/>
      <c r="BK396" s="1063"/>
      <c r="BL396" s="1063"/>
      <c r="BM396" s="1063"/>
      <c r="BN396" s="1063"/>
      <c r="BO396" s="1063"/>
      <c r="BP396" s="1063"/>
      <c r="BQ396" s="1063"/>
      <c r="BR396" s="1063"/>
      <c r="BS396" s="1063"/>
    </row>
    <row r="397" spans="1:71" ht="12.75">
      <c r="A397" s="1063"/>
      <c r="B397" s="1070"/>
      <c r="C397" s="1070"/>
      <c r="D397" s="1063"/>
      <c r="E397" s="1063"/>
      <c r="F397" s="1063"/>
      <c r="G397" s="1063"/>
      <c r="H397" s="1063"/>
      <c r="I397" s="1063"/>
      <c r="J397" s="1063"/>
      <c r="K397" s="1063"/>
      <c r="L397" s="1063"/>
      <c r="M397" s="1063"/>
      <c r="N397" s="1063"/>
      <c r="O397" s="1063"/>
      <c r="P397" s="1063"/>
      <c r="Q397" s="1063"/>
      <c r="R397" s="1063"/>
      <c r="S397" s="1063"/>
      <c r="T397" s="1063"/>
      <c r="U397" s="1063"/>
      <c r="V397" s="1063"/>
      <c r="W397" s="1063"/>
      <c r="X397" s="1063"/>
      <c r="Y397" s="1063"/>
      <c r="Z397" s="1063"/>
      <c r="AA397" s="1063"/>
      <c r="AB397" s="1063"/>
      <c r="AC397" s="1063"/>
      <c r="AD397" s="1063"/>
      <c r="AE397" s="1063"/>
      <c r="AF397" s="1063"/>
      <c r="AG397" s="1063"/>
      <c r="AH397" s="1063"/>
      <c r="AI397" s="1063"/>
      <c r="AJ397" s="1063"/>
      <c r="AK397" s="1063"/>
      <c r="AL397" s="1063"/>
      <c r="AM397" s="1063"/>
      <c r="AN397" s="1063"/>
      <c r="AO397" s="1063"/>
      <c r="AP397" s="1063"/>
      <c r="AQ397" s="1063"/>
      <c r="AR397" s="1063"/>
      <c r="AS397" s="1063"/>
      <c r="AT397" s="1063"/>
      <c r="AU397" s="1063"/>
      <c r="AV397" s="1063"/>
      <c r="AW397" s="1063"/>
      <c r="AX397" s="1063"/>
      <c r="AY397" s="1063"/>
      <c r="AZ397" s="1063"/>
      <c r="BA397" s="1063"/>
      <c r="BB397" s="1063"/>
      <c r="BC397" s="1063"/>
      <c r="BD397" s="1063"/>
      <c r="BE397" s="1063"/>
      <c r="BF397" s="1063"/>
      <c r="BG397" s="1063"/>
      <c r="BH397" s="1063"/>
      <c r="BI397" s="1063"/>
      <c r="BJ397" s="1063"/>
      <c r="BK397" s="1063"/>
      <c r="BL397" s="1063"/>
      <c r="BM397" s="1063"/>
      <c r="BN397" s="1063"/>
      <c r="BO397" s="1063"/>
      <c r="BP397" s="1063"/>
      <c r="BQ397" s="1063"/>
      <c r="BR397" s="1063"/>
      <c r="BS397" s="1063"/>
    </row>
    <row r="398" spans="1:71" ht="12.75">
      <c r="A398" s="1063"/>
      <c r="B398" s="1070"/>
      <c r="C398" s="1070"/>
      <c r="D398" s="1063"/>
      <c r="E398" s="1063"/>
      <c r="F398" s="1063"/>
      <c r="G398" s="1063"/>
      <c r="H398" s="1063"/>
      <c r="I398" s="1063"/>
      <c r="J398" s="1063"/>
      <c r="K398" s="1063"/>
      <c r="L398" s="1063"/>
      <c r="M398" s="1063"/>
      <c r="N398" s="1063"/>
      <c r="O398" s="1063"/>
      <c r="P398" s="1063"/>
      <c r="Q398" s="1063"/>
      <c r="R398" s="1063"/>
      <c r="S398" s="1063"/>
      <c r="T398" s="1063"/>
      <c r="U398" s="1063"/>
      <c r="V398" s="1063"/>
      <c r="W398" s="1063"/>
      <c r="X398" s="1063"/>
      <c r="Y398" s="1063"/>
      <c r="Z398" s="1063"/>
      <c r="AA398" s="1063"/>
      <c r="AB398" s="1063"/>
      <c r="AC398" s="1063"/>
      <c r="AD398" s="1063"/>
      <c r="AE398" s="1063"/>
      <c r="AF398" s="1063"/>
      <c r="AG398" s="1063"/>
      <c r="AH398" s="1063"/>
      <c r="AI398" s="1063"/>
      <c r="AJ398" s="1063"/>
      <c r="AK398" s="1063"/>
      <c r="AL398" s="1063"/>
      <c r="AM398" s="1063"/>
      <c r="AN398" s="1063"/>
      <c r="AO398" s="1063"/>
      <c r="AP398" s="1063"/>
      <c r="AQ398" s="1063"/>
      <c r="AR398" s="1063"/>
      <c r="AS398" s="1063"/>
      <c r="AT398" s="1063"/>
      <c r="AU398" s="1063"/>
      <c r="AV398" s="1063"/>
      <c r="AW398" s="1063"/>
      <c r="AX398" s="1063"/>
      <c r="AY398" s="1063"/>
      <c r="AZ398" s="1063"/>
      <c r="BA398" s="1063"/>
      <c r="BB398" s="1063"/>
      <c r="BC398" s="1063"/>
      <c r="BD398" s="1063"/>
      <c r="BE398" s="1063"/>
      <c r="BF398" s="1063"/>
      <c r="BG398" s="1063"/>
      <c r="BH398" s="1063"/>
      <c r="BI398" s="1063"/>
      <c r="BJ398" s="1063"/>
      <c r="BK398" s="1063"/>
      <c r="BL398" s="1063"/>
      <c r="BM398" s="1063"/>
      <c r="BN398" s="1063"/>
      <c r="BO398" s="1063"/>
      <c r="BP398" s="1063"/>
      <c r="BQ398" s="1063"/>
      <c r="BR398" s="1063"/>
      <c r="BS398" s="1063"/>
    </row>
    <row r="399" spans="1:71" ht="12.75">
      <c r="A399" s="1063"/>
      <c r="B399" s="1070"/>
      <c r="C399" s="1070"/>
      <c r="D399" s="1063"/>
      <c r="E399" s="1063"/>
      <c r="F399" s="1063"/>
      <c r="G399" s="1063"/>
      <c r="H399" s="1063"/>
      <c r="I399" s="1063"/>
      <c r="J399" s="1063"/>
      <c r="K399" s="1063"/>
      <c r="L399" s="1063"/>
      <c r="M399" s="1063"/>
      <c r="N399" s="1063"/>
      <c r="O399" s="1063"/>
      <c r="P399" s="1063"/>
      <c r="Q399" s="1063"/>
      <c r="R399" s="1063"/>
      <c r="S399" s="1063"/>
      <c r="T399" s="1063"/>
      <c r="U399" s="1063"/>
      <c r="V399" s="1063"/>
      <c r="W399" s="1063"/>
      <c r="X399" s="1063"/>
      <c r="Y399" s="1063"/>
      <c r="Z399" s="1063"/>
      <c r="AA399" s="1063"/>
      <c r="AB399" s="1063"/>
      <c r="AC399" s="1063"/>
      <c r="AD399" s="1063"/>
      <c r="AE399" s="1063"/>
      <c r="AF399" s="1063"/>
      <c r="AG399" s="1063"/>
      <c r="AH399" s="1063"/>
      <c r="AI399" s="1063"/>
      <c r="AJ399" s="1063"/>
      <c r="AK399" s="1063"/>
      <c r="AL399" s="1063"/>
      <c r="AM399" s="1063"/>
      <c r="AN399" s="1063"/>
      <c r="AO399" s="1063"/>
      <c r="AP399" s="1063"/>
      <c r="AQ399" s="1063"/>
      <c r="AR399" s="1063"/>
      <c r="AS399" s="1063"/>
      <c r="AT399" s="1063"/>
      <c r="AU399" s="1063"/>
      <c r="AV399" s="1063"/>
      <c r="AW399" s="1063"/>
      <c r="AX399" s="1063"/>
      <c r="AY399" s="1063"/>
      <c r="AZ399" s="1063"/>
      <c r="BA399" s="1063"/>
      <c r="BB399" s="1063"/>
      <c r="BC399" s="1063"/>
      <c r="BD399" s="1063"/>
      <c r="BE399" s="1063"/>
      <c r="BF399" s="1063"/>
      <c r="BG399" s="1063"/>
      <c r="BH399" s="1063"/>
      <c r="BI399" s="1063"/>
      <c r="BJ399" s="1063"/>
      <c r="BK399" s="1063"/>
      <c r="BL399" s="1063"/>
      <c r="BM399" s="1063"/>
      <c r="BN399" s="1063"/>
      <c r="BO399" s="1063"/>
      <c r="BP399" s="1063"/>
      <c r="BQ399" s="1063"/>
      <c r="BR399" s="1063"/>
      <c r="BS399" s="1063"/>
    </row>
    <row r="400" spans="1:71" ht="12.75">
      <c r="A400" s="1063"/>
      <c r="B400" s="1070"/>
      <c r="C400" s="1070"/>
      <c r="D400" s="1063"/>
      <c r="E400" s="1063"/>
      <c r="F400" s="1063"/>
      <c r="G400" s="1063"/>
      <c r="H400" s="1063"/>
      <c r="I400" s="1063"/>
      <c r="J400" s="1063"/>
      <c r="K400" s="1063"/>
      <c r="L400" s="1063"/>
      <c r="M400" s="1063"/>
      <c r="N400" s="1063"/>
      <c r="O400" s="1063"/>
      <c r="P400" s="1063"/>
      <c r="Q400" s="1063"/>
      <c r="R400" s="1063"/>
      <c r="S400" s="1063"/>
      <c r="T400" s="1063"/>
      <c r="U400" s="1063"/>
      <c r="V400" s="1063"/>
      <c r="W400" s="1063"/>
      <c r="X400" s="1063"/>
      <c r="Y400" s="1063"/>
      <c r="Z400" s="1063"/>
      <c r="AA400" s="1063"/>
      <c r="AB400" s="1063"/>
      <c r="AC400" s="1063"/>
      <c r="AD400" s="1063"/>
      <c r="AE400" s="1063"/>
      <c r="AF400" s="1063"/>
      <c r="AG400" s="1063"/>
      <c r="AH400" s="1063"/>
      <c r="AI400" s="1063"/>
      <c r="AJ400" s="1063"/>
      <c r="AK400" s="1063"/>
      <c r="AL400" s="1063"/>
      <c r="AM400" s="1063"/>
      <c r="AN400" s="1063"/>
      <c r="AO400" s="1063"/>
      <c r="AP400" s="1063"/>
      <c r="AQ400" s="1063"/>
      <c r="AR400" s="1063"/>
      <c r="AS400" s="1063"/>
      <c r="AT400" s="1063"/>
      <c r="AU400" s="1063"/>
      <c r="AV400" s="1063"/>
      <c r="AW400" s="1063"/>
      <c r="AX400" s="1063"/>
      <c r="AY400" s="1063"/>
      <c r="AZ400" s="1063"/>
      <c r="BA400" s="1063"/>
      <c r="BB400" s="1063"/>
      <c r="BC400" s="1063"/>
      <c r="BD400" s="1063"/>
      <c r="BE400" s="1063"/>
      <c r="BF400" s="1063"/>
      <c r="BG400" s="1063"/>
      <c r="BH400" s="1063"/>
      <c r="BI400" s="1063"/>
      <c r="BJ400" s="1063"/>
      <c r="BK400" s="1063"/>
      <c r="BL400" s="1063"/>
      <c r="BM400" s="1063"/>
      <c r="BN400" s="1063"/>
      <c r="BO400" s="1063"/>
      <c r="BP400" s="1063"/>
      <c r="BQ400" s="1063"/>
      <c r="BR400" s="1063"/>
      <c r="BS400" s="1063"/>
    </row>
    <row r="401" spans="1:71" ht="12.75">
      <c r="A401" s="1063"/>
      <c r="B401" s="1070"/>
      <c r="C401" s="1070"/>
      <c r="D401" s="1063"/>
      <c r="E401" s="1063"/>
      <c r="F401" s="1063"/>
      <c r="G401" s="1063"/>
      <c r="H401" s="1063"/>
      <c r="I401" s="1063"/>
      <c r="J401" s="1063"/>
      <c r="K401" s="1063"/>
      <c r="L401" s="1063"/>
      <c r="M401" s="1063"/>
      <c r="N401" s="1063"/>
      <c r="O401" s="1063"/>
      <c r="P401" s="1063"/>
      <c r="Q401" s="1063"/>
      <c r="R401" s="1063"/>
      <c r="S401" s="1063"/>
      <c r="T401" s="1063"/>
      <c r="U401" s="1063"/>
      <c r="V401" s="1063"/>
      <c r="W401" s="1063"/>
      <c r="X401" s="1063"/>
      <c r="Y401" s="1063"/>
      <c r="Z401" s="1063"/>
      <c r="AA401" s="1063"/>
      <c r="AB401" s="1063"/>
      <c r="AC401" s="1063"/>
      <c r="AD401" s="1063"/>
      <c r="AE401" s="1063"/>
      <c r="AF401" s="1063"/>
      <c r="AG401" s="1063"/>
      <c r="AH401" s="1063"/>
      <c r="AI401" s="1063"/>
      <c r="AJ401" s="1063"/>
      <c r="AK401" s="1063"/>
      <c r="AL401" s="1063"/>
      <c r="AM401" s="1063"/>
      <c r="AN401" s="1063"/>
      <c r="AO401" s="1063"/>
      <c r="AP401" s="1063"/>
      <c r="AQ401" s="1063"/>
      <c r="AR401" s="1063"/>
      <c r="AS401" s="1063"/>
      <c r="AT401" s="1063"/>
      <c r="AU401" s="1063"/>
      <c r="AV401" s="1063"/>
      <c r="AW401" s="1063"/>
      <c r="AX401" s="1063"/>
      <c r="AY401" s="1063"/>
      <c r="AZ401" s="1063"/>
      <c r="BA401" s="1063"/>
      <c r="BB401" s="1063"/>
      <c r="BC401" s="1063"/>
      <c r="BD401" s="1063"/>
      <c r="BE401" s="1063"/>
      <c r="BF401" s="1063"/>
      <c r="BG401" s="1063"/>
      <c r="BH401" s="1063"/>
      <c r="BI401" s="1063"/>
      <c r="BJ401" s="1063"/>
      <c r="BK401" s="1063"/>
      <c r="BL401" s="1063"/>
      <c r="BM401" s="1063"/>
      <c r="BN401" s="1063"/>
      <c r="BO401" s="1063"/>
      <c r="BP401" s="1063"/>
      <c r="BQ401" s="1063"/>
      <c r="BR401" s="1063"/>
      <c r="BS401" s="1063"/>
    </row>
    <row r="402" spans="1:71" ht="12.75">
      <c r="A402" s="1063"/>
      <c r="B402" s="1070"/>
      <c r="C402" s="1070"/>
      <c r="D402" s="1063"/>
      <c r="E402" s="1063"/>
      <c r="F402" s="1063"/>
      <c r="G402" s="1063"/>
      <c r="H402" s="1063"/>
      <c r="I402" s="1063"/>
      <c r="J402" s="1063"/>
      <c r="K402" s="1063"/>
      <c r="L402" s="1063"/>
      <c r="M402" s="1063"/>
      <c r="N402" s="1063"/>
      <c r="O402" s="1063"/>
      <c r="P402" s="1063"/>
      <c r="Q402" s="1063"/>
      <c r="R402" s="1063"/>
      <c r="S402" s="1063"/>
      <c r="T402" s="1063"/>
      <c r="U402" s="1063"/>
      <c r="V402" s="1063"/>
      <c r="W402" s="1063"/>
      <c r="X402" s="1063"/>
      <c r="Y402" s="1063"/>
      <c r="Z402" s="1063"/>
      <c r="AA402" s="1063"/>
      <c r="AB402" s="1063"/>
      <c r="AC402" s="1063"/>
      <c r="AD402" s="1063"/>
      <c r="AE402" s="1063"/>
      <c r="AF402" s="1063"/>
      <c r="AG402" s="1063"/>
      <c r="AH402" s="1063"/>
      <c r="AI402" s="1063"/>
      <c r="AJ402" s="1063"/>
      <c r="AK402" s="1063"/>
      <c r="AL402" s="1063"/>
      <c r="AM402" s="1063"/>
      <c r="AN402" s="1063"/>
      <c r="AO402" s="1063"/>
      <c r="AP402" s="1063"/>
      <c r="AQ402" s="1063"/>
      <c r="AR402" s="1063"/>
      <c r="AS402" s="1063"/>
      <c r="AT402" s="1063"/>
      <c r="AU402" s="1063"/>
      <c r="AV402" s="1063"/>
      <c r="AW402" s="1063"/>
      <c r="AX402" s="1063"/>
      <c r="AY402" s="1063"/>
      <c r="AZ402" s="1063"/>
      <c r="BA402" s="1063"/>
      <c r="BB402" s="1063"/>
      <c r="BC402" s="1063"/>
      <c r="BD402" s="1063"/>
      <c r="BE402" s="1063"/>
      <c r="BF402" s="1063"/>
      <c r="BG402" s="1063"/>
      <c r="BH402" s="1063"/>
      <c r="BI402" s="1063"/>
      <c r="BJ402" s="1063"/>
      <c r="BK402" s="1063"/>
      <c r="BL402" s="1063"/>
      <c r="BM402" s="1063"/>
      <c r="BN402" s="1063"/>
      <c r="BO402" s="1063"/>
      <c r="BP402" s="1063"/>
      <c r="BQ402" s="1063"/>
      <c r="BR402" s="1063"/>
      <c r="BS402" s="1063"/>
    </row>
    <row r="403" spans="1:71" ht="12.75">
      <c r="A403" s="1063"/>
      <c r="B403" s="1070"/>
      <c r="C403" s="1070"/>
      <c r="D403" s="1063"/>
      <c r="E403" s="1063"/>
      <c r="F403" s="1063"/>
      <c r="G403" s="1063"/>
      <c r="H403" s="1063"/>
      <c r="I403" s="1063"/>
      <c r="J403" s="1063"/>
      <c r="K403" s="1063"/>
      <c r="L403" s="1063"/>
      <c r="M403" s="1063"/>
      <c r="N403" s="1063"/>
      <c r="O403" s="1063"/>
      <c r="P403" s="1063"/>
      <c r="Q403" s="1063"/>
      <c r="R403" s="1063"/>
      <c r="S403" s="1063"/>
      <c r="T403" s="1063"/>
      <c r="U403" s="1063"/>
      <c r="V403" s="1063"/>
      <c r="W403" s="1063"/>
      <c r="X403" s="1063"/>
      <c r="Y403" s="1063"/>
      <c r="Z403" s="1063"/>
      <c r="AA403" s="1063"/>
      <c r="AB403" s="1063"/>
      <c r="AC403" s="1063"/>
      <c r="AD403" s="1063"/>
      <c r="AE403" s="1063"/>
      <c r="AF403" s="1063"/>
      <c r="AG403" s="1063"/>
      <c r="AH403" s="1063"/>
      <c r="AI403" s="1063"/>
      <c r="AJ403" s="1063"/>
      <c r="AK403" s="1063"/>
      <c r="AL403" s="1063"/>
      <c r="AM403" s="1063"/>
      <c r="AN403" s="1063"/>
      <c r="AO403" s="1063"/>
      <c r="AP403" s="1063"/>
      <c r="AQ403" s="1063"/>
      <c r="AR403" s="1063"/>
      <c r="AS403" s="1063"/>
      <c r="AT403" s="1063"/>
      <c r="AU403" s="1063"/>
      <c r="AV403" s="1063"/>
      <c r="AW403" s="1063"/>
      <c r="AX403" s="1063"/>
      <c r="AY403" s="1063"/>
      <c r="AZ403" s="1063"/>
      <c r="BA403" s="1063"/>
      <c r="BB403" s="1063"/>
      <c r="BC403" s="1063"/>
      <c r="BD403" s="1063"/>
      <c r="BE403" s="1063"/>
      <c r="BF403" s="1063"/>
      <c r="BG403" s="1063"/>
      <c r="BH403" s="1063"/>
      <c r="BI403" s="1063"/>
      <c r="BJ403" s="1063"/>
      <c r="BK403" s="1063"/>
      <c r="BL403" s="1063"/>
      <c r="BM403" s="1063"/>
      <c r="BN403" s="1063"/>
      <c r="BO403" s="1063"/>
      <c r="BP403" s="1063"/>
      <c r="BQ403" s="1063"/>
      <c r="BR403" s="1063"/>
      <c r="BS403" s="1063"/>
    </row>
    <row r="404" spans="1:71" ht="12.75">
      <c r="A404" s="1063"/>
      <c r="B404" s="1070"/>
      <c r="C404" s="1070"/>
      <c r="D404" s="1063"/>
      <c r="E404" s="1063"/>
      <c r="F404" s="1063"/>
      <c r="G404" s="1063"/>
      <c r="H404" s="1063"/>
      <c r="I404" s="1063"/>
      <c r="J404" s="1063"/>
      <c r="K404" s="1063"/>
      <c r="L404" s="1063"/>
      <c r="M404" s="1063"/>
      <c r="N404" s="1063"/>
      <c r="O404" s="1063"/>
      <c r="P404" s="1063"/>
      <c r="Q404" s="1063"/>
      <c r="R404" s="1063"/>
      <c r="S404" s="1063"/>
      <c r="T404" s="1063"/>
      <c r="U404" s="1063"/>
      <c r="V404" s="1063"/>
      <c r="W404" s="1063"/>
      <c r="X404" s="1063"/>
      <c r="Y404" s="1063"/>
      <c r="Z404" s="1063"/>
      <c r="AA404" s="1063"/>
      <c r="AB404" s="1063"/>
      <c r="AC404" s="1063"/>
      <c r="AD404" s="1063"/>
      <c r="AE404" s="1063"/>
      <c r="AF404" s="1063"/>
      <c r="AG404" s="1063"/>
      <c r="AH404" s="1063"/>
      <c r="AI404" s="1063"/>
      <c r="AJ404" s="1063"/>
      <c r="AK404" s="1063"/>
      <c r="AL404" s="1063"/>
      <c r="AM404" s="1063"/>
      <c r="AN404" s="1063"/>
      <c r="AO404" s="1063"/>
      <c r="AP404" s="1063"/>
      <c r="AQ404" s="1063"/>
      <c r="AR404" s="1063"/>
      <c r="AS404" s="1063"/>
      <c r="AT404" s="1063"/>
      <c r="AU404" s="1063"/>
      <c r="AV404" s="1063"/>
      <c r="AW404" s="1063"/>
      <c r="AX404" s="1063"/>
      <c r="AY404" s="1063"/>
      <c r="AZ404" s="1063"/>
      <c r="BA404" s="1063"/>
      <c r="BB404" s="1063"/>
      <c r="BC404" s="1063"/>
      <c r="BD404" s="1063"/>
      <c r="BE404" s="1063"/>
      <c r="BF404" s="1063"/>
      <c r="BG404" s="1063"/>
      <c r="BH404" s="1063"/>
      <c r="BI404" s="1063"/>
      <c r="BJ404" s="1063"/>
      <c r="BK404" s="1063"/>
      <c r="BL404" s="1063"/>
      <c r="BM404" s="1063"/>
      <c r="BN404" s="1063"/>
      <c r="BO404" s="1063"/>
      <c r="BP404" s="1063"/>
      <c r="BQ404" s="1063"/>
      <c r="BR404" s="1063"/>
      <c r="BS404" s="1063"/>
    </row>
    <row r="405" spans="1:71" ht="12.75">
      <c r="A405" s="1063"/>
      <c r="B405" s="1070"/>
      <c r="C405" s="1070"/>
      <c r="D405" s="1063"/>
      <c r="E405" s="1063"/>
      <c r="F405" s="1063"/>
      <c r="G405" s="1063"/>
      <c r="H405" s="1063"/>
      <c r="I405" s="1063"/>
      <c r="J405" s="1063"/>
      <c r="K405" s="1063"/>
      <c r="L405" s="1063"/>
      <c r="M405" s="1063"/>
      <c r="N405" s="1063"/>
      <c r="O405" s="1063"/>
      <c r="P405" s="1063"/>
      <c r="Q405" s="1063"/>
      <c r="R405" s="1063"/>
      <c r="S405" s="1063"/>
      <c r="T405" s="1063"/>
      <c r="U405" s="1063"/>
      <c r="V405" s="1063"/>
      <c r="W405" s="1063"/>
      <c r="X405" s="1063"/>
      <c r="Y405" s="1063"/>
      <c r="Z405" s="1063"/>
      <c r="AA405" s="1063"/>
      <c r="AB405" s="1063"/>
      <c r="AC405" s="1063"/>
      <c r="AD405" s="1063"/>
      <c r="AE405" s="1063"/>
      <c r="AF405" s="1063"/>
      <c r="AG405" s="1063"/>
      <c r="AH405" s="1063"/>
      <c r="AI405" s="1063"/>
      <c r="AJ405" s="1063"/>
      <c r="AK405" s="1063"/>
      <c r="AL405" s="1063"/>
      <c r="AM405" s="1063"/>
      <c r="AN405" s="1063"/>
      <c r="AO405" s="1063"/>
      <c r="AP405" s="1063"/>
      <c r="AQ405" s="1063"/>
      <c r="AR405" s="1063"/>
      <c r="AS405" s="1063"/>
      <c r="AT405" s="1063"/>
      <c r="AU405" s="1063"/>
      <c r="AV405" s="1063"/>
      <c r="AW405" s="1063"/>
      <c r="AX405" s="1063"/>
      <c r="AY405" s="1063"/>
      <c r="AZ405" s="1063"/>
      <c r="BA405" s="1063"/>
      <c r="BB405" s="1063"/>
      <c r="BC405" s="1063"/>
      <c r="BD405" s="1063"/>
      <c r="BE405" s="1063"/>
      <c r="BF405" s="1063"/>
      <c r="BG405" s="1063"/>
      <c r="BH405" s="1063"/>
      <c r="BI405" s="1063"/>
      <c r="BJ405" s="1063"/>
      <c r="BK405" s="1063"/>
      <c r="BL405" s="1063"/>
      <c r="BM405" s="1063"/>
      <c r="BN405" s="1063"/>
      <c r="BO405" s="1063"/>
      <c r="BP405" s="1063"/>
      <c r="BQ405" s="1063"/>
      <c r="BR405" s="1063"/>
      <c r="BS405" s="1063"/>
    </row>
    <row r="406" spans="1:71" ht="12.75">
      <c r="A406" s="1063"/>
      <c r="B406" s="1070"/>
      <c r="C406" s="1070"/>
      <c r="D406" s="1063"/>
      <c r="E406" s="1063"/>
      <c r="F406" s="1063"/>
      <c r="G406" s="1063"/>
      <c r="H406" s="1063"/>
      <c r="I406" s="1063"/>
      <c r="J406" s="1063"/>
      <c r="K406" s="1063"/>
      <c r="L406" s="1063"/>
      <c r="M406" s="1063"/>
      <c r="N406" s="1063"/>
      <c r="O406" s="1063"/>
      <c r="P406" s="1063"/>
      <c r="Q406" s="1063"/>
      <c r="R406" s="1063"/>
      <c r="S406" s="1063"/>
      <c r="T406" s="1063"/>
      <c r="U406" s="1063"/>
      <c r="V406" s="1063"/>
      <c r="W406" s="1063"/>
      <c r="X406" s="1063"/>
      <c r="Y406" s="1063"/>
      <c r="Z406" s="1063"/>
      <c r="AA406" s="1063"/>
      <c r="AB406" s="1063"/>
      <c r="AC406" s="1063"/>
      <c r="AD406" s="1063"/>
      <c r="AE406" s="1063"/>
      <c r="AF406" s="1063"/>
      <c r="AG406" s="1063"/>
      <c r="AH406" s="1063"/>
      <c r="AI406" s="1063"/>
      <c r="AJ406" s="1063"/>
      <c r="AK406" s="1063"/>
      <c r="AL406" s="1063"/>
      <c r="AM406" s="1063"/>
      <c r="AN406" s="1063"/>
      <c r="AO406" s="1063"/>
      <c r="AP406" s="1063"/>
      <c r="AQ406" s="1063"/>
      <c r="AR406" s="1063"/>
      <c r="AS406" s="1063"/>
      <c r="AT406" s="1063"/>
      <c r="AU406" s="1063"/>
      <c r="AV406" s="1063"/>
      <c r="AW406" s="1063"/>
      <c r="AX406" s="1063"/>
      <c r="AY406" s="1063"/>
      <c r="AZ406" s="1063"/>
      <c r="BA406" s="1063"/>
      <c r="BB406" s="1063"/>
      <c r="BC406" s="1063"/>
      <c r="BD406" s="1063"/>
      <c r="BE406" s="1063"/>
      <c r="BF406" s="1063"/>
      <c r="BG406" s="1063"/>
      <c r="BH406" s="1063"/>
      <c r="BI406" s="1063"/>
      <c r="BJ406" s="1063"/>
      <c r="BK406" s="1063"/>
      <c r="BL406" s="1063"/>
      <c r="BM406" s="1063"/>
      <c r="BN406" s="1063"/>
      <c r="BO406" s="1063"/>
      <c r="BP406" s="1063"/>
      <c r="BQ406" s="1063"/>
      <c r="BR406" s="1063"/>
      <c r="BS406" s="1063"/>
    </row>
    <row r="407" spans="1:71" ht="12.75">
      <c r="A407" s="1063"/>
      <c r="B407" s="1070"/>
      <c r="C407" s="1070"/>
      <c r="D407" s="1063"/>
      <c r="E407" s="1063"/>
      <c r="F407" s="1063"/>
      <c r="G407" s="1063"/>
      <c r="H407" s="1063"/>
      <c r="I407" s="1063"/>
      <c r="J407" s="1063"/>
      <c r="K407" s="1063"/>
      <c r="L407" s="1063"/>
      <c r="M407" s="1063"/>
      <c r="N407" s="1063"/>
      <c r="O407" s="1063"/>
      <c r="P407" s="1063"/>
      <c r="Q407" s="1063"/>
      <c r="R407" s="1063"/>
      <c r="S407" s="1063"/>
      <c r="T407" s="1063"/>
      <c r="U407" s="1063"/>
      <c r="V407" s="1063"/>
      <c r="W407" s="1063"/>
      <c r="X407" s="1063"/>
      <c r="Y407" s="1063"/>
      <c r="Z407" s="1063"/>
      <c r="AA407" s="1063"/>
      <c r="AB407" s="1063"/>
      <c r="AC407" s="1063"/>
      <c r="AD407" s="1063"/>
      <c r="AE407" s="1063"/>
      <c r="AF407" s="1063"/>
      <c r="AG407" s="1063"/>
      <c r="AH407" s="1063"/>
      <c r="AI407" s="1063"/>
      <c r="AJ407" s="1063"/>
      <c r="AK407" s="1063"/>
      <c r="AL407" s="1063"/>
      <c r="AM407" s="1063"/>
      <c r="AN407" s="1063"/>
      <c r="AO407" s="1063"/>
      <c r="AP407" s="1063"/>
      <c r="AQ407" s="1063"/>
      <c r="AR407" s="1063"/>
      <c r="AS407" s="1063"/>
      <c r="AT407" s="1063"/>
      <c r="AU407" s="1063"/>
      <c r="AV407" s="1063"/>
      <c r="AW407" s="1063"/>
      <c r="AX407" s="1063"/>
      <c r="AY407" s="1063"/>
      <c r="AZ407" s="1063"/>
      <c r="BA407" s="1063"/>
      <c r="BB407" s="1063"/>
      <c r="BC407" s="1063"/>
      <c r="BD407" s="1063"/>
      <c r="BE407" s="1063"/>
      <c r="BF407" s="1063"/>
      <c r="BG407" s="1063"/>
      <c r="BH407" s="1063"/>
      <c r="BI407" s="1063"/>
      <c r="BJ407" s="1063"/>
      <c r="BK407" s="1063"/>
      <c r="BL407" s="1063"/>
      <c r="BM407" s="1063"/>
      <c r="BN407" s="1063"/>
      <c r="BO407" s="1063"/>
      <c r="BP407" s="1063"/>
      <c r="BQ407" s="1063"/>
      <c r="BR407" s="1063"/>
      <c r="BS407" s="1063"/>
    </row>
    <row r="408" spans="1:71" ht="12.75">
      <c r="A408" s="1063"/>
      <c r="B408" s="1070"/>
      <c r="C408" s="1070"/>
      <c r="D408" s="1063"/>
      <c r="E408" s="1063"/>
      <c r="F408" s="1063"/>
      <c r="G408" s="1063"/>
      <c r="H408" s="1063"/>
      <c r="I408" s="1063"/>
      <c r="J408" s="1063"/>
      <c r="K408" s="1063"/>
      <c r="L408" s="1063"/>
      <c r="M408" s="1063"/>
      <c r="N408" s="1063"/>
      <c r="O408" s="1063"/>
      <c r="P408" s="1063"/>
      <c r="Q408" s="1063"/>
      <c r="R408" s="1063"/>
      <c r="S408" s="1063"/>
      <c r="T408" s="1063"/>
      <c r="U408" s="1063"/>
      <c r="V408" s="1063"/>
      <c r="W408" s="1063"/>
      <c r="X408" s="1063"/>
      <c r="Y408" s="1063"/>
      <c r="Z408" s="1063"/>
      <c r="AA408" s="1063"/>
      <c r="AB408" s="1063"/>
      <c r="AC408" s="1063"/>
      <c r="AD408" s="1063"/>
      <c r="AE408" s="1063"/>
      <c r="AF408" s="1063"/>
      <c r="AG408" s="1063"/>
      <c r="AH408" s="1063"/>
      <c r="AI408" s="1063"/>
      <c r="AJ408" s="1063"/>
      <c r="AK408" s="1063"/>
      <c r="AL408" s="1063"/>
      <c r="AM408" s="1063"/>
      <c r="AN408" s="1063"/>
      <c r="AO408" s="1063"/>
      <c r="AP408" s="1063"/>
      <c r="AQ408" s="1063"/>
      <c r="AR408" s="1063"/>
      <c r="AS408" s="1063"/>
      <c r="AT408" s="1063"/>
      <c r="AU408" s="1063"/>
      <c r="AV408" s="1063"/>
      <c r="AW408" s="1063"/>
      <c r="AX408" s="1063"/>
      <c r="AY408" s="1063"/>
      <c r="AZ408" s="1063"/>
      <c r="BA408" s="1063"/>
      <c r="BB408" s="1063"/>
      <c r="BC408" s="1063"/>
      <c r="BD408" s="1063"/>
      <c r="BE408" s="1063"/>
      <c r="BF408" s="1063"/>
      <c r="BG408" s="1063"/>
      <c r="BH408" s="1063"/>
      <c r="BI408" s="1063"/>
      <c r="BJ408" s="1063"/>
      <c r="BK408" s="1063"/>
      <c r="BL408" s="1063"/>
      <c r="BM408" s="1063"/>
      <c r="BN408" s="1063"/>
      <c r="BO408" s="1063"/>
      <c r="BP408" s="1063"/>
      <c r="BQ408" s="1063"/>
      <c r="BR408" s="1063"/>
      <c r="BS408" s="1063"/>
    </row>
    <row r="409" spans="1:71" ht="12.75">
      <c r="A409" s="1063"/>
      <c r="B409" s="1070"/>
      <c r="C409" s="1070"/>
      <c r="D409" s="1063"/>
      <c r="E409" s="1063"/>
      <c r="F409" s="1063"/>
      <c r="G409" s="1063"/>
      <c r="H409" s="1063"/>
      <c r="I409" s="1063"/>
      <c r="J409" s="1063"/>
      <c r="K409" s="1063"/>
      <c r="L409" s="1063"/>
      <c r="M409" s="1063"/>
      <c r="N409" s="1063"/>
      <c r="O409" s="1063"/>
      <c r="P409" s="1063"/>
      <c r="Q409" s="1063"/>
      <c r="R409" s="1063"/>
      <c r="S409" s="1063"/>
      <c r="T409" s="1063"/>
      <c r="U409" s="1063"/>
      <c r="V409" s="1063"/>
      <c r="W409" s="1063"/>
      <c r="X409" s="1063"/>
      <c r="Y409" s="1063"/>
      <c r="Z409" s="1063"/>
      <c r="AA409" s="1063"/>
      <c r="AB409" s="1063"/>
      <c r="AC409" s="1063"/>
      <c r="AD409" s="1063"/>
      <c r="AE409" s="1063"/>
      <c r="AF409" s="1063"/>
      <c r="AG409" s="1063"/>
      <c r="AH409" s="1063"/>
      <c r="AI409" s="1063"/>
      <c r="AJ409" s="1063"/>
      <c r="AK409" s="1063"/>
      <c r="AL409" s="1063"/>
      <c r="AM409" s="1063"/>
      <c r="AN409" s="1063"/>
      <c r="AO409" s="1063"/>
      <c r="AP409" s="1063"/>
      <c r="AQ409" s="1063"/>
      <c r="AR409" s="1063"/>
      <c r="AS409" s="1063"/>
      <c r="AT409" s="1063"/>
      <c r="AU409" s="1063"/>
      <c r="AV409" s="1063"/>
      <c r="AW409" s="1063"/>
      <c r="AX409" s="1063"/>
      <c r="AY409" s="1063"/>
      <c r="AZ409" s="1063"/>
      <c r="BA409" s="1063"/>
      <c r="BB409" s="1063"/>
      <c r="BC409" s="1063"/>
      <c r="BD409" s="1063"/>
      <c r="BE409" s="1063"/>
      <c r="BF409" s="1063"/>
      <c r="BG409" s="1063"/>
      <c r="BH409" s="1063"/>
      <c r="BI409" s="1063"/>
      <c r="BJ409" s="1063"/>
      <c r="BK409" s="1063"/>
      <c r="BL409" s="1063"/>
      <c r="BM409" s="1063"/>
      <c r="BN409" s="1063"/>
      <c r="BO409" s="1063"/>
      <c r="BP409" s="1063"/>
      <c r="BQ409" s="1063"/>
      <c r="BR409" s="1063"/>
      <c r="BS409" s="1063"/>
    </row>
    <row r="410" spans="1:71" ht="12.75">
      <c r="A410" s="1063"/>
      <c r="B410" s="1070"/>
      <c r="C410" s="1070"/>
      <c r="D410" s="1063"/>
      <c r="E410" s="1063"/>
      <c r="F410" s="1063"/>
      <c r="G410" s="1063"/>
      <c r="H410" s="1063"/>
      <c r="I410" s="1063"/>
      <c r="J410" s="1063"/>
      <c r="K410" s="1063"/>
      <c r="L410" s="1063"/>
      <c r="M410" s="1063"/>
      <c r="N410" s="1063"/>
      <c r="O410" s="1063"/>
      <c r="P410" s="1063"/>
      <c r="Q410" s="1063"/>
      <c r="R410" s="1063"/>
      <c r="S410" s="1063"/>
      <c r="T410" s="1063"/>
      <c r="U410" s="1063"/>
      <c r="V410" s="1063"/>
      <c r="W410" s="1063"/>
      <c r="X410" s="1063"/>
      <c r="Y410" s="1063"/>
      <c r="Z410" s="1063"/>
      <c r="AA410" s="1063"/>
      <c r="AB410" s="1063"/>
      <c r="AC410" s="1063"/>
      <c r="AD410" s="1063"/>
      <c r="AE410" s="1063"/>
      <c r="AF410" s="1063"/>
      <c r="AG410" s="1063"/>
      <c r="AH410" s="1063"/>
      <c r="AI410" s="1063"/>
      <c r="AJ410" s="1063"/>
      <c r="AK410" s="1063"/>
      <c r="AL410" s="1063"/>
      <c r="AM410" s="1063"/>
      <c r="AN410" s="1063"/>
      <c r="AO410" s="1063"/>
      <c r="AP410" s="1063"/>
      <c r="AQ410" s="1063"/>
      <c r="AR410" s="1063"/>
      <c r="AS410" s="1063"/>
      <c r="AT410" s="1063"/>
      <c r="AU410" s="1063"/>
      <c r="AV410" s="1063"/>
      <c r="AW410" s="1063"/>
      <c r="AX410" s="1063"/>
      <c r="AY410" s="1063"/>
      <c r="AZ410" s="1063"/>
      <c r="BA410" s="1063"/>
      <c r="BB410" s="1063"/>
      <c r="BC410" s="1063"/>
      <c r="BD410" s="1063"/>
      <c r="BE410" s="1063"/>
      <c r="BF410" s="1063"/>
      <c r="BG410" s="1063"/>
      <c r="BH410" s="1063"/>
      <c r="BI410" s="1063"/>
      <c r="BJ410" s="1063"/>
      <c r="BK410" s="1063"/>
      <c r="BL410" s="1063"/>
      <c r="BM410" s="1063"/>
      <c r="BN410" s="1063"/>
      <c r="BO410" s="1063"/>
      <c r="BP410" s="1063"/>
      <c r="BQ410" s="1063"/>
      <c r="BR410" s="1063"/>
      <c r="BS410" s="1063"/>
    </row>
    <row r="411" spans="1:71" ht="12.75">
      <c r="A411" s="1063"/>
      <c r="B411" s="1070"/>
      <c r="C411" s="1070"/>
      <c r="D411" s="1063"/>
      <c r="E411" s="1063"/>
      <c r="F411" s="1063"/>
      <c r="G411" s="1063"/>
      <c r="H411" s="1063"/>
      <c r="I411" s="1063"/>
      <c r="J411" s="1063"/>
      <c r="K411" s="1063"/>
      <c r="L411" s="1063"/>
      <c r="M411" s="1063"/>
      <c r="N411" s="1063"/>
      <c r="O411" s="1063"/>
      <c r="P411" s="1063"/>
      <c r="Q411" s="1063"/>
      <c r="R411" s="1063"/>
      <c r="S411" s="1063"/>
      <c r="T411" s="1063"/>
      <c r="U411" s="1063"/>
      <c r="V411" s="1063"/>
      <c r="W411" s="1063"/>
      <c r="X411" s="1063"/>
      <c r="Y411" s="1063"/>
      <c r="Z411" s="1063"/>
      <c r="AA411" s="1063"/>
      <c r="AB411" s="1063"/>
      <c r="AC411" s="1063"/>
      <c r="AD411" s="1063"/>
      <c r="AE411" s="1063"/>
      <c r="AF411" s="1063"/>
      <c r="AG411" s="1063"/>
      <c r="AH411" s="1063"/>
      <c r="AI411" s="1063"/>
      <c r="AJ411" s="1063"/>
      <c r="AK411" s="1063"/>
      <c r="AL411" s="1063"/>
      <c r="AM411" s="1063"/>
      <c r="AN411" s="1063"/>
      <c r="AO411" s="1063"/>
      <c r="AP411" s="1063"/>
      <c r="AQ411" s="1063"/>
      <c r="AR411" s="1063"/>
      <c r="AS411" s="1063"/>
      <c r="AT411" s="1063"/>
      <c r="AU411" s="1063"/>
      <c r="AV411" s="1063"/>
      <c r="AW411" s="1063"/>
      <c r="AX411" s="1063"/>
      <c r="AY411" s="1063"/>
      <c r="AZ411" s="1063"/>
      <c r="BA411" s="1063"/>
      <c r="BB411" s="1063"/>
      <c r="BC411" s="1063"/>
      <c r="BD411" s="1063"/>
      <c r="BE411" s="1063"/>
      <c r="BF411" s="1063"/>
      <c r="BG411" s="1063"/>
      <c r="BH411" s="1063"/>
      <c r="BI411" s="1063"/>
      <c r="BJ411" s="1063"/>
      <c r="BK411" s="1063"/>
      <c r="BL411" s="1063"/>
      <c r="BM411" s="1063"/>
      <c r="BN411" s="1063"/>
      <c r="BO411" s="1063"/>
      <c r="BP411" s="1063"/>
      <c r="BQ411" s="1063"/>
      <c r="BR411" s="1063"/>
      <c r="BS411" s="1063"/>
    </row>
    <row r="412" spans="1:71" ht="12.75">
      <c r="A412" s="1063"/>
      <c r="B412" s="1070"/>
      <c r="C412" s="1070"/>
      <c r="D412" s="1063"/>
      <c r="E412" s="1063"/>
      <c r="F412" s="1063"/>
      <c r="G412" s="1063"/>
      <c r="H412" s="1063"/>
      <c r="I412" s="1063"/>
      <c r="J412" s="1063"/>
      <c r="K412" s="1063"/>
      <c r="L412" s="1063"/>
      <c r="M412" s="1063"/>
      <c r="N412" s="1063"/>
      <c r="O412" s="1063"/>
      <c r="P412" s="1063"/>
      <c r="Q412" s="1063"/>
      <c r="R412" s="1063"/>
      <c r="S412" s="1063"/>
      <c r="T412" s="1063"/>
      <c r="U412" s="1063"/>
      <c r="V412" s="1063"/>
      <c r="W412" s="1063"/>
      <c r="X412" s="1063"/>
      <c r="Y412" s="1063"/>
      <c r="Z412" s="1063"/>
      <c r="AA412" s="1063"/>
      <c r="AB412" s="1063"/>
      <c r="AC412" s="1063"/>
      <c r="AD412" s="1063"/>
      <c r="AE412" s="1063"/>
      <c r="AF412" s="1063"/>
      <c r="AG412" s="1063"/>
      <c r="AH412" s="1063"/>
      <c r="AI412" s="1063"/>
      <c r="AJ412" s="1063"/>
      <c r="AK412" s="1063"/>
      <c r="AL412" s="1063"/>
      <c r="AM412" s="1063"/>
      <c r="AN412" s="1063"/>
      <c r="AO412" s="1063"/>
      <c r="AP412" s="1063"/>
      <c r="AQ412" s="1063"/>
      <c r="AR412" s="1063"/>
      <c r="AS412" s="1063"/>
      <c r="AT412" s="1063"/>
      <c r="AU412" s="1063"/>
      <c r="AV412" s="1063"/>
      <c r="AW412" s="1063"/>
      <c r="AX412" s="1063"/>
      <c r="AY412" s="1063"/>
      <c r="AZ412" s="1063"/>
      <c r="BA412" s="1063"/>
      <c r="BB412" s="1063"/>
      <c r="BC412" s="1063"/>
      <c r="BD412" s="1063"/>
      <c r="BE412" s="1063"/>
      <c r="BF412" s="1063"/>
      <c r="BG412" s="1063"/>
      <c r="BH412" s="1063"/>
      <c r="BI412" s="1063"/>
      <c r="BJ412" s="1063"/>
      <c r="BK412" s="1063"/>
      <c r="BL412" s="1063"/>
      <c r="BM412" s="1063"/>
      <c r="BN412" s="1063"/>
      <c r="BO412" s="1063"/>
      <c r="BP412" s="1063"/>
      <c r="BQ412" s="1063"/>
      <c r="BR412" s="1063"/>
      <c r="BS412" s="1063"/>
    </row>
    <row r="413" spans="1:71" ht="12.75">
      <c r="A413" s="1063"/>
      <c r="B413" s="1070"/>
      <c r="C413" s="1070"/>
      <c r="D413" s="1063"/>
      <c r="E413" s="1063"/>
      <c r="F413" s="1063"/>
      <c r="G413" s="1063"/>
      <c r="H413" s="1063"/>
      <c r="I413" s="1063"/>
      <c r="J413" s="1063"/>
      <c r="K413" s="1063"/>
      <c r="L413" s="1063"/>
      <c r="M413" s="1063"/>
      <c r="N413" s="1063"/>
      <c r="O413" s="1063"/>
      <c r="P413" s="1063"/>
      <c r="Q413" s="1063"/>
      <c r="R413" s="1063"/>
      <c r="S413" s="1063"/>
      <c r="T413" s="1063"/>
      <c r="U413" s="1063"/>
      <c r="V413" s="1063"/>
      <c r="W413" s="1063"/>
      <c r="X413" s="1063"/>
      <c r="Y413" s="1063"/>
      <c r="Z413" s="1063"/>
      <c r="AA413" s="1063"/>
      <c r="AB413" s="1063"/>
      <c r="AC413" s="1063"/>
      <c r="AD413" s="1063"/>
      <c r="AE413" s="1063"/>
      <c r="AF413" s="1063"/>
      <c r="AG413" s="1063"/>
      <c r="AH413" s="1063"/>
      <c r="AI413" s="1063"/>
      <c r="AJ413" s="1063"/>
      <c r="AK413" s="1063"/>
      <c r="AL413" s="1063"/>
      <c r="AM413" s="1063"/>
      <c r="AN413" s="1063"/>
      <c r="AO413" s="1063"/>
      <c r="AP413" s="1063"/>
      <c r="AQ413" s="1063"/>
      <c r="AR413" s="1063"/>
      <c r="AS413" s="1063"/>
      <c r="AT413" s="1063"/>
      <c r="AU413" s="1063"/>
      <c r="AV413" s="1063"/>
      <c r="AW413" s="1063"/>
      <c r="AX413" s="1063"/>
      <c r="AY413" s="1063"/>
      <c r="AZ413" s="1063"/>
      <c r="BA413" s="1063"/>
      <c r="BB413" s="1063"/>
      <c r="BC413" s="1063"/>
      <c r="BD413" s="1063"/>
      <c r="BE413" s="1063"/>
      <c r="BF413" s="1063"/>
      <c r="BG413" s="1063"/>
      <c r="BH413" s="1063"/>
      <c r="BI413" s="1063"/>
      <c r="BJ413" s="1063"/>
      <c r="BK413" s="1063"/>
      <c r="BL413" s="1063"/>
      <c r="BM413" s="1063"/>
      <c r="BN413" s="1063"/>
      <c r="BO413" s="1063"/>
      <c r="BP413" s="1063"/>
      <c r="BQ413" s="1063"/>
      <c r="BR413" s="1063"/>
      <c r="BS413" s="1063"/>
    </row>
    <row r="414" spans="1:71" ht="12.75">
      <c r="A414" s="1063"/>
      <c r="B414" s="1070"/>
      <c r="C414" s="1070"/>
      <c r="D414" s="1063"/>
      <c r="E414" s="1063"/>
      <c r="F414" s="1063"/>
      <c r="G414" s="1063"/>
      <c r="H414" s="1063"/>
      <c r="I414" s="1063"/>
      <c r="J414" s="1063"/>
      <c r="K414" s="1063"/>
      <c r="L414" s="1063"/>
      <c r="M414" s="1063"/>
      <c r="N414" s="1063"/>
      <c r="O414" s="1063"/>
      <c r="P414" s="1063"/>
      <c r="Q414" s="1063"/>
      <c r="R414" s="1063"/>
      <c r="S414" s="1063"/>
      <c r="T414" s="1063"/>
      <c r="U414" s="1063"/>
      <c r="V414" s="1063"/>
      <c r="W414" s="1063"/>
      <c r="X414" s="1063"/>
      <c r="Y414" s="1063"/>
      <c r="Z414" s="1063"/>
      <c r="AA414" s="1063"/>
      <c r="AB414" s="1063"/>
      <c r="AC414" s="1063"/>
      <c r="AD414" s="1063"/>
      <c r="AE414" s="1063"/>
      <c r="AF414" s="1063"/>
      <c r="AG414" s="1063"/>
      <c r="AH414" s="1063"/>
      <c r="AI414" s="1063"/>
      <c r="AJ414" s="1063"/>
      <c r="AK414" s="1063"/>
      <c r="AL414" s="1063"/>
      <c r="AM414" s="1063"/>
      <c r="AN414" s="1063"/>
      <c r="AO414" s="1063"/>
      <c r="AP414" s="1063"/>
      <c r="AQ414" s="1063"/>
      <c r="AR414" s="1063"/>
      <c r="AS414" s="1063"/>
      <c r="AT414" s="1063"/>
      <c r="AU414" s="1063"/>
      <c r="AV414" s="1063"/>
      <c r="AW414" s="1063"/>
      <c r="AX414" s="1063"/>
      <c r="AY414" s="1063"/>
      <c r="AZ414" s="1063"/>
      <c r="BA414" s="1063"/>
      <c r="BB414" s="1063"/>
      <c r="BC414" s="1063"/>
      <c r="BD414" s="1063"/>
      <c r="BE414" s="1063"/>
      <c r="BF414" s="1063"/>
      <c r="BG414" s="1063"/>
      <c r="BH414" s="1063"/>
      <c r="BI414" s="1063"/>
      <c r="BJ414" s="1063"/>
      <c r="BK414" s="1063"/>
      <c r="BL414" s="1063"/>
      <c r="BM414" s="1063"/>
      <c r="BN414" s="1063"/>
      <c r="BO414" s="1063"/>
      <c r="BP414" s="1063"/>
      <c r="BQ414" s="1063"/>
      <c r="BR414" s="1063"/>
      <c r="BS414" s="1063"/>
    </row>
    <row r="415" spans="1:71" ht="12.75">
      <c r="A415" s="1063"/>
      <c r="B415" s="1070"/>
      <c r="C415" s="1070"/>
      <c r="D415" s="1063"/>
      <c r="E415" s="1063"/>
      <c r="F415" s="1063"/>
      <c r="G415" s="1063"/>
      <c r="H415" s="1063"/>
      <c r="I415" s="1063"/>
      <c r="J415" s="1063"/>
      <c r="K415" s="1063"/>
      <c r="L415" s="1063"/>
      <c r="M415" s="1063"/>
      <c r="N415" s="1063"/>
      <c r="O415" s="1063"/>
      <c r="P415" s="1063"/>
      <c r="Q415" s="1063"/>
      <c r="R415" s="1063"/>
      <c r="S415" s="1063"/>
      <c r="T415" s="1063"/>
      <c r="U415" s="1063"/>
      <c r="V415" s="1063"/>
      <c r="W415" s="1063"/>
      <c r="X415" s="1063"/>
      <c r="Y415" s="1063"/>
      <c r="Z415" s="1063"/>
      <c r="AA415" s="1063"/>
      <c r="AB415" s="1063"/>
      <c r="AC415" s="1063"/>
      <c r="AD415" s="1063"/>
      <c r="AE415" s="1063"/>
      <c r="AF415" s="1063"/>
      <c r="AG415" s="1063"/>
      <c r="AH415" s="1063"/>
      <c r="AI415" s="1063"/>
      <c r="AJ415" s="1063"/>
      <c r="AK415" s="1063"/>
      <c r="AL415" s="1063"/>
      <c r="AM415" s="1063"/>
      <c r="AN415" s="1063"/>
      <c r="AO415" s="1063"/>
      <c r="AP415" s="1063"/>
      <c r="AQ415" s="1063"/>
      <c r="AR415" s="1063"/>
      <c r="AS415" s="1063"/>
      <c r="AT415" s="1063"/>
      <c r="AU415" s="1063"/>
      <c r="AV415" s="1063"/>
      <c r="AW415" s="1063"/>
      <c r="AX415" s="1063"/>
      <c r="AY415" s="1063"/>
      <c r="AZ415" s="1063"/>
      <c r="BA415" s="1063"/>
      <c r="BB415" s="1063"/>
      <c r="BC415" s="1063"/>
      <c r="BD415" s="1063"/>
      <c r="BE415" s="1063"/>
      <c r="BF415" s="1063"/>
      <c r="BG415" s="1063"/>
      <c r="BH415" s="1063"/>
      <c r="BI415" s="1063"/>
      <c r="BJ415" s="1063"/>
      <c r="BK415" s="1063"/>
      <c r="BL415" s="1063"/>
      <c r="BM415" s="1063"/>
      <c r="BN415" s="1063"/>
      <c r="BO415" s="1063"/>
      <c r="BP415" s="1063"/>
      <c r="BQ415" s="1063"/>
      <c r="BR415" s="1063"/>
      <c r="BS415" s="1063"/>
    </row>
    <row r="416" spans="1:71" ht="12.75">
      <c r="A416" s="1063"/>
      <c r="B416" s="1070"/>
      <c r="C416" s="1070"/>
      <c r="D416" s="1063"/>
      <c r="E416" s="1063"/>
      <c r="F416" s="1063"/>
      <c r="G416" s="1063"/>
      <c r="H416" s="1063"/>
      <c r="I416" s="1063"/>
      <c r="J416" s="1063"/>
      <c r="K416" s="1063"/>
      <c r="L416" s="1063"/>
      <c r="M416" s="1063"/>
      <c r="N416" s="1063"/>
      <c r="O416" s="1063"/>
      <c r="P416" s="1063"/>
      <c r="Q416" s="1063"/>
      <c r="R416" s="1063"/>
      <c r="S416" s="1063"/>
      <c r="T416" s="1063"/>
      <c r="U416" s="1063"/>
      <c r="V416" s="1063"/>
      <c r="W416" s="1063"/>
      <c r="X416" s="1063"/>
      <c r="Y416" s="1063"/>
      <c r="Z416" s="1063"/>
      <c r="AA416" s="1063"/>
      <c r="AB416" s="1063"/>
      <c r="AC416" s="1063"/>
      <c r="AD416" s="1063"/>
      <c r="AE416" s="1063"/>
      <c r="AF416" s="1063"/>
      <c r="AG416" s="1063"/>
      <c r="AH416" s="1063"/>
      <c r="AI416" s="1063"/>
      <c r="AJ416" s="1063"/>
      <c r="AK416" s="1063"/>
      <c r="AL416" s="1063"/>
      <c r="AM416" s="1063"/>
      <c r="AN416" s="1063"/>
      <c r="AO416" s="1063"/>
      <c r="AP416" s="1063"/>
      <c r="AQ416" s="1063"/>
      <c r="AR416" s="1063"/>
      <c r="AS416" s="1063"/>
      <c r="AT416" s="1063"/>
      <c r="AU416" s="1063"/>
      <c r="AV416" s="1063"/>
      <c r="AW416" s="1063"/>
      <c r="AX416" s="1063"/>
      <c r="AY416" s="1063"/>
      <c r="AZ416" s="1063"/>
      <c r="BA416" s="1063"/>
      <c r="BB416" s="1063"/>
      <c r="BC416" s="1063"/>
      <c r="BD416" s="1063"/>
      <c r="BE416" s="1063"/>
      <c r="BF416" s="1063"/>
      <c r="BG416" s="1063"/>
      <c r="BH416" s="1063"/>
      <c r="BI416" s="1063"/>
      <c r="BJ416" s="1063"/>
      <c r="BK416" s="1063"/>
      <c r="BL416" s="1063"/>
      <c r="BM416" s="1063"/>
      <c r="BN416" s="1063"/>
      <c r="BO416" s="1063"/>
      <c r="BP416" s="1063"/>
      <c r="BQ416" s="1063"/>
      <c r="BR416" s="1063"/>
      <c r="BS416" s="1063"/>
    </row>
    <row r="417" spans="1:71" ht="12.75">
      <c r="A417" s="1063"/>
      <c r="B417" s="1070"/>
      <c r="C417" s="1070"/>
      <c r="D417" s="1063"/>
      <c r="E417" s="1063"/>
      <c r="F417" s="1063"/>
      <c r="G417" s="1063"/>
      <c r="H417" s="1063"/>
      <c r="I417" s="1063"/>
      <c r="J417" s="1063"/>
      <c r="K417" s="1063"/>
      <c r="L417" s="1063"/>
      <c r="M417" s="1063"/>
      <c r="N417" s="1063"/>
      <c r="O417" s="1063"/>
      <c r="P417" s="1063"/>
      <c r="Q417" s="1063"/>
      <c r="R417" s="1063"/>
      <c r="S417" s="1063"/>
      <c r="T417" s="1063"/>
      <c r="U417" s="1063"/>
      <c r="V417" s="1063"/>
      <c r="W417" s="1063"/>
      <c r="X417" s="1063"/>
      <c r="Y417" s="1063"/>
      <c r="Z417" s="1063"/>
      <c r="AA417" s="1063"/>
      <c r="AB417" s="1063"/>
      <c r="AC417" s="1063"/>
      <c r="AD417" s="1063"/>
      <c r="AE417" s="1063"/>
      <c r="AF417" s="1063"/>
      <c r="AG417" s="1063"/>
      <c r="AH417" s="1063"/>
      <c r="AI417" s="1063"/>
      <c r="AJ417" s="1063"/>
      <c r="AK417" s="1063"/>
      <c r="AL417" s="1063"/>
      <c r="AM417" s="1063"/>
      <c r="AN417" s="1063"/>
      <c r="AO417" s="1063"/>
      <c r="AP417" s="1063"/>
      <c r="AQ417" s="1063"/>
      <c r="AR417" s="1063"/>
      <c r="AS417" s="1063"/>
      <c r="AT417" s="1063"/>
      <c r="AU417" s="1063"/>
      <c r="AV417" s="1063"/>
      <c r="AW417" s="1063"/>
      <c r="AX417" s="1063"/>
      <c r="AY417" s="1063"/>
      <c r="AZ417" s="1063"/>
      <c r="BA417" s="1063"/>
      <c r="BB417" s="1063"/>
      <c r="BC417" s="1063"/>
      <c r="BD417" s="1063"/>
      <c r="BE417" s="1063"/>
      <c r="BF417" s="1063"/>
      <c r="BG417" s="1063"/>
      <c r="BH417" s="1063"/>
      <c r="BI417" s="1063"/>
      <c r="BJ417" s="1063"/>
      <c r="BK417" s="1063"/>
      <c r="BL417" s="1063"/>
      <c r="BM417" s="1063"/>
      <c r="BN417" s="1063"/>
      <c r="BO417" s="1063"/>
      <c r="BP417" s="1063"/>
      <c r="BQ417" s="1063"/>
      <c r="BR417" s="1063"/>
      <c r="BS417" s="1063"/>
    </row>
    <row r="418" spans="1:71" ht="12.75">
      <c r="A418" s="1063"/>
      <c r="B418" s="1070"/>
      <c r="C418" s="1070"/>
      <c r="D418" s="1063"/>
      <c r="E418" s="1063"/>
      <c r="F418" s="1063"/>
      <c r="G418" s="1063"/>
      <c r="H418" s="1063"/>
      <c r="I418" s="1063"/>
      <c r="J418" s="1063"/>
      <c r="K418" s="1063"/>
      <c r="L418" s="1063"/>
      <c r="M418" s="1063"/>
      <c r="N418" s="1063"/>
      <c r="O418" s="1063"/>
      <c r="P418" s="1063"/>
      <c r="Q418" s="1063"/>
      <c r="R418" s="1063"/>
      <c r="S418" s="1063"/>
      <c r="T418" s="1063"/>
      <c r="U418" s="1063"/>
      <c r="V418" s="1063"/>
      <c r="W418" s="1063"/>
      <c r="X418" s="1063"/>
      <c r="Y418" s="1063"/>
      <c r="Z418" s="1063"/>
      <c r="AA418" s="1063"/>
      <c r="AB418" s="1063"/>
      <c r="AC418" s="1063"/>
      <c r="AD418" s="1063"/>
      <c r="AE418" s="1063"/>
      <c r="AF418" s="1063"/>
      <c r="AG418" s="1063"/>
      <c r="AH418" s="1063"/>
      <c r="AI418" s="1063"/>
      <c r="AJ418" s="1063"/>
      <c r="AK418" s="1063"/>
      <c r="AL418" s="1063"/>
      <c r="AM418" s="1063"/>
      <c r="AN418" s="1063"/>
      <c r="AO418" s="1063"/>
      <c r="AP418" s="1063"/>
      <c r="AQ418" s="1063"/>
      <c r="AR418" s="1063"/>
      <c r="AS418" s="1063"/>
      <c r="AT418" s="1063"/>
      <c r="AU418" s="1063"/>
      <c r="AV418" s="1063"/>
      <c r="AW418" s="1063"/>
      <c r="AX418" s="1063"/>
      <c r="AY418" s="1063"/>
      <c r="AZ418" s="1063"/>
      <c r="BA418" s="1063"/>
      <c r="BB418" s="1063"/>
      <c r="BC418" s="1063"/>
      <c r="BD418" s="1063"/>
      <c r="BE418" s="1063"/>
      <c r="BF418" s="1063"/>
      <c r="BG418" s="1063"/>
      <c r="BH418" s="1063"/>
      <c r="BI418" s="1063"/>
      <c r="BJ418" s="1063"/>
      <c r="BK418" s="1063"/>
      <c r="BL418" s="1063"/>
      <c r="BM418" s="1063"/>
      <c r="BN418" s="1063"/>
      <c r="BO418" s="1063"/>
      <c r="BP418" s="1063"/>
      <c r="BQ418" s="1063"/>
      <c r="BR418" s="1063"/>
      <c r="BS418" s="1063"/>
    </row>
    <row r="419" spans="1:71" ht="12.75">
      <c r="A419" s="1063"/>
      <c r="B419" s="1070"/>
      <c r="C419" s="1070"/>
      <c r="D419" s="1063"/>
      <c r="E419" s="1063"/>
      <c r="F419" s="1063"/>
      <c r="G419" s="1063"/>
      <c r="H419" s="1063"/>
      <c r="I419" s="1063"/>
      <c r="J419" s="1063"/>
      <c r="K419" s="1063"/>
      <c r="L419" s="1063"/>
      <c r="M419" s="1063"/>
      <c r="N419" s="1063"/>
      <c r="O419" s="1063"/>
      <c r="P419" s="1063"/>
      <c r="Q419" s="1063"/>
      <c r="R419" s="1063"/>
      <c r="S419" s="1063"/>
      <c r="T419" s="1063"/>
      <c r="U419" s="1063"/>
      <c r="V419" s="1063"/>
      <c r="W419" s="1063"/>
      <c r="X419" s="1063"/>
      <c r="Y419" s="1063"/>
      <c r="Z419" s="1063"/>
      <c r="AA419" s="1063"/>
      <c r="AB419" s="1063"/>
      <c r="AC419" s="1063"/>
      <c r="AD419" s="1063"/>
      <c r="AE419" s="1063"/>
      <c r="AF419" s="1063"/>
      <c r="AG419" s="1063"/>
      <c r="AH419" s="1063"/>
      <c r="AI419" s="1063"/>
      <c r="AJ419" s="1063"/>
      <c r="AK419" s="1063"/>
      <c r="AL419" s="1063"/>
      <c r="AM419" s="1063"/>
      <c r="AN419" s="1063"/>
      <c r="AO419" s="1063"/>
      <c r="AP419" s="1063"/>
      <c r="AQ419" s="1063"/>
      <c r="AR419" s="1063"/>
      <c r="AS419" s="1063"/>
      <c r="AT419" s="1063"/>
      <c r="AU419" s="1063"/>
      <c r="AV419" s="1063"/>
      <c r="AW419" s="1063"/>
      <c r="AX419" s="1063"/>
      <c r="AY419" s="1063"/>
      <c r="AZ419" s="1063"/>
      <c r="BA419" s="1063"/>
      <c r="BB419" s="1063"/>
      <c r="BC419" s="1063"/>
      <c r="BD419" s="1063"/>
      <c r="BE419" s="1063"/>
      <c r="BF419" s="1063"/>
      <c r="BG419" s="1063"/>
      <c r="BH419" s="1063"/>
      <c r="BI419" s="1063"/>
      <c r="BJ419" s="1063"/>
      <c r="BK419" s="1063"/>
      <c r="BL419" s="1063"/>
      <c r="BM419" s="1063"/>
      <c r="BN419" s="1063"/>
      <c r="BO419" s="1063"/>
      <c r="BP419" s="1063"/>
      <c r="BQ419" s="1063"/>
      <c r="BR419" s="1063"/>
      <c r="BS419" s="1063"/>
    </row>
    <row r="420" spans="1:71" ht="12.75">
      <c r="A420" s="1063"/>
      <c r="B420" s="1070"/>
      <c r="C420" s="1070"/>
      <c r="D420" s="1063"/>
      <c r="E420" s="1063"/>
      <c r="F420" s="1063"/>
      <c r="G420" s="1063"/>
      <c r="H420" s="1063"/>
      <c r="I420" s="1063"/>
      <c r="J420" s="1063"/>
      <c r="K420" s="1063"/>
      <c r="L420" s="1063"/>
      <c r="M420" s="1063"/>
      <c r="N420" s="1063"/>
      <c r="O420" s="1063"/>
      <c r="P420" s="1063"/>
      <c r="Q420" s="1063"/>
      <c r="R420" s="1063"/>
      <c r="S420" s="1063"/>
      <c r="T420" s="1063"/>
      <c r="U420" s="1063"/>
      <c r="V420" s="1063"/>
      <c r="W420" s="1063"/>
      <c r="X420" s="1063"/>
      <c r="Y420" s="1063"/>
      <c r="Z420" s="1063"/>
      <c r="AA420" s="1063"/>
      <c r="AB420" s="1063"/>
      <c r="AC420" s="1063"/>
      <c r="AD420" s="1063"/>
      <c r="AE420" s="1063"/>
      <c r="AF420" s="1063"/>
      <c r="AG420" s="1063"/>
      <c r="AH420" s="1063"/>
      <c r="AI420" s="1063"/>
      <c r="AJ420" s="1063"/>
      <c r="AK420" s="1063"/>
      <c r="AL420" s="1063"/>
      <c r="AM420" s="1063"/>
      <c r="AN420" s="1063"/>
      <c r="AO420" s="1063"/>
      <c r="AP420" s="1063"/>
      <c r="AQ420" s="1063"/>
      <c r="AR420" s="1063"/>
      <c r="AS420" s="1063"/>
      <c r="AT420" s="1063"/>
      <c r="AU420" s="1063"/>
      <c r="AV420" s="1063"/>
      <c r="AW420" s="1063"/>
      <c r="AX420" s="1063"/>
      <c r="AY420" s="1063"/>
      <c r="AZ420" s="1063"/>
      <c r="BA420" s="1063"/>
      <c r="BB420" s="1063"/>
      <c r="BC420" s="1063"/>
      <c r="BD420" s="1063"/>
      <c r="BE420" s="1063"/>
      <c r="BF420" s="1063"/>
      <c r="BG420" s="1063"/>
      <c r="BH420" s="1063"/>
      <c r="BI420" s="1063"/>
      <c r="BJ420" s="1063"/>
      <c r="BK420" s="1063"/>
      <c r="BL420" s="1063"/>
      <c r="BM420" s="1063"/>
      <c r="BN420" s="1063"/>
      <c r="BO420" s="1063"/>
      <c r="BP420" s="1063"/>
      <c r="BQ420" s="1063"/>
      <c r="BR420" s="1063"/>
      <c r="BS420" s="1063"/>
    </row>
    <row r="421" spans="1:71" ht="12.75">
      <c r="A421" s="1063"/>
      <c r="B421" s="1070"/>
      <c r="C421" s="1070"/>
      <c r="D421" s="1063"/>
      <c r="E421" s="1063"/>
      <c r="F421" s="1063"/>
      <c r="G421" s="1063"/>
      <c r="H421" s="1063"/>
      <c r="I421" s="1063"/>
      <c r="J421" s="1063"/>
      <c r="K421" s="1063"/>
      <c r="L421" s="1063"/>
      <c r="M421" s="1063"/>
      <c r="N421" s="1063"/>
      <c r="O421" s="1063"/>
      <c r="P421" s="1063"/>
      <c r="Q421" s="1063"/>
      <c r="R421" s="1063"/>
      <c r="S421" s="1063"/>
      <c r="T421" s="1063"/>
      <c r="U421" s="1063"/>
      <c r="V421" s="1063"/>
      <c r="W421" s="1063"/>
      <c r="X421" s="1063"/>
      <c r="Y421" s="1063"/>
      <c r="Z421" s="1063"/>
      <c r="AA421" s="1063"/>
      <c r="AB421" s="1063"/>
      <c r="AC421" s="1063"/>
      <c r="AD421" s="1063"/>
      <c r="AE421" s="1063"/>
      <c r="AF421" s="1063"/>
      <c r="AG421" s="1063"/>
      <c r="AH421" s="1063"/>
      <c r="AI421" s="1063"/>
      <c r="AJ421" s="1063"/>
      <c r="AK421" s="1063"/>
      <c r="AL421" s="1063"/>
      <c r="AM421" s="1063"/>
      <c r="AN421" s="1063"/>
      <c r="AO421" s="1063"/>
      <c r="AP421" s="1063"/>
      <c r="AQ421" s="1063"/>
      <c r="AR421" s="1063"/>
      <c r="AS421" s="1063"/>
      <c r="AT421" s="1063"/>
      <c r="AU421" s="1063"/>
      <c r="AV421" s="1063"/>
      <c r="AW421" s="1063"/>
      <c r="AX421" s="1063"/>
      <c r="AY421" s="1063"/>
      <c r="AZ421" s="1063"/>
      <c r="BA421" s="1063"/>
      <c r="BB421" s="1063"/>
      <c r="BC421" s="1063"/>
      <c r="BD421" s="1063"/>
      <c r="BE421" s="1063"/>
      <c r="BF421" s="1063"/>
      <c r="BG421" s="1063"/>
      <c r="BH421" s="1063"/>
      <c r="BI421" s="1063"/>
      <c r="BJ421" s="1063"/>
      <c r="BK421" s="1063"/>
      <c r="BL421" s="1063"/>
      <c r="BM421" s="1063"/>
      <c r="BN421" s="1063"/>
      <c r="BO421" s="1063"/>
      <c r="BP421" s="1063"/>
      <c r="BQ421" s="1063"/>
      <c r="BR421" s="1063"/>
      <c r="BS421" s="1063"/>
    </row>
    <row r="422" spans="1:71" ht="12.75">
      <c r="A422" s="1063"/>
      <c r="B422" s="1070"/>
      <c r="C422" s="1070"/>
      <c r="D422" s="1063"/>
      <c r="E422" s="1063"/>
      <c r="F422" s="1063"/>
      <c r="G422" s="1063"/>
      <c r="H422" s="1063"/>
      <c r="I422" s="1063"/>
      <c r="J422" s="1063"/>
      <c r="K422" s="1063"/>
      <c r="L422" s="1063"/>
      <c r="M422" s="1063"/>
      <c r="N422" s="1063"/>
      <c r="O422" s="1063"/>
      <c r="P422" s="1063"/>
      <c r="Q422" s="1063"/>
      <c r="R422" s="1063"/>
      <c r="S422" s="1063"/>
      <c r="T422" s="1063"/>
      <c r="U422" s="1063"/>
      <c r="V422" s="1063"/>
      <c r="W422" s="1063"/>
      <c r="X422" s="1063"/>
      <c r="Y422" s="1063"/>
      <c r="Z422" s="1063"/>
      <c r="AA422" s="1063"/>
      <c r="AB422" s="1063"/>
      <c r="AC422" s="1063"/>
      <c r="AD422" s="1063"/>
      <c r="AE422" s="1063"/>
      <c r="AF422" s="1063"/>
      <c r="AG422" s="1063"/>
      <c r="AH422" s="1063"/>
      <c r="AI422" s="1063"/>
      <c r="AJ422" s="1063"/>
      <c r="AK422" s="1063"/>
      <c r="AL422" s="1063"/>
      <c r="AM422" s="1063"/>
      <c r="AN422" s="1063"/>
      <c r="AO422" s="1063"/>
      <c r="AP422" s="1063"/>
      <c r="AQ422" s="1063"/>
      <c r="AR422" s="1063"/>
      <c r="AS422" s="1063"/>
      <c r="AT422" s="1063"/>
      <c r="AU422" s="1063"/>
      <c r="AV422" s="1063"/>
      <c r="AW422" s="1063"/>
      <c r="AX422" s="1063"/>
      <c r="AY422" s="1063"/>
      <c r="AZ422" s="1063"/>
      <c r="BA422" s="1063"/>
      <c r="BB422" s="1063"/>
      <c r="BC422" s="1063"/>
      <c r="BD422" s="1063"/>
      <c r="BE422" s="1063"/>
      <c r="BF422" s="1063"/>
      <c r="BG422" s="1063"/>
      <c r="BH422" s="1063"/>
      <c r="BI422" s="1063"/>
      <c r="BJ422" s="1063"/>
      <c r="BK422" s="1063"/>
      <c r="BL422" s="1063"/>
      <c r="BM422" s="1063"/>
      <c r="BN422" s="1063"/>
      <c r="BO422" s="1063"/>
      <c r="BP422" s="1063"/>
      <c r="BQ422" s="1063"/>
      <c r="BR422" s="1063"/>
      <c r="BS422" s="1063"/>
    </row>
    <row r="423" spans="1:71" ht="12.75">
      <c r="A423" s="1063"/>
      <c r="B423" s="1070"/>
      <c r="C423" s="1070"/>
      <c r="D423" s="1063"/>
      <c r="E423" s="1063"/>
      <c r="F423" s="1063"/>
      <c r="G423" s="1063"/>
      <c r="H423" s="1063"/>
      <c r="I423" s="1063"/>
      <c r="J423" s="1063"/>
      <c r="K423" s="1063"/>
      <c r="L423" s="1063"/>
      <c r="M423" s="1063"/>
      <c r="N423" s="1063"/>
      <c r="O423" s="1063"/>
      <c r="P423" s="1063"/>
      <c r="Q423" s="1063"/>
      <c r="R423" s="1063"/>
      <c r="S423" s="1063"/>
      <c r="T423" s="1063"/>
      <c r="U423" s="1063"/>
      <c r="V423" s="1063"/>
      <c r="W423" s="1063"/>
      <c r="X423" s="1063"/>
      <c r="Y423" s="1063"/>
      <c r="Z423" s="1063"/>
      <c r="AA423" s="1063"/>
      <c r="AB423" s="1063"/>
      <c r="AC423" s="1063"/>
      <c r="AD423" s="1063"/>
      <c r="AE423" s="1063"/>
      <c r="AF423" s="1063"/>
      <c r="AG423" s="1063"/>
      <c r="AH423" s="1063"/>
      <c r="AI423" s="1063"/>
      <c r="AJ423" s="1063"/>
      <c r="AK423" s="1063"/>
      <c r="AL423" s="1063"/>
      <c r="AM423" s="1063"/>
      <c r="AN423" s="1063"/>
      <c r="AO423" s="1063"/>
      <c r="AP423" s="1063"/>
      <c r="AQ423" s="1063"/>
      <c r="AR423" s="1063"/>
      <c r="AS423" s="1063"/>
      <c r="AT423" s="1063"/>
      <c r="AU423" s="1063"/>
      <c r="AV423" s="1063"/>
      <c r="AW423" s="1063"/>
      <c r="AX423" s="1063"/>
      <c r="AY423" s="1063"/>
      <c r="AZ423" s="1063"/>
      <c r="BA423" s="1063"/>
      <c r="BB423" s="1063"/>
      <c r="BC423" s="1063"/>
      <c r="BD423" s="1063"/>
      <c r="BE423" s="1063"/>
      <c r="BF423" s="1063"/>
      <c r="BG423" s="1063"/>
      <c r="BH423" s="1063"/>
      <c r="BI423" s="1063"/>
      <c r="BJ423" s="1063"/>
      <c r="BK423" s="1063"/>
      <c r="BL423" s="1063"/>
      <c r="BM423" s="1063"/>
      <c r="BN423" s="1063"/>
      <c r="BO423" s="1063"/>
      <c r="BP423" s="1063"/>
      <c r="BQ423" s="1063"/>
      <c r="BR423" s="1063"/>
      <c r="BS423" s="1063"/>
    </row>
    <row r="424" spans="1:71" ht="12.75">
      <c r="A424" s="1063"/>
      <c r="B424" s="1070"/>
      <c r="C424" s="1070"/>
      <c r="D424" s="1063"/>
      <c r="E424" s="1063"/>
      <c r="F424" s="1063"/>
      <c r="G424" s="1063"/>
      <c r="H424" s="1063"/>
      <c r="I424" s="1063"/>
      <c r="J424" s="1063"/>
      <c r="K424" s="1063"/>
      <c r="L424" s="1063"/>
      <c r="M424" s="1063"/>
      <c r="N424" s="1063"/>
      <c r="O424" s="1063"/>
      <c r="P424" s="1063"/>
      <c r="Q424" s="1063"/>
      <c r="R424" s="1063"/>
      <c r="S424" s="1063"/>
      <c r="T424" s="1063"/>
      <c r="U424" s="1063"/>
      <c r="V424" s="1063"/>
      <c r="W424" s="1063"/>
      <c r="X424" s="1063"/>
      <c r="Y424" s="1063"/>
      <c r="Z424" s="1063"/>
      <c r="AA424" s="1063"/>
      <c r="AB424" s="1063"/>
      <c r="AC424" s="1063"/>
      <c r="AD424" s="1063"/>
      <c r="AE424" s="1063"/>
      <c r="AF424" s="1063"/>
      <c r="AG424" s="1063"/>
      <c r="AH424" s="1063"/>
      <c r="AI424" s="1063"/>
      <c r="AJ424" s="1063"/>
      <c r="AK424" s="1063"/>
      <c r="AL424" s="1063"/>
      <c r="AM424" s="1063"/>
      <c r="AN424" s="1063"/>
      <c r="AO424" s="1063"/>
      <c r="AP424" s="1063"/>
      <c r="AQ424" s="1063"/>
      <c r="AR424" s="1063"/>
      <c r="AS424" s="1063"/>
      <c r="AT424" s="1063"/>
      <c r="AU424" s="1063"/>
      <c r="AV424" s="1063"/>
      <c r="AW424" s="1063"/>
      <c r="AX424" s="1063"/>
      <c r="AY424" s="1063"/>
      <c r="AZ424" s="1063"/>
      <c r="BA424" s="1063"/>
      <c r="BB424" s="1063"/>
      <c r="BC424" s="1063"/>
      <c r="BD424" s="1063"/>
      <c r="BE424" s="1063"/>
      <c r="BF424" s="1063"/>
      <c r="BG424" s="1063"/>
      <c r="BH424" s="1063"/>
      <c r="BI424" s="1063"/>
      <c r="BJ424" s="1063"/>
      <c r="BK424" s="1063"/>
      <c r="BL424" s="1063"/>
      <c r="BM424" s="1063"/>
      <c r="BN424" s="1063"/>
      <c r="BO424" s="1063"/>
      <c r="BP424" s="1063"/>
      <c r="BQ424" s="1063"/>
      <c r="BR424" s="1063"/>
      <c r="BS424" s="1063"/>
    </row>
    <row r="425" spans="1:71" ht="12.75">
      <c r="A425" s="1063"/>
      <c r="B425" s="1070"/>
      <c r="C425" s="1070"/>
      <c r="D425" s="1063"/>
      <c r="E425" s="1063"/>
      <c r="F425" s="1063"/>
      <c r="G425" s="1063"/>
      <c r="H425" s="1063"/>
      <c r="I425" s="1063"/>
      <c r="J425" s="1063"/>
      <c r="K425" s="1063"/>
      <c r="L425" s="1063"/>
      <c r="M425" s="1063"/>
      <c r="N425" s="1063"/>
      <c r="O425" s="1063"/>
      <c r="P425" s="1063"/>
      <c r="Q425" s="1063"/>
      <c r="R425" s="1063"/>
      <c r="S425" s="1063"/>
      <c r="T425" s="1063"/>
      <c r="U425" s="1063"/>
      <c r="V425" s="1063"/>
      <c r="W425" s="1063"/>
      <c r="X425" s="1063"/>
      <c r="Y425" s="1063"/>
      <c r="Z425" s="1063"/>
      <c r="AA425" s="1063"/>
      <c r="AB425" s="1063"/>
      <c r="AC425" s="1063"/>
      <c r="AD425" s="1063"/>
      <c r="AE425" s="1063"/>
      <c r="AF425" s="1063"/>
      <c r="AG425" s="1063"/>
      <c r="AH425" s="1063"/>
      <c r="AI425" s="1063"/>
      <c r="AJ425" s="1063"/>
      <c r="AK425" s="1063"/>
      <c r="AL425" s="1063"/>
      <c r="AM425" s="1063"/>
      <c r="AN425" s="1063"/>
      <c r="AO425" s="1063"/>
      <c r="AP425" s="1063"/>
      <c r="AQ425" s="1063"/>
      <c r="AR425" s="1063"/>
      <c r="AS425" s="1063"/>
      <c r="AT425" s="1063"/>
      <c r="AU425" s="1063"/>
      <c r="AV425" s="1063"/>
      <c r="AW425" s="1063"/>
      <c r="AX425" s="1063"/>
      <c r="AY425" s="1063"/>
      <c r="AZ425" s="1063"/>
      <c r="BA425" s="1063"/>
      <c r="BB425" s="1063"/>
      <c r="BC425" s="1063"/>
      <c r="BD425" s="1063"/>
      <c r="BE425" s="1063"/>
      <c r="BF425" s="1063"/>
      <c r="BG425" s="1063"/>
      <c r="BH425" s="1063"/>
      <c r="BI425" s="1063"/>
      <c r="BJ425" s="1063"/>
      <c r="BK425" s="1063"/>
      <c r="BL425" s="1063"/>
      <c r="BM425" s="1063"/>
      <c r="BN425" s="1063"/>
      <c r="BO425" s="1063"/>
      <c r="BP425" s="1063"/>
      <c r="BQ425" s="1063"/>
      <c r="BR425" s="1063"/>
      <c r="BS425" s="1063"/>
    </row>
    <row r="426" spans="1:71" ht="12.75">
      <c r="A426" s="1063"/>
      <c r="B426" s="1070"/>
      <c r="C426" s="1070"/>
      <c r="D426" s="1063"/>
      <c r="E426" s="1063"/>
      <c r="F426" s="1063"/>
      <c r="G426" s="1063"/>
      <c r="H426" s="1063"/>
      <c r="I426" s="1063"/>
      <c r="J426" s="1063"/>
      <c r="K426" s="1063"/>
      <c r="L426" s="1063"/>
      <c r="M426" s="1063"/>
      <c r="N426" s="1063"/>
      <c r="O426" s="1063"/>
      <c r="P426" s="1063"/>
      <c r="Q426" s="1063"/>
      <c r="R426" s="1063"/>
      <c r="S426" s="1063"/>
      <c r="T426" s="1063"/>
      <c r="U426" s="1063"/>
      <c r="V426" s="1063"/>
      <c r="W426" s="1063"/>
      <c r="X426" s="1063"/>
      <c r="Y426" s="1063"/>
      <c r="Z426" s="1063"/>
      <c r="AA426" s="1063"/>
      <c r="AB426" s="1063"/>
      <c r="AC426" s="1063"/>
      <c r="AD426" s="1063"/>
      <c r="AE426" s="1063"/>
      <c r="AF426" s="1063"/>
      <c r="AG426" s="1063"/>
      <c r="AH426" s="1063"/>
      <c r="AI426" s="1063"/>
      <c r="AJ426" s="1063"/>
      <c r="AK426" s="1063"/>
      <c r="AL426" s="1063"/>
      <c r="AM426" s="1063"/>
      <c r="AN426" s="1063"/>
      <c r="AO426" s="1063"/>
      <c r="AP426" s="1063"/>
      <c r="AQ426" s="1063"/>
      <c r="AR426" s="1063"/>
      <c r="AS426" s="1063"/>
      <c r="AT426" s="1063"/>
      <c r="AU426" s="1063"/>
      <c r="AV426" s="1063"/>
      <c r="AW426" s="1063"/>
      <c r="AX426" s="1063"/>
      <c r="AY426" s="1063"/>
      <c r="AZ426" s="1063"/>
      <c r="BA426" s="1063"/>
      <c r="BB426" s="1063"/>
      <c r="BC426" s="1063"/>
      <c r="BD426" s="1063"/>
      <c r="BE426" s="1063"/>
      <c r="BF426" s="1063"/>
      <c r="BG426" s="1063"/>
      <c r="BH426" s="1063"/>
      <c r="BI426" s="1063"/>
      <c r="BJ426" s="1063"/>
      <c r="BK426" s="1063"/>
      <c r="BL426" s="1063"/>
      <c r="BM426" s="1063"/>
      <c r="BN426" s="1063"/>
      <c r="BO426" s="1063"/>
      <c r="BP426" s="1063"/>
      <c r="BQ426" s="1063"/>
      <c r="BR426" s="1063"/>
      <c r="BS426" s="1063"/>
    </row>
    <row r="427" spans="1:71" ht="12.75">
      <c r="A427" s="1063"/>
      <c r="B427" s="1070"/>
      <c r="C427" s="1070"/>
      <c r="D427" s="1063"/>
      <c r="E427" s="1063"/>
      <c r="F427" s="1063"/>
      <c r="G427" s="1063"/>
      <c r="H427" s="1063"/>
      <c r="I427" s="1063"/>
      <c r="J427" s="1063"/>
      <c r="K427" s="1063"/>
      <c r="L427" s="1063"/>
      <c r="M427" s="1063"/>
      <c r="N427" s="1063"/>
      <c r="O427" s="1063"/>
      <c r="P427" s="1063"/>
      <c r="Q427" s="1063"/>
      <c r="R427" s="1063"/>
      <c r="S427" s="1063"/>
      <c r="T427" s="1063"/>
      <c r="U427" s="1063"/>
      <c r="V427" s="1063"/>
      <c r="W427" s="1063"/>
      <c r="X427" s="1063"/>
      <c r="Y427" s="1063"/>
      <c r="Z427" s="1063"/>
      <c r="AA427" s="1063"/>
      <c r="AB427" s="1063"/>
      <c r="AC427" s="1063"/>
      <c r="AD427" s="1063"/>
      <c r="AE427" s="1063"/>
      <c r="AF427" s="1063"/>
      <c r="AG427" s="1063"/>
      <c r="AH427" s="1063"/>
      <c r="AI427" s="1063"/>
      <c r="AJ427" s="1063"/>
      <c r="AK427" s="1063"/>
      <c r="AL427" s="1063"/>
      <c r="AM427" s="1063"/>
      <c r="AN427" s="1063"/>
      <c r="AO427" s="1063"/>
      <c r="AP427" s="1063"/>
      <c r="AQ427" s="1063"/>
      <c r="AR427" s="1063"/>
      <c r="AS427" s="1063"/>
      <c r="AT427" s="1063"/>
      <c r="AU427" s="1063"/>
      <c r="AV427" s="1063"/>
      <c r="AW427" s="1063"/>
      <c r="AX427" s="1063"/>
      <c r="AY427" s="1063"/>
      <c r="AZ427" s="1063"/>
      <c r="BA427" s="1063"/>
      <c r="BB427" s="1063"/>
      <c r="BC427" s="1063"/>
      <c r="BD427" s="1063"/>
      <c r="BE427" s="1063"/>
      <c r="BF427" s="1063"/>
      <c r="BG427" s="1063"/>
      <c r="BH427" s="1063"/>
      <c r="BI427" s="1063"/>
      <c r="BJ427" s="1063"/>
      <c r="BK427" s="1063"/>
      <c r="BL427" s="1063"/>
      <c r="BM427" s="1063"/>
      <c r="BN427" s="1063"/>
      <c r="BO427" s="1063"/>
      <c r="BP427" s="1063"/>
      <c r="BQ427" s="1063"/>
      <c r="BR427" s="1063"/>
      <c r="BS427" s="1063"/>
    </row>
    <row r="428" spans="1:71" ht="12.75">
      <c r="A428" s="1063"/>
      <c r="B428" s="1070"/>
      <c r="C428" s="1070"/>
      <c r="D428" s="1063"/>
      <c r="E428" s="1063"/>
      <c r="F428" s="1063"/>
      <c r="G428" s="1063"/>
      <c r="H428" s="1063"/>
      <c r="I428" s="1063"/>
      <c r="J428" s="1063"/>
      <c r="K428" s="1063"/>
      <c r="L428" s="1063"/>
      <c r="M428" s="1063"/>
      <c r="N428" s="1063"/>
      <c r="O428" s="1063"/>
      <c r="P428" s="1063"/>
      <c r="Q428" s="1063"/>
      <c r="R428" s="1063"/>
      <c r="S428" s="1063"/>
      <c r="T428" s="1063"/>
      <c r="U428" s="1063"/>
      <c r="V428" s="1063"/>
      <c r="W428" s="1063"/>
      <c r="X428" s="1063"/>
      <c r="Y428" s="1063"/>
      <c r="Z428" s="1063"/>
      <c r="AA428" s="1063"/>
      <c r="AB428" s="1063"/>
      <c r="AC428" s="1063"/>
      <c r="AD428" s="1063"/>
      <c r="AE428" s="1063"/>
      <c r="AF428" s="1063"/>
      <c r="AG428" s="1063"/>
      <c r="AH428" s="1063"/>
      <c r="AI428" s="1063"/>
      <c r="AJ428" s="1063"/>
      <c r="AK428" s="1063"/>
      <c r="AL428" s="1063"/>
      <c r="AM428" s="1063"/>
      <c r="AN428" s="1063"/>
      <c r="AO428" s="1063"/>
      <c r="AP428" s="1063"/>
      <c r="AQ428" s="1063"/>
      <c r="AR428" s="1063"/>
      <c r="AS428" s="1063"/>
      <c r="AT428" s="1063"/>
      <c r="AU428" s="1063"/>
      <c r="AV428" s="1063"/>
      <c r="AW428" s="1063"/>
      <c r="AX428" s="1063"/>
      <c r="AY428" s="1063"/>
      <c r="AZ428" s="1063"/>
      <c r="BA428" s="1063"/>
      <c r="BB428" s="1063"/>
      <c r="BC428" s="1063"/>
      <c r="BD428" s="1063"/>
      <c r="BE428" s="1063"/>
      <c r="BF428" s="1063"/>
      <c r="BG428" s="1063"/>
      <c r="BH428" s="1063"/>
      <c r="BI428" s="1063"/>
      <c r="BJ428" s="1063"/>
      <c r="BK428" s="1063"/>
      <c r="BL428" s="1063"/>
      <c r="BM428" s="1063"/>
      <c r="BN428" s="1063"/>
      <c r="BO428" s="1063"/>
      <c r="BP428" s="1063"/>
      <c r="BQ428" s="1063"/>
      <c r="BR428" s="1063"/>
      <c r="BS428" s="1063"/>
    </row>
    <row r="429" spans="1:71" ht="12.75">
      <c r="A429" s="1063"/>
      <c r="B429" s="1070"/>
      <c r="C429" s="1070"/>
      <c r="D429" s="1063"/>
      <c r="E429" s="1063"/>
      <c r="F429" s="1063"/>
      <c r="G429" s="1063"/>
      <c r="H429" s="1063"/>
      <c r="I429" s="1063"/>
      <c r="J429" s="1063"/>
      <c r="K429" s="1063"/>
      <c r="L429" s="1063"/>
      <c r="M429" s="1063"/>
      <c r="N429" s="1063"/>
      <c r="O429" s="1063"/>
      <c r="P429" s="1063"/>
      <c r="Q429" s="1063"/>
      <c r="R429" s="1063"/>
      <c r="S429" s="1063"/>
      <c r="T429" s="1063"/>
      <c r="U429" s="1063"/>
      <c r="V429" s="1063"/>
      <c r="W429" s="1063"/>
      <c r="X429" s="1063"/>
      <c r="Y429" s="1063"/>
      <c r="Z429" s="1063"/>
      <c r="AA429" s="1063"/>
      <c r="AB429" s="1063"/>
      <c r="AC429" s="1063"/>
      <c r="AD429" s="1063"/>
      <c r="AE429" s="1063"/>
      <c r="AF429" s="1063"/>
      <c r="AG429" s="1063"/>
      <c r="AH429" s="1063"/>
      <c r="AI429" s="1063"/>
      <c r="AJ429" s="1063"/>
      <c r="AK429" s="1063"/>
      <c r="AL429" s="1063"/>
      <c r="AM429" s="1063"/>
      <c r="AN429" s="1063"/>
      <c r="AO429" s="1063"/>
      <c r="AP429" s="1063"/>
      <c r="AQ429" s="1063"/>
      <c r="AR429" s="1063"/>
      <c r="AS429" s="1063"/>
      <c r="AT429" s="1063"/>
      <c r="AU429" s="1063"/>
      <c r="AV429" s="1063"/>
      <c r="AW429" s="1063"/>
      <c r="AX429" s="1063"/>
      <c r="AY429" s="1063"/>
      <c r="AZ429" s="1063"/>
      <c r="BA429" s="1063"/>
      <c r="BB429" s="1063"/>
      <c r="BC429" s="1063"/>
      <c r="BD429" s="1063"/>
      <c r="BE429" s="1063"/>
      <c r="BF429" s="1063"/>
      <c r="BG429" s="1063"/>
      <c r="BH429" s="1063"/>
      <c r="BI429" s="1063"/>
      <c r="BJ429" s="1063"/>
      <c r="BK429" s="1063"/>
      <c r="BL429" s="1063"/>
      <c r="BM429" s="1063"/>
      <c r="BN429" s="1063"/>
      <c r="BO429" s="1063"/>
      <c r="BP429" s="1063"/>
      <c r="BQ429" s="1063"/>
      <c r="BR429" s="1063"/>
      <c r="BS429" s="1063"/>
    </row>
    <row r="430" spans="1:71" ht="12.75">
      <c r="A430" s="1063"/>
      <c r="B430" s="1070"/>
      <c r="C430" s="1070"/>
      <c r="D430" s="1063"/>
      <c r="E430" s="1063"/>
      <c r="F430" s="1063"/>
      <c r="G430" s="1063"/>
      <c r="H430" s="1063"/>
      <c r="I430" s="1063"/>
      <c r="J430" s="1063"/>
      <c r="K430" s="1063"/>
      <c r="L430" s="1063"/>
      <c r="M430" s="1063"/>
      <c r="N430" s="1063"/>
      <c r="O430" s="1063"/>
      <c r="P430" s="1063"/>
      <c r="Q430" s="1063"/>
      <c r="R430" s="1063"/>
      <c r="S430" s="1063"/>
      <c r="T430" s="1063"/>
      <c r="U430" s="1063"/>
      <c r="V430" s="1063"/>
      <c r="W430" s="1063"/>
      <c r="X430" s="1063"/>
      <c r="Y430" s="1063"/>
      <c r="Z430" s="1063"/>
      <c r="AA430" s="1063"/>
      <c r="AB430" s="1063"/>
      <c r="AC430" s="1063"/>
      <c r="AD430" s="1063"/>
      <c r="AE430" s="1063"/>
      <c r="AF430" s="1063"/>
      <c r="AG430" s="1063"/>
      <c r="AH430" s="1063"/>
      <c r="AI430" s="1063"/>
      <c r="AJ430" s="1063"/>
      <c r="AK430" s="1063"/>
      <c r="AL430" s="1063"/>
      <c r="AM430" s="1063"/>
      <c r="AN430" s="1063"/>
      <c r="AO430" s="1063"/>
      <c r="AP430" s="1063"/>
      <c r="AQ430" s="1063"/>
      <c r="AR430" s="1063"/>
      <c r="AS430" s="1063"/>
      <c r="AT430" s="1063"/>
      <c r="AU430" s="1063"/>
      <c r="AV430" s="1063"/>
      <c r="AW430" s="1063"/>
      <c r="AX430" s="1063"/>
      <c r="AY430" s="1063"/>
      <c r="AZ430" s="1063"/>
      <c r="BA430" s="1063"/>
      <c r="BB430" s="1063"/>
      <c r="BC430" s="1063"/>
      <c r="BD430" s="1063"/>
      <c r="BE430" s="1063"/>
      <c r="BF430" s="1063"/>
      <c r="BG430" s="1063"/>
      <c r="BH430" s="1063"/>
      <c r="BI430" s="1063"/>
      <c r="BJ430" s="1063"/>
      <c r="BK430" s="1063"/>
      <c r="BL430" s="1063"/>
      <c r="BM430" s="1063"/>
      <c r="BN430" s="1063"/>
      <c r="BO430" s="1063"/>
      <c r="BP430" s="1063"/>
      <c r="BQ430" s="1063"/>
      <c r="BR430" s="1063"/>
      <c r="BS430" s="1063"/>
    </row>
    <row r="431" spans="1:71" ht="12.75">
      <c r="A431" s="1063"/>
      <c r="B431" s="1070"/>
      <c r="C431" s="1070"/>
      <c r="D431" s="1063"/>
      <c r="E431" s="1063"/>
      <c r="F431" s="1063"/>
      <c r="G431" s="1063"/>
      <c r="H431" s="1063"/>
      <c r="I431" s="1063"/>
      <c r="J431" s="1063"/>
      <c r="K431" s="1063"/>
      <c r="L431" s="1063"/>
      <c r="M431" s="1063"/>
      <c r="N431" s="1063"/>
      <c r="O431" s="1063"/>
      <c r="P431" s="1063"/>
      <c r="Q431" s="1063"/>
      <c r="R431" s="1063"/>
      <c r="S431" s="1063"/>
      <c r="T431" s="1063"/>
      <c r="U431" s="1063"/>
      <c r="V431" s="1063"/>
      <c r="W431" s="1063"/>
      <c r="X431" s="1063"/>
      <c r="Y431" s="1063"/>
      <c r="Z431" s="1063"/>
      <c r="AA431" s="1063"/>
      <c r="AB431" s="1063"/>
      <c r="AC431" s="1063"/>
      <c r="AD431" s="1063"/>
      <c r="AE431" s="1063"/>
      <c r="AF431" s="1063"/>
      <c r="AG431" s="1063"/>
      <c r="AH431" s="1063"/>
      <c r="AI431" s="1063"/>
      <c r="AJ431" s="1063"/>
      <c r="AK431" s="1063"/>
      <c r="AL431" s="1063"/>
      <c r="AM431" s="1063"/>
      <c r="AN431" s="1063"/>
      <c r="AO431" s="1063"/>
      <c r="AP431" s="1063"/>
      <c r="AQ431" s="1063"/>
      <c r="AR431" s="1063"/>
      <c r="AS431" s="1063"/>
      <c r="AT431" s="1063"/>
      <c r="AU431" s="1063"/>
      <c r="AV431" s="1063"/>
      <c r="AW431" s="1063"/>
      <c r="AX431" s="1063"/>
      <c r="AY431" s="1063"/>
      <c r="AZ431" s="1063"/>
      <c r="BA431" s="1063"/>
      <c r="BB431" s="1063"/>
      <c r="BC431" s="1063"/>
      <c r="BD431" s="1063"/>
      <c r="BE431" s="1063"/>
      <c r="BF431" s="1063"/>
      <c r="BG431" s="1063"/>
      <c r="BH431" s="1063"/>
      <c r="BI431" s="1063"/>
      <c r="BJ431" s="1063"/>
      <c r="BK431" s="1063"/>
      <c r="BL431" s="1063"/>
      <c r="BM431" s="1063"/>
      <c r="BN431" s="1063"/>
      <c r="BO431" s="1063"/>
      <c r="BP431" s="1063"/>
      <c r="BQ431" s="1063"/>
      <c r="BR431" s="1063"/>
      <c r="BS431" s="1063"/>
    </row>
    <row r="432" spans="1:71" ht="12.75">
      <c r="A432" s="1063"/>
      <c r="B432" s="1070"/>
      <c r="C432" s="1070"/>
      <c r="D432" s="1063"/>
      <c r="E432" s="1063"/>
      <c r="F432" s="1063"/>
      <c r="G432" s="1063"/>
      <c r="H432" s="1063"/>
      <c r="I432" s="1063"/>
      <c r="J432" s="1063"/>
      <c r="K432" s="1063"/>
      <c r="L432" s="1063"/>
      <c r="M432" s="1063"/>
      <c r="N432" s="1063"/>
      <c r="O432" s="1063"/>
      <c r="P432" s="1063"/>
      <c r="Q432" s="1063"/>
      <c r="R432" s="1063"/>
      <c r="S432" s="1063"/>
      <c r="T432" s="1063"/>
      <c r="U432" s="1063"/>
      <c r="V432" s="1063"/>
      <c r="W432" s="1063"/>
      <c r="X432" s="1063"/>
      <c r="Y432" s="1063"/>
      <c r="Z432" s="1063"/>
      <c r="AA432" s="1063"/>
      <c r="AB432" s="1063"/>
      <c r="AC432" s="1063"/>
      <c r="AD432" s="1063"/>
      <c r="AE432" s="1063"/>
      <c r="AF432" s="1063"/>
      <c r="AG432" s="1063"/>
      <c r="AH432" s="1063"/>
      <c r="AI432" s="1063"/>
      <c r="AJ432" s="1063"/>
      <c r="AK432" s="1063"/>
      <c r="AL432" s="1063"/>
      <c r="AM432" s="1063"/>
      <c r="AN432" s="1063"/>
      <c r="AO432" s="1063"/>
      <c r="AP432" s="1063"/>
      <c r="AQ432" s="1063"/>
      <c r="AR432" s="1063"/>
      <c r="AS432" s="1063"/>
      <c r="AT432" s="1063"/>
      <c r="AU432" s="1063"/>
      <c r="AV432" s="1063"/>
      <c r="AW432" s="1063"/>
      <c r="AX432" s="1063"/>
      <c r="AY432" s="1063"/>
      <c r="AZ432" s="1063"/>
      <c r="BA432" s="1063"/>
      <c r="BB432" s="1063"/>
      <c r="BC432" s="1063"/>
      <c r="BD432" s="1063"/>
      <c r="BE432" s="1063"/>
      <c r="BF432" s="1063"/>
      <c r="BG432" s="1063"/>
      <c r="BH432" s="1063"/>
      <c r="BI432" s="1063"/>
      <c r="BJ432" s="1063"/>
      <c r="BK432" s="1063"/>
      <c r="BL432" s="1063"/>
      <c r="BM432" s="1063"/>
      <c r="BN432" s="1063"/>
      <c r="BO432" s="1063"/>
      <c r="BP432" s="1063"/>
      <c r="BQ432" s="1063"/>
      <c r="BR432" s="1063"/>
      <c r="BS432" s="1063"/>
    </row>
    <row r="433" spans="1:71" ht="12.75">
      <c r="A433" s="1063"/>
      <c r="B433" s="1070"/>
      <c r="C433" s="1070"/>
      <c r="D433" s="1063"/>
      <c r="E433" s="1063"/>
      <c r="F433" s="1063"/>
      <c r="G433" s="1063"/>
      <c r="H433" s="1063"/>
      <c r="I433" s="1063"/>
      <c r="J433" s="1063"/>
      <c r="K433" s="1063"/>
      <c r="L433" s="1063"/>
      <c r="M433" s="1063"/>
      <c r="N433" s="1063"/>
      <c r="O433" s="1063"/>
      <c r="P433" s="1063"/>
      <c r="Q433" s="1063"/>
      <c r="R433" s="1063"/>
      <c r="S433" s="1063"/>
      <c r="T433" s="1063"/>
      <c r="U433" s="1063"/>
      <c r="V433" s="1063"/>
      <c r="W433" s="1063"/>
      <c r="X433" s="1063"/>
      <c r="Y433" s="1063"/>
      <c r="Z433" s="1063"/>
      <c r="AA433" s="1063"/>
      <c r="AB433" s="1063"/>
      <c r="AC433" s="1063"/>
      <c r="AD433" s="1063"/>
      <c r="AE433" s="1063"/>
      <c r="AF433" s="1063"/>
      <c r="AG433" s="1063"/>
      <c r="AH433" s="1063"/>
      <c r="AI433" s="1063"/>
      <c r="AJ433" s="1063"/>
      <c r="AK433" s="1063"/>
      <c r="AL433" s="1063"/>
      <c r="AM433" s="1063"/>
      <c r="AN433" s="1063"/>
      <c r="AO433" s="1063"/>
      <c r="AP433" s="1063"/>
      <c r="AQ433" s="1063"/>
      <c r="AR433" s="1063"/>
      <c r="AS433" s="1063"/>
      <c r="AT433" s="1063"/>
      <c r="AU433" s="1063"/>
      <c r="AV433" s="1063"/>
      <c r="AW433" s="1063"/>
      <c r="AX433" s="1063"/>
      <c r="AY433" s="1063"/>
      <c r="AZ433" s="1063"/>
      <c r="BA433" s="1063"/>
      <c r="BB433" s="1063"/>
      <c r="BC433" s="1063"/>
      <c r="BD433" s="1063"/>
      <c r="BE433" s="1063"/>
      <c r="BF433" s="1063"/>
      <c r="BG433" s="1063"/>
      <c r="BH433" s="1063"/>
      <c r="BI433" s="1063"/>
      <c r="BJ433" s="1063"/>
      <c r="BK433" s="1063"/>
      <c r="BL433" s="1063"/>
      <c r="BM433" s="1063"/>
      <c r="BN433" s="1063"/>
      <c r="BO433" s="1063"/>
      <c r="BP433" s="1063"/>
      <c r="BQ433" s="1063"/>
      <c r="BR433" s="1063"/>
      <c r="BS433" s="1063"/>
    </row>
    <row r="434" spans="1:71" ht="12.75">
      <c r="A434" s="1063"/>
      <c r="B434" s="1070"/>
      <c r="C434" s="1070"/>
      <c r="D434" s="1063"/>
      <c r="E434" s="1063"/>
      <c r="F434" s="1063"/>
      <c r="G434" s="1063"/>
      <c r="H434" s="1063"/>
      <c r="I434" s="1063"/>
      <c r="J434" s="1063"/>
      <c r="K434" s="1063"/>
      <c r="L434" s="1063"/>
      <c r="M434" s="1063"/>
      <c r="N434" s="1063"/>
      <c r="O434" s="1063"/>
      <c r="P434" s="1063"/>
      <c r="Q434" s="1063"/>
      <c r="R434" s="1063"/>
      <c r="S434" s="1063"/>
      <c r="T434" s="1063"/>
      <c r="U434" s="1063"/>
      <c r="V434" s="1063"/>
      <c r="W434" s="1063"/>
      <c r="X434" s="1063"/>
      <c r="Y434" s="1063"/>
      <c r="Z434" s="1063"/>
      <c r="AA434" s="1063"/>
      <c r="AB434" s="1063"/>
      <c r="AC434" s="1063"/>
      <c r="AD434" s="1063"/>
      <c r="AE434" s="1063"/>
      <c r="AF434" s="1063"/>
      <c r="AG434" s="1063"/>
      <c r="AH434" s="1063"/>
      <c r="AI434" s="1063"/>
      <c r="AJ434" s="1063"/>
      <c r="AK434" s="1063"/>
      <c r="AL434" s="1063"/>
      <c r="AM434" s="1063"/>
      <c r="AN434" s="1063"/>
      <c r="AO434" s="1063"/>
      <c r="AP434" s="1063"/>
      <c r="AQ434" s="1063"/>
      <c r="AR434" s="1063"/>
      <c r="AS434" s="1063"/>
      <c r="AT434" s="1063"/>
      <c r="AU434" s="1063"/>
      <c r="AV434" s="1063"/>
      <c r="AW434" s="1063"/>
      <c r="AX434" s="1063"/>
      <c r="AY434" s="1063"/>
      <c r="AZ434" s="1063"/>
      <c r="BA434" s="1063"/>
      <c r="BB434" s="1063"/>
      <c r="BC434" s="1063"/>
      <c r="BD434" s="1063"/>
      <c r="BE434" s="1063"/>
      <c r="BF434" s="1063"/>
      <c r="BG434" s="1063"/>
      <c r="BH434" s="1063"/>
      <c r="BI434" s="1063"/>
      <c r="BJ434" s="1063"/>
      <c r="BK434" s="1063"/>
      <c r="BL434" s="1063"/>
      <c r="BM434" s="1063"/>
      <c r="BN434" s="1063"/>
      <c r="BO434" s="1063"/>
      <c r="BP434" s="1063"/>
      <c r="BQ434" s="1063"/>
      <c r="BR434" s="1063"/>
      <c r="BS434" s="1063"/>
    </row>
    <row r="435" spans="1:71" ht="12.75">
      <c r="A435" s="1063"/>
      <c r="B435" s="1070"/>
      <c r="C435" s="1070"/>
      <c r="D435" s="1063"/>
      <c r="E435" s="1063"/>
      <c r="F435" s="1063"/>
      <c r="G435" s="1063"/>
      <c r="H435" s="1063"/>
      <c r="I435" s="1063"/>
      <c r="J435" s="1063"/>
      <c r="K435" s="1063"/>
      <c r="L435" s="1063"/>
      <c r="M435" s="1063"/>
      <c r="N435" s="1063"/>
      <c r="O435" s="1063"/>
      <c r="P435" s="1063"/>
      <c r="Q435" s="1063"/>
      <c r="R435" s="1063"/>
      <c r="S435" s="1063"/>
      <c r="T435" s="1063"/>
      <c r="U435" s="1063"/>
      <c r="V435" s="1063"/>
      <c r="W435" s="1063"/>
      <c r="X435" s="1063"/>
      <c r="Y435" s="1063"/>
      <c r="Z435" s="1063"/>
      <c r="AA435" s="1063"/>
      <c r="AB435" s="1063"/>
      <c r="AC435" s="1063"/>
      <c r="AD435" s="1063"/>
      <c r="AE435" s="1063"/>
      <c r="AF435" s="1063"/>
      <c r="AG435" s="1063"/>
      <c r="AH435" s="1063"/>
      <c r="AI435" s="1063"/>
      <c r="AJ435" s="1063"/>
      <c r="AK435" s="1063"/>
      <c r="AL435" s="1063"/>
      <c r="AM435" s="1063"/>
      <c r="AN435" s="1063"/>
      <c r="AO435" s="1063"/>
      <c r="AP435" s="1063"/>
      <c r="AQ435" s="1063"/>
      <c r="AR435" s="1063"/>
      <c r="AS435" s="1063"/>
      <c r="AT435" s="1063"/>
      <c r="AU435" s="1063"/>
      <c r="AV435" s="1063"/>
      <c r="AW435" s="1063"/>
      <c r="AX435" s="1063"/>
      <c r="AY435" s="1063"/>
      <c r="AZ435" s="1063"/>
      <c r="BA435" s="1063"/>
      <c r="BB435" s="1063"/>
      <c r="BC435" s="1063"/>
      <c r="BD435" s="1063"/>
      <c r="BE435" s="1063"/>
      <c r="BF435" s="1063"/>
      <c r="BG435" s="1063"/>
      <c r="BH435" s="1063"/>
      <c r="BI435" s="1063"/>
      <c r="BJ435" s="1063"/>
      <c r="BK435" s="1063"/>
      <c r="BL435" s="1063"/>
      <c r="BM435" s="1063"/>
      <c r="BN435" s="1063"/>
      <c r="BO435" s="1063"/>
      <c r="BP435" s="1063"/>
      <c r="BQ435" s="1063"/>
      <c r="BR435" s="1063"/>
      <c r="BS435" s="1063"/>
    </row>
    <row r="436" spans="1:71" ht="12.75">
      <c r="A436" s="1063"/>
      <c r="B436" s="1070"/>
      <c r="C436" s="1070"/>
      <c r="D436" s="1063"/>
      <c r="E436" s="1063"/>
      <c r="F436" s="1063"/>
      <c r="G436" s="1063"/>
      <c r="H436" s="1063"/>
      <c r="I436" s="1063"/>
      <c r="J436" s="1063"/>
      <c r="K436" s="1063"/>
      <c r="L436" s="1063"/>
      <c r="M436" s="1063"/>
      <c r="N436" s="1063"/>
      <c r="O436" s="1063"/>
      <c r="P436" s="1063"/>
      <c r="Q436" s="1063"/>
      <c r="R436" s="1063"/>
      <c r="S436" s="1063"/>
      <c r="T436" s="1063"/>
      <c r="U436" s="1063"/>
      <c r="V436" s="1063"/>
      <c r="W436" s="1063"/>
      <c r="X436" s="1063"/>
      <c r="Y436" s="1063"/>
      <c r="Z436" s="1063"/>
      <c r="AA436" s="1063"/>
      <c r="AB436" s="1063"/>
      <c r="AC436" s="1063"/>
      <c r="AD436" s="1063"/>
      <c r="AE436" s="1063"/>
      <c r="AF436" s="1063"/>
      <c r="AG436" s="1063"/>
      <c r="AH436" s="1063"/>
      <c r="AI436" s="1063"/>
      <c r="AJ436" s="1063"/>
      <c r="AK436" s="1063"/>
      <c r="AL436" s="1063"/>
      <c r="AM436" s="1063"/>
      <c r="AN436" s="1063"/>
      <c r="AO436" s="1063"/>
      <c r="AP436" s="1063"/>
      <c r="AQ436" s="1063"/>
      <c r="AR436" s="1063"/>
      <c r="AS436" s="1063"/>
      <c r="AT436" s="1063"/>
      <c r="AU436" s="1063"/>
      <c r="AV436" s="1063"/>
      <c r="AW436" s="1063"/>
      <c r="AX436" s="1063"/>
      <c r="AY436" s="1063"/>
      <c r="AZ436" s="1063"/>
      <c r="BA436" s="1063"/>
      <c r="BB436" s="1063"/>
      <c r="BC436" s="1063"/>
      <c r="BD436" s="1063"/>
      <c r="BE436" s="1063"/>
      <c r="BF436" s="1063"/>
      <c r="BG436" s="1063"/>
      <c r="BH436" s="1063"/>
      <c r="BI436" s="1063"/>
      <c r="BJ436" s="1063"/>
      <c r="BK436" s="1063"/>
      <c r="BL436" s="1063"/>
      <c r="BM436" s="1063"/>
      <c r="BN436" s="1063"/>
      <c r="BO436" s="1063"/>
      <c r="BP436" s="1063"/>
      <c r="BQ436" s="1063"/>
      <c r="BR436" s="1063"/>
      <c r="BS436" s="1063"/>
    </row>
    <row r="437" spans="1:71" ht="12.75">
      <c r="A437" s="1063"/>
      <c r="B437" s="1070"/>
      <c r="C437" s="1070"/>
      <c r="D437" s="1063"/>
      <c r="E437" s="1063"/>
      <c r="F437" s="1063"/>
      <c r="G437" s="1063"/>
      <c r="H437" s="1063"/>
      <c r="I437" s="1063"/>
      <c r="J437" s="1063"/>
      <c r="K437" s="1063"/>
      <c r="L437" s="1063"/>
      <c r="M437" s="1063"/>
      <c r="N437" s="1063"/>
      <c r="O437" s="1063"/>
      <c r="P437" s="1063"/>
      <c r="Q437" s="1063"/>
      <c r="R437" s="1063"/>
      <c r="S437" s="1063"/>
      <c r="T437" s="1063"/>
      <c r="U437" s="1063"/>
      <c r="V437" s="1063"/>
      <c r="W437" s="1063"/>
      <c r="X437" s="1063"/>
      <c r="Y437" s="1063"/>
      <c r="Z437" s="1063"/>
      <c r="AA437" s="1063"/>
      <c r="AB437" s="1063"/>
      <c r="AC437" s="1063"/>
      <c r="AD437" s="1063"/>
      <c r="AE437" s="1063"/>
      <c r="AF437" s="1063"/>
      <c r="AG437" s="1063"/>
      <c r="AH437" s="1063"/>
      <c r="AI437" s="1063"/>
      <c r="AJ437" s="1063"/>
      <c r="AK437" s="1063"/>
      <c r="AL437" s="1063"/>
      <c r="AM437" s="1063"/>
      <c r="AN437" s="1063"/>
      <c r="AO437" s="1063"/>
      <c r="AP437" s="1063"/>
      <c r="AQ437" s="1063"/>
      <c r="AR437" s="1063"/>
      <c r="AS437" s="1063"/>
      <c r="AT437" s="1063"/>
      <c r="AU437" s="1063"/>
      <c r="AV437" s="1063"/>
      <c r="AW437" s="1063"/>
      <c r="AX437" s="1063"/>
      <c r="AY437" s="1063"/>
      <c r="AZ437" s="1063"/>
      <c r="BA437" s="1063"/>
      <c r="BB437" s="1063"/>
      <c r="BC437" s="1063"/>
      <c r="BD437" s="1063"/>
      <c r="BE437" s="1063"/>
      <c r="BF437" s="1063"/>
      <c r="BG437" s="1063"/>
      <c r="BH437" s="1063"/>
      <c r="BI437" s="1063"/>
      <c r="BJ437" s="1063"/>
      <c r="BK437" s="1063"/>
      <c r="BL437" s="1063"/>
      <c r="BM437" s="1063"/>
      <c r="BN437" s="1063"/>
      <c r="BO437" s="1063"/>
      <c r="BP437" s="1063"/>
      <c r="BQ437" s="1063"/>
      <c r="BR437" s="1063"/>
      <c r="BS437" s="1063"/>
    </row>
    <row r="438" spans="1:71" ht="12.75">
      <c r="A438" s="1063"/>
      <c r="B438" s="1070"/>
      <c r="C438" s="1070"/>
      <c r="D438" s="1063"/>
      <c r="E438" s="1063"/>
      <c r="F438" s="1063"/>
      <c r="G438" s="1063"/>
      <c r="H438" s="1063"/>
      <c r="I438" s="1063"/>
      <c r="J438" s="1063"/>
      <c r="K438" s="1063"/>
      <c r="L438" s="1063"/>
      <c r="M438" s="1063"/>
      <c r="N438" s="1063"/>
      <c r="O438" s="1063"/>
      <c r="P438" s="1063"/>
      <c r="Q438" s="1063"/>
      <c r="R438" s="1063"/>
      <c r="S438" s="1063"/>
      <c r="T438" s="1063"/>
      <c r="U438" s="1063"/>
      <c r="V438" s="1063"/>
      <c r="W438" s="1063"/>
      <c r="X438" s="1063"/>
      <c r="Y438" s="1063"/>
      <c r="Z438" s="1063"/>
      <c r="AA438" s="1063"/>
      <c r="AB438" s="1063"/>
      <c r="AC438" s="1063"/>
      <c r="AD438" s="1063"/>
      <c r="AE438" s="1063"/>
      <c r="AF438" s="1063"/>
      <c r="AG438" s="1063"/>
      <c r="AH438" s="1063"/>
      <c r="AI438" s="1063"/>
      <c r="AJ438" s="1063"/>
      <c r="AK438" s="1063"/>
      <c r="AL438" s="1063"/>
      <c r="AM438" s="1063"/>
      <c r="AN438" s="1063"/>
      <c r="AO438" s="1063"/>
      <c r="AP438" s="1063"/>
      <c r="AQ438" s="1063"/>
      <c r="AR438" s="1063"/>
      <c r="AS438" s="1063"/>
      <c r="AT438" s="1063"/>
      <c r="AU438" s="1063"/>
      <c r="AV438" s="1063"/>
      <c r="AW438" s="1063"/>
      <c r="AX438" s="1063"/>
      <c r="AY438" s="1063"/>
      <c r="AZ438" s="1063"/>
      <c r="BA438" s="1063"/>
      <c r="BB438" s="1063"/>
      <c r="BC438" s="1063"/>
      <c r="BD438" s="1063"/>
      <c r="BE438" s="1063"/>
      <c r="BF438" s="1063"/>
      <c r="BG438" s="1063"/>
      <c r="BH438" s="1063"/>
      <c r="BI438" s="1063"/>
      <c r="BJ438" s="1063"/>
      <c r="BK438" s="1063"/>
      <c r="BL438" s="1063"/>
      <c r="BM438" s="1063"/>
      <c r="BN438" s="1063"/>
      <c r="BO438" s="1063"/>
      <c r="BP438" s="1063"/>
      <c r="BQ438" s="1063"/>
      <c r="BR438" s="1063"/>
      <c r="BS438" s="1063"/>
    </row>
    <row r="439" spans="1:71" ht="12.75">
      <c r="A439" s="1063"/>
      <c r="B439" s="1070"/>
      <c r="C439" s="1070"/>
      <c r="D439" s="1063"/>
      <c r="E439" s="1063"/>
      <c r="F439" s="1063"/>
      <c r="G439" s="1063"/>
      <c r="H439" s="1063"/>
      <c r="I439" s="1063"/>
      <c r="J439" s="1063"/>
      <c r="K439" s="1063"/>
      <c r="L439" s="1063"/>
      <c r="M439" s="1063"/>
      <c r="N439" s="1063"/>
      <c r="O439" s="1063"/>
      <c r="P439" s="1063"/>
      <c r="Q439" s="1063"/>
      <c r="R439" s="1063"/>
      <c r="S439" s="1063"/>
      <c r="T439" s="1063"/>
      <c r="U439" s="1063"/>
      <c r="V439" s="1063"/>
      <c r="W439" s="1063"/>
      <c r="X439" s="1063"/>
      <c r="Y439" s="1063"/>
      <c r="Z439" s="1063"/>
      <c r="AA439" s="1063"/>
      <c r="AB439" s="1063"/>
      <c r="AC439" s="1063"/>
      <c r="AD439" s="1063"/>
      <c r="AE439" s="1063"/>
      <c r="AF439" s="1063"/>
      <c r="AG439" s="1063"/>
      <c r="AH439" s="1063"/>
      <c r="AI439" s="1063"/>
      <c r="AJ439" s="1063"/>
      <c r="AK439" s="1063"/>
      <c r="AL439" s="1063"/>
      <c r="AM439" s="1063"/>
      <c r="AN439" s="1063"/>
      <c r="AO439" s="1063"/>
      <c r="AP439" s="1063"/>
      <c r="AQ439" s="1063"/>
      <c r="AR439" s="1063"/>
      <c r="AS439" s="1063"/>
      <c r="AT439" s="1063"/>
      <c r="AU439" s="1063"/>
      <c r="AV439" s="1063"/>
      <c r="AW439" s="1063"/>
      <c r="AX439" s="1063"/>
      <c r="AY439" s="1063"/>
      <c r="AZ439" s="1063"/>
      <c r="BA439" s="1063"/>
      <c r="BB439" s="1063"/>
      <c r="BC439" s="1063"/>
      <c r="BD439" s="1063"/>
      <c r="BE439" s="1063"/>
      <c r="BF439" s="1063"/>
      <c r="BG439" s="1063"/>
      <c r="BH439" s="1063"/>
      <c r="BI439" s="1063"/>
      <c r="BJ439" s="1063"/>
      <c r="BK439" s="1063"/>
      <c r="BL439" s="1063"/>
      <c r="BM439" s="1063"/>
      <c r="BN439" s="1063"/>
      <c r="BO439" s="1063"/>
      <c r="BP439" s="1063"/>
      <c r="BQ439" s="1063"/>
      <c r="BR439" s="1063"/>
      <c r="BS439" s="1063"/>
    </row>
    <row r="440" spans="1:71" ht="12.75">
      <c r="A440" s="1063"/>
      <c r="B440" s="1070"/>
      <c r="C440" s="1070"/>
      <c r="D440" s="1063"/>
      <c r="E440" s="1063"/>
      <c r="F440" s="1063"/>
      <c r="G440" s="1063"/>
      <c r="H440" s="1063"/>
      <c r="I440" s="1063"/>
      <c r="J440" s="1063"/>
      <c r="K440" s="1063"/>
      <c r="L440" s="1063"/>
      <c r="M440" s="1063"/>
      <c r="N440" s="1063"/>
      <c r="O440" s="1063"/>
      <c r="P440" s="1063"/>
      <c r="Q440" s="1063"/>
      <c r="R440" s="1063"/>
      <c r="S440" s="1063"/>
      <c r="T440" s="1063"/>
      <c r="U440" s="1063"/>
      <c r="V440" s="1063"/>
      <c r="W440" s="1063"/>
      <c r="X440" s="1063"/>
      <c r="Y440" s="1063"/>
      <c r="Z440" s="1063"/>
      <c r="AA440" s="1063"/>
      <c r="AB440" s="1063"/>
      <c r="AC440" s="1063"/>
      <c r="AD440" s="1063"/>
      <c r="AE440" s="1063"/>
      <c r="AF440" s="1063"/>
      <c r="AG440" s="1063"/>
      <c r="AH440" s="1063"/>
      <c r="AI440" s="1063"/>
      <c r="AJ440" s="1063"/>
      <c r="AK440" s="1063"/>
      <c r="AL440" s="1063"/>
      <c r="AM440" s="1063"/>
      <c r="AN440" s="1063"/>
      <c r="AO440" s="1063"/>
      <c r="AP440" s="1063"/>
      <c r="AQ440" s="1063"/>
      <c r="AR440" s="1063"/>
      <c r="AS440" s="1063"/>
      <c r="AT440" s="1063"/>
      <c r="AU440" s="1063"/>
      <c r="AV440" s="1063"/>
      <c r="AW440" s="1063"/>
      <c r="AX440" s="1063"/>
      <c r="AY440" s="1063"/>
      <c r="AZ440" s="1063"/>
      <c r="BA440" s="1063"/>
      <c r="BB440" s="1063"/>
      <c r="BC440" s="1063"/>
      <c r="BD440" s="1063"/>
      <c r="BE440" s="1063"/>
      <c r="BF440" s="1063"/>
      <c r="BG440" s="1063"/>
      <c r="BH440" s="1063"/>
      <c r="BI440" s="1063"/>
      <c r="BJ440" s="1063"/>
      <c r="BK440" s="1063"/>
      <c r="BL440" s="1063"/>
      <c r="BM440" s="1063"/>
      <c r="BN440" s="1063"/>
      <c r="BO440" s="1063"/>
      <c r="BP440" s="1063"/>
      <c r="BQ440" s="1063"/>
      <c r="BR440" s="1063"/>
      <c r="BS440" s="1063"/>
    </row>
    <row r="441" spans="1:71" ht="12.75">
      <c r="A441" s="1063"/>
      <c r="B441" s="1070"/>
      <c r="C441" s="1070"/>
      <c r="D441" s="1063"/>
      <c r="E441" s="1063"/>
      <c r="F441" s="1063"/>
      <c r="G441" s="1063"/>
      <c r="H441" s="1063"/>
      <c r="I441" s="1063"/>
      <c r="J441" s="1063"/>
      <c r="K441" s="1063"/>
      <c r="L441" s="1063"/>
      <c r="M441" s="1063"/>
      <c r="N441" s="1063"/>
      <c r="O441" s="1063"/>
      <c r="P441" s="1063"/>
      <c r="Q441" s="1063"/>
      <c r="R441" s="1063"/>
      <c r="S441" s="1063"/>
      <c r="T441" s="1063"/>
      <c r="U441" s="1063"/>
      <c r="V441" s="1063"/>
      <c r="W441" s="1063"/>
      <c r="X441" s="1063"/>
      <c r="Y441" s="1063"/>
      <c r="Z441" s="1063"/>
      <c r="AA441" s="1063"/>
      <c r="AB441" s="1063"/>
      <c r="AC441" s="1063"/>
      <c r="AD441" s="1063"/>
      <c r="AE441" s="1063"/>
      <c r="AF441" s="1063"/>
      <c r="AG441" s="1063"/>
      <c r="AH441" s="1063"/>
      <c r="AI441" s="1063"/>
      <c r="AJ441" s="1063"/>
      <c r="AK441" s="1063"/>
      <c r="AL441" s="1063"/>
      <c r="AM441" s="1063"/>
      <c r="AN441" s="1063"/>
      <c r="AO441" s="1063"/>
      <c r="AP441" s="1063"/>
      <c r="AQ441" s="1063"/>
      <c r="AR441" s="1063"/>
      <c r="AS441" s="1063"/>
      <c r="AT441" s="1063"/>
      <c r="AU441" s="1063"/>
      <c r="AV441" s="1063"/>
      <c r="AW441" s="1063"/>
      <c r="AX441" s="1063"/>
      <c r="AY441" s="1063"/>
      <c r="AZ441" s="1063"/>
      <c r="BA441" s="1063"/>
      <c r="BB441" s="1063"/>
      <c r="BC441" s="1063"/>
      <c r="BD441" s="1063"/>
      <c r="BE441" s="1063"/>
      <c r="BF441" s="1063"/>
      <c r="BG441" s="1063"/>
      <c r="BH441" s="1063"/>
      <c r="BI441" s="1063"/>
      <c r="BJ441" s="1063"/>
      <c r="BK441" s="1063"/>
      <c r="BL441" s="1063"/>
      <c r="BM441" s="1063"/>
      <c r="BN441" s="1063"/>
      <c r="BO441" s="1063"/>
      <c r="BP441" s="1063"/>
      <c r="BQ441" s="1063"/>
      <c r="BR441" s="1063"/>
      <c r="BS441" s="1063"/>
    </row>
    <row r="442" spans="1:71" ht="12.75">
      <c r="A442" s="1063"/>
      <c r="B442" s="1070"/>
      <c r="C442" s="1070"/>
      <c r="D442" s="1063"/>
      <c r="E442" s="1063"/>
      <c r="F442" s="1063"/>
      <c r="G442" s="1063"/>
      <c r="H442" s="1063"/>
      <c r="I442" s="1063"/>
      <c r="J442" s="1063"/>
      <c r="K442" s="1063"/>
      <c r="L442" s="1063"/>
      <c r="M442" s="1063"/>
      <c r="N442" s="1063"/>
      <c r="O442" s="1063"/>
      <c r="P442" s="1063"/>
      <c r="Q442" s="1063"/>
      <c r="R442" s="1063"/>
      <c r="S442" s="1063"/>
      <c r="T442" s="1063"/>
      <c r="U442" s="1063"/>
      <c r="V442" s="1063"/>
      <c r="W442" s="1063"/>
      <c r="X442" s="1063"/>
      <c r="Y442" s="1063"/>
      <c r="Z442" s="1063"/>
      <c r="AA442" s="1063"/>
      <c r="AB442" s="1063"/>
      <c r="AC442" s="1063"/>
      <c r="AD442" s="1063"/>
      <c r="AE442" s="1063"/>
      <c r="AF442" s="1063"/>
      <c r="AG442" s="1063"/>
      <c r="AH442" s="1063"/>
      <c r="AI442" s="1063"/>
      <c r="AJ442" s="1063"/>
      <c r="AK442" s="1063"/>
      <c r="AL442" s="1063"/>
      <c r="AM442" s="1063"/>
      <c r="AN442" s="1063"/>
      <c r="AO442" s="1063"/>
      <c r="AP442" s="1063"/>
      <c r="AQ442" s="1063"/>
      <c r="AR442" s="1063"/>
      <c r="AS442" s="1063"/>
      <c r="AT442" s="1063"/>
      <c r="AU442" s="1063"/>
      <c r="AV442" s="1063"/>
      <c r="AW442" s="1063"/>
      <c r="AX442" s="1063"/>
      <c r="AY442" s="1063"/>
      <c r="AZ442" s="1063"/>
      <c r="BA442" s="1063"/>
      <c r="BB442" s="1063"/>
      <c r="BC442" s="1063"/>
      <c r="BD442" s="1063"/>
      <c r="BE442" s="1063"/>
      <c r="BF442" s="1063"/>
      <c r="BG442" s="1063"/>
      <c r="BH442" s="1063"/>
      <c r="BI442" s="1063"/>
      <c r="BJ442" s="1063"/>
      <c r="BK442" s="1063"/>
      <c r="BL442" s="1063"/>
      <c r="BM442" s="1063"/>
      <c r="BN442" s="1063"/>
      <c r="BO442" s="1063"/>
      <c r="BP442" s="1063"/>
      <c r="BQ442" s="1063"/>
      <c r="BR442" s="1063"/>
      <c r="BS442" s="1063"/>
    </row>
    <row r="443" spans="1:71" ht="12.75">
      <c r="A443" s="1063"/>
      <c r="B443" s="1070"/>
      <c r="C443" s="1070"/>
      <c r="D443" s="1063"/>
      <c r="E443" s="1063"/>
      <c r="F443" s="1063"/>
      <c r="G443" s="1063"/>
      <c r="H443" s="1063"/>
      <c r="I443" s="1063"/>
      <c r="J443" s="1063"/>
      <c r="K443" s="1063"/>
      <c r="L443" s="1063"/>
      <c r="M443" s="1063"/>
      <c r="N443" s="1063"/>
      <c r="O443" s="1063"/>
      <c r="P443" s="1063"/>
      <c r="Q443" s="1063"/>
      <c r="R443" s="1063"/>
      <c r="S443" s="1063"/>
      <c r="T443" s="1063"/>
      <c r="U443" s="1063"/>
      <c r="V443" s="1063"/>
      <c r="W443" s="1063"/>
      <c r="X443" s="1063"/>
      <c r="Y443" s="1063"/>
      <c r="Z443" s="1063"/>
      <c r="AA443" s="1063"/>
      <c r="AB443" s="1063"/>
      <c r="AC443" s="1063"/>
      <c r="AD443" s="1063"/>
      <c r="AE443" s="1063"/>
      <c r="AF443" s="1063"/>
      <c r="AG443" s="1063"/>
      <c r="AH443" s="1063"/>
      <c r="AI443" s="1063"/>
      <c r="AJ443" s="1063"/>
      <c r="AK443" s="1063"/>
      <c r="AL443" s="1063"/>
      <c r="AM443" s="1063"/>
      <c r="AN443" s="1063"/>
      <c r="AO443" s="1063"/>
      <c r="AP443" s="1063"/>
      <c r="AQ443" s="1063"/>
      <c r="AR443" s="1063"/>
      <c r="AS443" s="1063"/>
      <c r="AT443" s="1063"/>
      <c r="AU443" s="1063"/>
      <c r="AV443" s="1063"/>
      <c r="AW443" s="1063"/>
      <c r="AX443" s="1063"/>
      <c r="AY443" s="1063"/>
      <c r="AZ443" s="1063"/>
      <c r="BA443" s="1063"/>
      <c r="BB443" s="1063"/>
      <c r="BC443" s="1063"/>
      <c r="BD443" s="1063"/>
      <c r="BE443" s="1063"/>
      <c r="BF443" s="1063"/>
      <c r="BG443" s="1063"/>
      <c r="BH443" s="1063"/>
      <c r="BI443" s="1063"/>
      <c r="BJ443" s="1063"/>
      <c r="BK443" s="1063"/>
      <c r="BL443" s="1063"/>
      <c r="BM443" s="1063"/>
      <c r="BN443" s="1063"/>
      <c r="BO443" s="1063"/>
      <c r="BP443" s="1063"/>
      <c r="BQ443" s="1063"/>
      <c r="BR443" s="1063"/>
      <c r="BS443" s="1063"/>
    </row>
    <row r="444" spans="1:71" ht="12.75">
      <c r="A444" s="1063"/>
      <c r="B444" s="1070"/>
      <c r="C444" s="1070"/>
      <c r="D444" s="1063"/>
      <c r="E444" s="1063"/>
      <c r="F444" s="1063"/>
      <c r="G444" s="1063"/>
      <c r="H444" s="1063"/>
      <c r="I444" s="1063"/>
      <c r="J444" s="1063"/>
      <c r="K444" s="1063"/>
      <c r="L444" s="1063"/>
      <c r="M444" s="1063"/>
      <c r="N444" s="1063"/>
      <c r="O444" s="1063"/>
      <c r="P444" s="1063"/>
      <c r="Q444" s="1063"/>
      <c r="R444" s="1063"/>
      <c r="S444" s="1063"/>
      <c r="T444" s="1063"/>
      <c r="U444" s="1063"/>
      <c r="V444" s="1063"/>
      <c r="W444" s="1063"/>
      <c r="X444" s="1063"/>
      <c r="Y444" s="1063"/>
      <c r="Z444" s="1063"/>
      <c r="AA444" s="1063"/>
      <c r="AB444" s="1063"/>
      <c r="AC444" s="1063"/>
      <c r="AD444" s="1063"/>
      <c r="AE444" s="1063"/>
      <c r="AF444" s="1063"/>
      <c r="AG444" s="1063"/>
      <c r="AH444" s="1063"/>
      <c r="AI444" s="1063"/>
      <c r="AJ444" s="1063"/>
      <c r="AK444" s="1063"/>
      <c r="AL444" s="1063"/>
      <c r="AM444" s="1063"/>
      <c r="AN444" s="1063"/>
      <c r="AO444" s="1063"/>
      <c r="AP444" s="1063"/>
      <c r="AQ444" s="1063"/>
      <c r="AR444" s="1063"/>
      <c r="AS444" s="1063"/>
      <c r="AT444" s="1063"/>
      <c r="AU444" s="1063"/>
      <c r="AV444" s="1063"/>
      <c r="AW444" s="1063"/>
      <c r="AX444" s="1063"/>
      <c r="AY444" s="1063"/>
      <c r="AZ444" s="1063"/>
      <c r="BA444" s="1063"/>
      <c r="BB444" s="1063"/>
      <c r="BC444" s="1063"/>
      <c r="BD444" s="1063"/>
      <c r="BE444" s="1063"/>
      <c r="BF444" s="1063"/>
      <c r="BG444" s="1063"/>
      <c r="BH444" s="1063"/>
      <c r="BI444" s="1063"/>
      <c r="BJ444" s="1063"/>
      <c r="BK444" s="1063"/>
      <c r="BL444" s="1063"/>
      <c r="BM444" s="1063"/>
      <c r="BN444" s="1063"/>
      <c r="BO444" s="1063"/>
      <c r="BP444" s="1063"/>
      <c r="BQ444" s="1063"/>
      <c r="BR444" s="1063"/>
      <c r="BS444" s="1063"/>
    </row>
    <row r="445" spans="1:71" ht="12.75">
      <c r="A445" s="1063"/>
      <c r="B445" s="1070"/>
      <c r="C445" s="1070"/>
      <c r="D445" s="1063"/>
      <c r="E445" s="1063"/>
      <c r="F445" s="1063"/>
      <c r="G445" s="1063"/>
      <c r="H445" s="1063"/>
      <c r="I445" s="1063"/>
      <c r="J445" s="1063"/>
      <c r="K445" s="1063"/>
      <c r="L445" s="1063"/>
      <c r="M445" s="1063"/>
      <c r="N445" s="1063"/>
      <c r="O445" s="1063"/>
      <c r="P445" s="1063"/>
      <c r="Q445" s="1063"/>
      <c r="R445" s="1063"/>
      <c r="S445" s="1063"/>
      <c r="T445" s="1063"/>
      <c r="U445" s="1063"/>
      <c r="V445" s="1063"/>
      <c r="W445" s="1063"/>
      <c r="X445" s="1063"/>
      <c r="Y445" s="1063"/>
      <c r="Z445" s="1063"/>
      <c r="AA445" s="1063"/>
      <c r="AB445" s="1063"/>
      <c r="AC445" s="1063"/>
      <c r="AD445" s="1063"/>
      <c r="AE445" s="1063"/>
      <c r="AF445" s="1063"/>
      <c r="AG445" s="1063"/>
      <c r="AH445" s="1063"/>
      <c r="AI445" s="1063"/>
      <c r="AJ445" s="1063"/>
      <c r="AK445" s="1063"/>
      <c r="AL445" s="1063"/>
      <c r="AM445" s="1063"/>
      <c r="AN445" s="1063"/>
      <c r="AO445" s="1063"/>
      <c r="AP445" s="1063"/>
      <c r="AQ445" s="1063"/>
      <c r="AR445" s="1063"/>
      <c r="AS445" s="1063"/>
      <c r="AT445" s="1063"/>
      <c r="AU445" s="1063"/>
      <c r="AV445" s="1063"/>
      <c r="AW445" s="1063"/>
      <c r="AX445" s="1063"/>
      <c r="AY445" s="1063"/>
      <c r="AZ445" s="1063"/>
      <c r="BA445" s="1063"/>
      <c r="BB445" s="1063"/>
      <c r="BC445" s="1063"/>
      <c r="BD445" s="1063"/>
      <c r="BE445" s="1063"/>
      <c r="BF445" s="1063"/>
      <c r="BG445" s="1063"/>
      <c r="BH445" s="1063"/>
      <c r="BI445" s="1063"/>
      <c r="BJ445" s="1063"/>
      <c r="BK445" s="1063"/>
      <c r="BL445" s="1063"/>
      <c r="BM445" s="1063"/>
      <c r="BN445" s="1063"/>
      <c r="BO445" s="1063"/>
      <c r="BP445" s="1063"/>
      <c r="BQ445" s="1063"/>
      <c r="BR445" s="1063"/>
      <c r="BS445" s="1063"/>
    </row>
    <row r="446" spans="1:71" ht="12.75">
      <c r="A446" s="1063"/>
      <c r="B446" s="1070"/>
      <c r="C446" s="1070"/>
      <c r="D446" s="1063"/>
      <c r="E446" s="1063"/>
      <c r="F446" s="1063"/>
      <c r="G446" s="1063"/>
      <c r="H446" s="1063"/>
      <c r="I446" s="1063"/>
      <c r="J446" s="1063"/>
      <c r="K446" s="1063"/>
      <c r="L446" s="1063"/>
      <c r="M446" s="1063"/>
      <c r="N446" s="1063"/>
      <c r="O446" s="1063"/>
      <c r="P446" s="1063"/>
      <c r="Q446" s="1063"/>
      <c r="R446" s="1063"/>
      <c r="S446" s="1063"/>
      <c r="T446" s="1063"/>
      <c r="U446" s="1063"/>
      <c r="V446" s="1063"/>
      <c r="W446" s="1063"/>
      <c r="X446" s="1063"/>
      <c r="Y446" s="1063"/>
      <c r="Z446" s="1063"/>
      <c r="AA446" s="1063"/>
      <c r="AB446" s="1063"/>
      <c r="AC446" s="1063"/>
      <c r="AD446" s="1063"/>
      <c r="AE446" s="1063"/>
      <c r="AF446" s="1063"/>
      <c r="AG446" s="1063"/>
      <c r="AH446" s="1063"/>
      <c r="AI446" s="1063"/>
      <c r="AJ446" s="1063"/>
      <c r="AK446" s="1063"/>
      <c r="AL446" s="1063"/>
      <c r="AM446" s="1063"/>
      <c r="AN446" s="1063"/>
      <c r="AO446" s="1063"/>
      <c r="AP446" s="1063"/>
      <c r="AQ446" s="1063"/>
      <c r="AR446" s="1063"/>
      <c r="AS446" s="1063"/>
      <c r="AT446" s="1063"/>
      <c r="AU446" s="1063"/>
      <c r="AV446" s="1063"/>
      <c r="AW446" s="1063"/>
      <c r="AX446" s="1063"/>
      <c r="AY446" s="1063"/>
      <c r="AZ446" s="1063"/>
      <c r="BA446" s="1063"/>
      <c r="BB446" s="1063"/>
      <c r="BC446" s="1063"/>
      <c r="BD446" s="1063"/>
      <c r="BE446" s="1063"/>
      <c r="BF446" s="1063"/>
      <c r="BG446" s="1063"/>
      <c r="BH446" s="1063"/>
      <c r="BI446" s="1063"/>
      <c r="BJ446" s="1063"/>
      <c r="BK446" s="1063"/>
      <c r="BL446" s="1063"/>
      <c r="BM446" s="1063"/>
      <c r="BN446" s="1063"/>
      <c r="BO446" s="1063"/>
      <c r="BP446" s="1063"/>
      <c r="BQ446" s="1063"/>
      <c r="BR446" s="1063"/>
      <c r="BS446" s="1063"/>
    </row>
    <row r="447" spans="1:71" ht="12.75">
      <c r="A447" s="1063"/>
      <c r="B447" s="1070"/>
      <c r="C447" s="1070"/>
      <c r="D447" s="1063"/>
      <c r="E447" s="1063"/>
      <c r="F447" s="1063"/>
      <c r="G447" s="1063"/>
      <c r="H447" s="1063"/>
      <c r="I447" s="1063"/>
      <c r="J447" s="1063"/>
      <c r="K447" s="1063"/>
      <c r="L447" s="1063"/>
      <c r="M447" s="1063"/>
      <c r="N447" s="1063"/>
      <c r="O447" s="1063"/>
      <c r="P447" s="1063"/>
      <c r="Q447" s="1063"/>
      <c r="R447" s="1063"/>
      <c r="S447" s="1063"/>
      <c r="T447" s="1063"/>
      <c r="U447" s="1063"/>
      <c r="V447" s="1063"/>
      <c r="W447" s="1063"/>
      <c r="X447" s="1063"/>
      <c r="Y447" s="1063"/>
      <c r="Z447" s="1063"/>
      <c r="AA447" s="1063"/>
      <c r="AB447" s="1063"/>
      <c r="AC447" s="1063"/>
      <c r="AD447" s="1063"/>
      <c r="AE447" s="1063"/>
      <c r="AF447" s="1063"/>
      <c r="AG447" s="1063"/>
      <c r="AH447" s="1063"/>
      <c r="AI447" s="1063"/>
      <c r="AJ447" s="1063"/>
      <c r="AK447" s="1063"/>
      <c r="AL447" s="1063"/>
      <c r="AM447" s="1063"/>
      <c r="AN447" s="1063"/>
      <c r="AO447" s="1063"/>
      <c r="AP447" s="1063"/>
      <c r="AQ447" s="1063"/>
      <c r="AR447" s="1063"/>
      <c r="AS447" s="1063"/>
      <c r="AT447" s="1063"/>
      <c r="AU447" s="1063"/>
      <c r="AV447" s="1063"/>
      <c r="AW447" s="1063"/>
      <c r="AX447" s="1063"/>
      <c r="AY447" s="1063"/>
      <c r="AZ447" s="1063"/>
      <c r="BA447" s="1063"/>
      <c r="BB447" s="1063"/>
      <c r="BC447" s="1063"/>
      <c r="BD447" s="1063"/>
      <c r="BE447" s="1063"/>
      <c r="BF447" s="1063"/>
      <c r="BG447" s="1063"/>
      <c r="BH447" s="1063"/>
      <c r="BI447" s="1063"/>
      <c r="BJ447" s="1063"/>
      <c r="BK447" s="1063"/>
      <c r="BL447" s="1063"/>
      <c r="BM447" s="1063"/>
      <c r="BN447" s="1063"/>
      <c r="BO447" s="1063"/>
      <c r="BP447" s="1063"/>
      <c r="BQ447" s="1063"/>
      <c r="BR447" s="1063"/>
      <c r="BS447" s="1063"/>
    </row>
    <row r="448" spans="1:71" ht="12.75">
      <c r="A448" s="1063"/>
      <c r="B448" s="1070"/>
      <c r="C448" s="1070"/>
      <c r="D448" s="1063"/>
      <c r="E448" s="1063"/>
      <c r="F448" s="1063"/>
      <c r="G448" s="1063"/>
      <c r="H448" s="1063"/>
      <c r="I448" s="1063"/>
      <c r="J448" s="1063"/>
      <c r="K448" s="1063"/>
      <c r="L448" s="1063"/>
      <c r="M448" s="1063"/>
      <c r="N448" s="1063"/>
      <c r="O448" s="1063"/>
      <c r="P448" s="1063"/>
      <c r="Q448" s="1063"/>
      <c r="R448" s="1063"/>
      <c r="S448" s="1063"/>
      <c r="T448" s="1063"/>
      <c r="U448" s="1063"/>
      <c r="V448" s="1063"/>
      <c r="W448" s="1063"/>
      <c r="X448" s="1063"/>
      <c r="Y448" s="1063"/>
      <c r="Z448" s="1063"/>
      <c r="AA448" s="1063"/>
      <c r="AB448" s="1063"/>
      <c r="AC448" s="1063"/>
      <c r="AD448" s="1063"/>
      <c r="AE448" s="1063"/>
      <c r="AF448" s="1063"/>
      <c r="AG448" s="1063"/>
      <c r="AH448" s="1063"/>
      <c r="AI448" s="1063"/>
      <c r="AJ448" s="1063"/>
      <c r="AK448" s="1063"/>
      <c r="AL448" s="1063"/>
      <c r="AM448" s="1063"/>
      <c r="AN448" s="1063"/>
      <c r="AO448" s="1063"/>
      <c r="AP448" s="1063"/>
      <c r="AQ448" s="1063"/>
      <c r="AR448" s="1063"/>
      <c r="AS448" s="1063"/>
      <c r="AT448" s="1063"/>
      <c r="AU448" s="1063"/>
      <c r="AV448" s="1063"/>
      <c r="AW448" s="1063"/>
      <c r="AX448" s="1063"/>
      <c r="AY448" s="1063"/>
      <c r="AZ448" s="1063"/>
      <c r="BA448" s="1063"/>
      <c r="BB448" s="1063"/>
      <c r="BC448" s="1063"/>
      <c r="BD448" s="1063"/>
      <c r="BE448" s="1063"/>
      <c r="BF448" s="1063"/>
      <c r="BG448" s="1063"/>
      <c r="BH448" s="1063"/>
      <c r="BI448" s="1063"/>
      <c r="BJ448" s="1063"/>
      <c r="BK448" s="1063"/>
      <c r="BL448" s="1063"/>
      <c r="BM448" s="1063"/>
      <c r="BN448" s="1063"/>
      <c r="BO448" s="1063"/>
      <c r="BP448" s="1063"/>
      <c r="BQ448" s="1063"/>
      <c r="BR448" s="1063"/>
      <c r="BS448" s="1063"/>
    </row>
    <row r="449" spans="1:71" ht="12.75">
      <c r="A449" s="1063"/>
      <c r="B449" s="1070"/>
      <c r="C449" s="1070"/>
      <c r="D449" s="1063"/>
      <c r="E449" s="1063"/>
      <c r="F449" s="1063"/>
      <c r="G449" s="1063"/>
      <c r="H449" s="1063"/>
      <c r="I449" s="1063"/>
      <c r="J449" s="1063"/>
      <c r="K449" s="1063"/>
      <c r="L449" s="1063"/>
      <c r="M449" s="1063"/>
      <c r="N449" s="1063"/>
      <c r="O449" s="1063"/>
      <c r="P449" s="1063"/>
      <c r="Q449" s="1063"/>
      <c r="R449" s="1063"/>
      <c r="S449" s="1063"/>
      <c r="T449" s="1063"/>
      <c r="U449" s="1063"/>
      <c r="V449" s="1063"/>
      <c r="W449" s="1063"/>
      <c r="X449" s="1063"/>
      <c r="Y449" s="1063"/>
      <c r="Z449" s="1063"/>
      <c r="AA449" s="1063"/>
      <c r="AB449" s="1063"/>
      <c r="AC449" s="1063"/>
      <c r="AD449" s="1063"/>
      <c r="AE449" s="1063"/>
      <c r="AF449" s="1063"/>
      <c r="AG449" s="1063"/>
      <c r="AH449" s="1063"/>
      <c r="AI449" s="1063"/>
      <c r="AJ449" s="1063"/>
      <c r="AK449" s="1063"/>
      <c r="AL449" s="1063"/>
      <c r="AM449" s="1063"/>
      <c r="AN449" s="1063"/>
      <c r="AO449" s="1063"/>
      <c r="AP449" s="1063"/>
      <c r="AQ449" s="1063"/>
      <c r="AR449" s="1063"/>
      <c r="AS449" s="1063"/>
      <c r="AT449" s="1063"/>
      <c r="AU449" s="1063"/>
      <c r="AV449" s="1063"/>
      <c r="AW449" s="1063"/>
      <c r="AX449" s="1063"/>
      <c r="AY449" s="1063"/>
      <c r="AZ449" s="1063"/>
      <c r="BA449" s="1063"/>
      <c r="BB449" s="1063"/>
      <c r="BC449" s="1063"/>
      <c r="BD449" s="1063"/>
      <c r="BE449" s="1063"/>
      <c r="BF449" s="1063"/>
      <c r="BG449" s="1063"/>
      <c r="BH449" s="1063"/>
      <c r="BI449" s="1063"/>
      <c r="BJ449" s="1063"/>
      <c r="BK449" s="1063"/>
      <c r="BL449" s="1063"/>
      <c r="BM449" s="1063"/>
      <c r="BN449" s="1063"/>
      <c r="BO449" s="1063"/>
      <c r="BP449" s="1063"/>
      <c r="BQ449" s="1063"/>
      <c r="BR449" s="1063"/>
      <c r="BS449" s="1063"/>
    </row>
    <row r="450" spans="1:71" ht="12.75">
      <c r="A450" s="1063"/>
      <c r="B450" s="1070"/>
      <c r="C450" s="1070"/>
      <c r="D450" s="1063"/>
      <c r="E450" s="1063"/>
      <c r="F450" s="1063"/>
      <c r="G450" s="1063"/>
      <c r="H450" s="1063"/>
      <c r="I450" s="1063"/>
      <c r="J450" s="1063"/>
      <c r="K450" s="1063"/>
      <c r="L450" s="1063"/>
      <c r="M450" s="1063"/>
      <c r="N450" s="1063"/>
      <c r="O450" s="1063"/>
      <c r="P450" s="1063"/>
      <c r="Q450" s="1063"/>
      <c r="R450" s="1063"/>
      <c r="S450" s="1063"/>
      <c r="T450" s="1063"/>
      <c r="U450" s="1063"/>
      <c r="V450" s="1063"/>
      <c r="W450" s="1063"/>
      <c r="X450" s="1063"/>
      <c r="Y450" s="1063"/>
      <c r="Z450" s="1063"/>
      <c r="AA450" s="1063"/>
      <c r="AB450" s="1063"/>
      <c r="AC450" s="1063"/>
      <c r="AD450" s="1063"/>
      <c r="AE450" s="1063"/>
      <c r="AF450" s="1063"/>
      <c r="AG450" s="1063"/>
      <c r="AH450" s="1063"/>
      <c r="AI450" s="1063"/>
      <c r="AJ450" s="1063"/>
      <c r="AK450" s="1063"/>
      <c r="AL450" s="1063"/>
      <c r="AM450" s="1063"/>
      <c r="AN450" s="1063"/>
      <c r="AO450" s="1063"/>
      <c r="AP450" s="1063"/>
      <c r="AQ450" s="1063"/>
      <c r="AR450" s="1063"/>
      <c r="AS450" s="1063"/>
      <c r="AT450" s="1063"/>
      <c r="AU450" s="1063"/>
      <c r="AV450" s="1063"/>
      <c r="AW450" s="1063"/>
      <c r="AX450" s="1063"/>
      <c r="AY450" s="1063"/>
      <c r="AZ450" s="1063"/>
      <c r="BA450" s="1063"/>
      <c r="BB450" s="1063"/>
      <c r="BC450" s="1063"/>
      <c r="BD450" s="1063"/>
      <c r="BE450" s="1063"/>
      <c r="BF450" s="1063"/>
      <c r="BG450" s="1063"/>
      <c r="BH450" s="1063"/>
      <c r="BI450" s="1063"/>
      <c r="BJ450" s="1063"/>
      <c r="BK450" s="1063"/>
      <c r="BL450" s="1063"/>
      <c r="BM450" s="1063"/>
      <c r="BN450" s="1063"/>
      <c r="BO450" s="1063"/>
      <c r="BP450" s="1063"/>
      <c r="BQ450" s="1063"/>
      <c r="BR450" s="1063"/>
      <c r="BS450" s="1063"/>
    </row>
    <row r="451" spans="1:71" ht="12.75">
      <c r="A451" s="1063"/>
      <c r="B451" s="1070"/>
      <c r="C451" s="1070"/>
      <c r="D451" s="1063"/>
      <c r="E451" s="1063"/>
      <c r="F451" s="1063"/>
      <c r="G451" s="1063"/>
      <c r="H451" s="1063"/>
      <c r="I451" s="1063"/>
      <c r="J451" s="1063"/>
      <c r="K451" s="1063"/>
      <c r="L451" s="1063"/>
      <c r="M451" s="1063"/>
      <c r="N451" s="1063"/>
      <c r="O451" s="1063"/>
      <c r="P451" s="1063"/>
      <c r="Q451" s="1063"/>
      <c r="R451" s="1063"/>
      <c r="S451" s="1063"/>
      <c r="T451" s="1063"/>
      <c r="U451" s="1063"/>
      <c r="V451" s="1063"/>
      <c r="W451" s="1063"/>
      <c r="X451" s="1063"/>
      <c r="Y451" s="1063"/>
      <c r="Z451" s="1063"/>
      <c r="AA451" s="1063"/>
      <c r="AB451" s="1063"/>
      <c r="AC451" s="1063"/>
      <c r="AD451" s="1063"/>
      <c r="AE451" s="1063"/>
      <c r="AF451" s="1063"/>
      <c r="AG451" s="1063"/>
      <c r="AH451" s="1063"/>
      <c r="AI451" s="1063"/>
      <c r="AJ451" s="1063"/>
      <c r="AK451" s="1063"/>
      <c r="AL451" s="1063"/>
      <c r="AM451" s="1063"/>
      <c r="AN451" s="1063"/>
      <c r="AO451" s="1063"/>
      <c r="AP451" s="1063"/>
      <c r="AQ451" s="1063"/>
      <c r="AR451" s="1063"/>
      <c r="AS451" s="1063"/>
      <c r="AT451" s="1063"/>
      <c r="AU451" s="1063"/>
      <c r="AV451" s="1063"/>
      <c r="AW451" s="1063"/>
      <c r="AX451" s="1063"/>
      <c r="AY451" s="1063"/>
      <c r="AZ451" s="1063"/>
      <c r="BA451" s="1063"/>
      <c r="BB451" s="1063"/>
      <c r="BC451" s="1063"/>
      <c r="BD451" s="1063"/>
      <c r="BE451" s="1063"/>
      <c r="BF451" s="1063"/>
      <c r="BG451" s="1063"/>
      <c r="BH451" s="1063"/>
      <c r="BI451" s="1063"/>
      <c r="BJ451" s="1063"/>
      <c r="BK451" s="1063"/>
      <c r="BL451" s="1063"/>
      <c r="BM451" s="1063"/>
      <c r="BN451" s="1063"/>
      <c r="BO451" s="1063"/>
      <c r="BP451" s="1063"/>
      <c r="BQ451" s="1063"/>
      <c r="BR451" s="1063"/>
      <c r="BS451" s="1063"/>
    </row>
    <row r="452" spans="1:71" ht="12.75">
      <c r="A452" s="1063"/>
      <c r="B452" s="1070"/>
      <c r="C452" s="1070"/>
      <c r="D452" s="1063"/>
      <c r="E452" s="1063"/>
      <c r="F452" s="1063"/>
      <c r="G452" s="1063"/>
      <c r="H452" s="1063"/>
      <c r="I452" s="1063"/>
      <c r="J452" s="1063"/>
      <c r="K452" s="1063"/>
      <c r="L452" s="1063"/>
      <c r="M452" s="1063"/>
      <c r="N452" s="1063"/>
      <c r="O452" s="1063"/>
      <c r="P452" s="1063"/>
      <c r="Q452" s="1063"/>
      <c r="R452" s="1063"/>
      <c r="S452" s="1063"/>
      <c r="T452" s="1063"/>
      <c r="U452" s="1063"/>
      <c r="V452" s="1063"/>
      <c r="W452" s="1063"/>
      <c r="X452" s="1063"/>
      <c r="Y452" s="1063"/>
      <c r="Z452" s="1063"/>
      <c r="AA452" s="1063"/>
      <c r="AB452" s="1063"/>
      <c r="AC452" s="1063"/>
      <c r="AD452" s="1063"/>
      <c r="AE452" s="1063"/>
      <c r="AF452" s="1063"/>
      <c r="AG452" s="1063"/>
      <c r="AH452" s="1063"/>
      <c r="AI452" s="1063"/>
      <c r="AJ452" s="1063"/>
      <c r="AK452" s="1063"/>
      <c r="AL452" s="1063"/>
      <c r="AM452" s="1063"/>
      <c r="AN452" s="1063"/>
      <c r="AO452" s="1063"/>
      <c r="AP452" s="1063"/>
      <c r="AQ452" s="1063"/>
      <c r="AR452" s="1063"/>
      <c r="AS452" s="1063"/>
      <c r="AT452" s="1063"/>
      <c r="AU452" s="1063"/>
      <c r="AV452" s="1063"/>
      <c r="AW452" s="1063"/>
      <c r="AX452" s="1063"/>
      <c r="AY452" s="1063"/>
      <c r="AZ452" s="1063"/>
      <c r="BA452" s="1063"/>
      <c r="BB452" s="1063"/>
      <c r="BC452" s="1063"/>
      <c r="BD452" s="1063"/>
      <c r="BE452" s="1063"/>
      <c r="BF452" s="1063"/>
      <c r="BG452" s="1063"/>
      <c r="BH452" s="1063"/>
      <c r="BI452" s="1063"/>
      <c r="BJ452" s="1063"/>
      <c r="BK452" s="1063"/>
      <c r="BL452" s="1063"/>
      <c r="BM452" s="1063"/>
      <c r="BN452" s="1063"/>
      <c r="BO452" s="1063"/>
      <c r="BP452" s="1063"/>
      <c r="BQ452" s="1063"/>
      <c r="BR452" s="1063"/>
      <c r="BS452" s="1063"/>
    </row>
    <row r="453" spans="1:71" ht="12.75">
      <c r="A453" s="1063"/>
      <c r="B453" s="1070"/>
      <c r="C453" s="1070"/>
      <c r="D453" s="1063"/>
      <c r="E453" s="1063"/>
      <c r="F453" s="1063"/>
      <c r="G453" s="1063"/>
      <c r="H453" s="1063"/>
      <c r="I453" s="1063"/>
      <c r="J453" s="1063"/>
      <c r="K453" s="1063"/>
      <c r="L453" s="1063"/>
      <c r="M453" s="1063"/>
      <c r="N453" s="1063"/>
      <c r="O453" s="1063"/>
      <c r="P453" s="1063"/>
      <c r="Q453" s="1063"/>
      <c r="R453" s="1063"/>
      <c r="S453" s="1063"/>
      <c r="T453" s="1063"/>
      <c r="U453" s="1063"/>
      <c r="V453" s="1063"/>
      <c r="W453" s="1063"/>
      <c r="X453" s="1063"/>
      <c r="Y453" s="1063"/>
      <c r="Z453" s="1063"/>
      <c r="AA453" s="1063"/>
      <c r="AB453" s="1063"/>
      <c r="AC453" s="1063"/>
      <c r="AD453" s="1063"/>
      <c r="AE453" s="1063"/>
      <c r="AF453" s="1063"/>
      <c r="AG453" s="1063"/>
      <c r="AH453" s="1063"/>
      <c r="AI453" s="1063"/>
      <c r="AJ453" s="1063"/>
      <c r="AK453" s="1063"/>
      <c r="AL453" s="1063"/>
      <c r="AM453" s="1063"/>
      <c r="AN453" s="1063"/>
      <c r="AO453" s="1063"/>
      <c r="AP453" s="1063"/>
      <c r="AQ453" s="1063"/>
      <c r="AR453" s="1063"/>
      <c r="AS453" s="1063"/>
      <c r="AT453" s="1063"/>
      <c r="AU453" s="1063"/>
      <c r="AV453" s="1063"/>
      <c r="AW453" s="1063"/>
      <c r="AX453" s="1063"/>
      <c r="AY453" s="1063"/>
      <c r="AZ453" s="1063"/>
      <c r="BA453" s="1063"/>
      <c r="BB453" s="1063"/>
      <c r="BC453" s="1063"/>
      <c r="BD453" s="1063"/>
      <c r="BE453" s="1063"/>
      <c r="BF453" s="1063"/>
      <c r="BG453" s="1063"/>
      <c r="BH453" s="1063"/>
      <c r="BI453" s="1063"/>
      <c r="BJ453" s="1063"/>
      <c r="BK453" s="1063"/>
      <c r="BL453" s="1063"/>
      <c r="BM453" s="1063"/>
      <c r="BN453" s="1063"/>
      <c r="BO453" s="1063"/>
      <c r="BP453" s="1063"/>
      <c r="BQ453" s="1063"/>
      <c r="BR453" s="1063"/>
      <c r="BS453" s="1063"/>
    </row>
    <row r="454" spans="1:71" ht="12.75">
      <c r="A454" s="1063"/>
      <c r="B454" s="1070"/>
      <c r="C454" s="1070"/>
      <c r="D454" s="1063"/>
      <c r="E454" s="1063"/>
      <c r="F454" s="1063"/>
      <c r="G454" s="1063"/>
      <c r="H454" s="1063"/>
      <c r="I454" s="1063"/>
      <c r="J454" s="1063"/>
      <c r="K454" s="1063"/>
      <c r="L454" s="1063"/>
      <c r="M454" s="1063"/>
      <c r="N454" s="1063"/>
      <c r="O454" s="1063"/>
      <c r="P454" s="1063"/>
      <c r="Q454" s="1063"/>
      <c r="R454" s="1063"/>
      <c r="S454" s="1063"/>
      <c r="T454" s="1063"/>
      <c r="U454" s="1063"/>
      <c r="V454" s="1063"/>
      <c r="W454" s="1063"/>
      <c r="X454" s="1063"/>
      <c r="Y454" s="1063"/>
      <c r="Z454" s="1063"/>
      <c r="AA454" s="1063"/>
      <c r="AB454" s="1063"/>
      <c r="AC454" s="1063"/>
      <c r="AD454" s="1063"/>
      <c r="AE454" s="1063"/>
      <c r="AF454" s="1063"/>
      <c r="AG454" s="1063"/>
      <c r="AH454" s="1063"/>
      <c r="AI454" s="1063"/>
      <c r="AJ454" s="1063"/>
      <c r="AK454" s="1063"/>
      <c r="AL454" s="1063"/>
      <c r="AM454" s="1063"/>
      <c r="AN454" s="1063"/>
      <c r="AO454" s="1063"/>
      <c r="AP454" s="1063"/>
      <c r="AQ454" s="1063"/>
      <c r="AR454" s="1063"/>
      <c r="AS454" s="1063"/>
      <c r="AT454" s="1063"/>
      <c r="AU454" s="1063"/>
      <c r="AV454" s="1063"/>
      <c r="AW454" s="1063"/>
      <c r="AX454" s="1063"/>
      <c r="AY454" s="1063"/>
      <c r="AZ454" s="1063"/>
      <c r="BA454" s="1063"/>
      <c r="BB454" s="1063"/>
      <c r="BC454" s="1063"/>
      <c r="BD454" s="1063"/>
      <c r="BE454" s="1063"/>
      <c r="BF454" s="1063"/>
      <c r="BG454" s="1063"/>
      <c r="BH454" s="1063"/>
      <c r="BI454" s="1063"/>
      <c r="BJ454" s="1063"/>
      <c r="BK454" s="1063"/>
      <c r="BL454" s="1063"/>
      <c r="BM454" s="1063"/>
      <c r="BN454" s="1063"/>
      <c r="BO454" s="1063"/>
      <c r="BP454" s="1063"/>
      <c r="BQ454" s="1063"/>
      <c r="BR454" s="1063"/>
      <c r="BS454" s="1063"/>
    </row>
    <row r="455" spans="1:71" ht="12.75">
      <c r="A455" s="1063"/>
      <c r="B455" s="1070"/>
      <c r="C455" s="1070"/>
      <c r="D455" s="1063"/>
      <c r="E455" s="1063"/>
      <c r="F455" s="1063"/>
      <c r="G455" s="1063"/>
      <c r="H455" s="1063"/>
      <c r="I455" s="1063"/>
      <c r="J455" s="1063"/>
      <c r="K455" s="1063"/>
      <c r="L455" s="1063"/>
      <c r="M455" s="1063"/>
      <c r="N455" s="1063"/>
      <c r="O455" s="1063"/>
      <c r="P455" s="1063"/>
      <c r="Q455" s="1063"/>
      <c r="R455" s="1063"/>
      <c r="S455" s="1063"/>
      <c r="T455" s="1063"/>
      <c r="U455" s="1063"/>
      <c r="V455" s="1063"/>
      <c r="W455" s="1063"/>
      <c r="X455" s="1063"/>
      <c r="Y455" s="1063"/>
      <c r="Z455" s="1063"/>
      <c r="AA455" s="1063"/>
      <c r="AB455" s="1063"/>
      <c r="AC455" s="1063"/>
      <c r="AD455" s="1063"/>
      <c r="AE455" s="1063"/>
      <c r="AF455" s="1063"/>
      <c r="AG455" s="1063"/>
      <c r="AH455" s="1063"/>
      <c r="AI455" s="1063"/>
      <c r="AJ455" s="1063"/>
      <c r="AK455" s="1063"/>
      <c r="AL455" s="1063"/>
      <c r="AM455" s="1063"/>
      <c r="AN455" s="1063"/>
      <c r="AO455" s="1063"/>
      <c r="AP455" s="1063"/>
      <c r="AQ455" s="1063"/>
      <c r="AR455" s="1063"/>
      <c r="AS455" s="1063"/>
      <c r="AT455" s="1063"/>
      <c r="AU455" s="1063"/>
      <c r="AV455" s="1063"/>
      <c r="AW455" s="1063"/>
      <c r="AX455" s="1063"/>
      <c r="AY455" s="1063"/>
      <c r="AZ455" s="1063"/>
      <c r="BA455" s="1063"/>
      <c r="BB455" s="1063"/>
      <c r="BC455" s="1063"/>
      <c r="BD455" s="1063"/>
      <c r="BE455" s="1063"/>
      <c r="BF455" s="1063"/>
      <c r="BG455" s="1063"/>
      <c r="BH455" s="1063"/>
      <c r="BI455" s="1063"/>
      <c r="BJ455" s="1063"/>
      <c r="BK455" s="1063"/>
      <c r="BL455" s="1063"/>
      <c r="BM455" s="1063"/>
      <c r="BN455" s="1063"/>
      <c r="BO455" s="1063"/>
      <c r="BP455" s="1063"/>
      <c r="BQ455" s="1063"/>
      <c r="BR455" s="1063"/>
      <c r="BS455" s="1063"/>
    </row>
    <row r="456" spans="1:71" ht="12.75">
      <c r="A456" s="1063"/>
      <c r="B456" s="1070"/>
      <c r="C456" s="1070"/>
      <c r="D456" s="1063"/>
      <c r="E456" s="1063"/>
      <c r="F456" s="1063"/>
      <c r="G456" s="1063"/>
      <c r="H456" s="1063"/>
      <c r="I456" s="1063"/>
      <c r="J456" s="1063"/>
      <c r="K456" s="1063"/>
      <c r="L456" s="1063"/>
      <c r="M456" s="1063"/>
      <c r="N456" s="1063"/>
      <c r="O456" s="1063"/>
      <c r="P456" s="1063"/>
      <c r="Q456" s="1063"/>
      <c r="R456" s="1063"/>
      <c r="S456" s="1063"/>
      <c r="T456" s="1063"/>
      <c r="U456" s="1063"/>
      <c r="V456" s="1063"/>
      <c r="W456" s="1063"/>
      <c r="X456" s="1063"/>
      <c r="Y456" s="1063"/>
      <c r="Z456" s="1063"/>
      <c r="AA456" s="1063"/>
      <c r="AB456" s="1063"/>
      <c r="AC456" s="1063"/>
      <c r="AD456" s="1063"/>
      <c r="AE456" s="1063"/>
      <c r="AF456" s="1063"/>
      <c r="AG456" s="1063"/>
      <c r="AH456" s="1063"/>
      <c r="AI456" s="1063"/>
      <c r="AJ456" s="1063"/>
      <c r="AK456" s="1063"/>
      <c r="AL456" s="1063"/>
      <c r="AM456" s="1063"/>
      <c r="AN456" s="1063"/>
      <c r="AO456" s="1063"/>
      <c r="AP456" s="1063"/>
      <c r="AQ456" s="1063"/>
      <c r="AR456" s="1063"/>
      <c r="AS456" s="1063"/>
      <c r="AT456" s="1063"/>
      <c r="AU456" s="1063"/>
      <c r="AV456" s="1063"/>
      <c r="AW456" s="1063"/>
      <c r="AX456" s="1063"/>
      <c r="AY456" s="1063"/>
      <c r="AZ456" s="1063"/>
      <c r="BA456" s="1063"/>
      <c r="BB456" s="1063"/>
      <c r="BC456" s="1063"/>
      <c r="BD456" s="1063"/>
      <c r="BE456" s="1063"/>
      <c r="BF456" s="1063"/>
      <c r="BG456" s="1063"/>
      <c r="BH456" s="1063"/>
      <c r="BI456" s="1063"/>
      <c r="BJ456" s="1063"/>
      <c r="BK456" s="1063"/>
      <c r="BL456" s="1063"/>
      <c r="BM456" s="1063"/>
      <c r="BN456" s="1063"/>
      <c r="BO456" s="1063"/>
      <c r="BP456" s="1063"/>
      <c r="BQ456" s="1063"/>
      <c r="BR456" s="1063"/>
      <c r="BS456" s="1063"/>
    </row>
    <row r="457" spans="1:71" ht="12.75">
      <c r="A457" s="1063"/>
      <c r="B457" s="1070"/>
      <c r="C457" s="1070"/>
      <c r="D457" s="1063"/>
      <c r="E457" s="1063"/>
      <c r="F457" s="1063"/>
      <c r="G457" s="1063"/>
      <c r="H457" s="1063"/>
      <c r="I457" s="1063"/>
      <c r="J457" s="1063"/>
      <c r="K457" s="1063"/>
      <c r="L457" s="1063"/>
      <c r="M457" s="1063"/>
      <c r="N457" s="1063"/>
      <c r="O457" s="1063"/>
      <c r="P457" s="1063"/>
      <c r="Q457" s="1063"/>
      <c r="R457" s="1063"/>
      <c r="S457" s="1063"/>
      <c r="T457" s="1063"/>
      <c r="U457" s="1063"/>
      <c r="V457" s="1063"/>
      <c r="W457" s="1063"/>
      <c r="X457" s="1063"/>
      <c r="Y457" s="1063"/>
      <c r="Z457" s="1063"/>
      <c r="AA457" s="1063"/>
      <c r="AB457" s="1063"/>
      <c r="AC457" s="1063"/>
      <c r="AD457" s="1063"/>
      <c r="AE457" s="1063"/>
      <c r="AF457" s="1063"/>
      <c r="AG457" s="1063"/>
      <c r="AH457" s="1063"/>
      <c r="AI457" s="1063"/>
      <c r="AJ457" s="1063"/>
      <c r="AK457" s="1063"/>
      <c r="AL457" s="1063"/>
      <c r="AM457" s="1063"/>
      <c r="AN457" s="1063"/>
      <c r="AO457" s="1063"/>
      <c r="AP457" s="1063"/>
      <c r="AQ457" s="1063"/>
      <c r="AR457" s="1063"/>
      <c r="AS457" s="1063"/>
      <c r="AT457" s="1063"/>
      <c r="AU457" s="1063"/>
      <c r="AV457" s="1063"/>
      <c r="AW457" s="1063"/>
      <c r="AX457" s="1063"/>
      <c r="AY457" s="1063"/>
      <c r="AZ457" s="1063"/>
      <c r="BA457" s="1063"/>
      <c r="BB457" s="1063"/>
      <c r="BC457" s="1063"/>
      <c r="BD457" s="1063"/>
      <c r="BE457" s="1063"/>
      <c r="BF457" s="1063"/>
      <c r="BG457" s="1063"/>
      <c r="BH457" s="1063"/>
      <c r="BI457" s="1063"/>
      <c r="BJ457" s="1063"/>
      <c r="BK457" s="1063"/>
      <c r="BL457" s="1063"/>
      <c r="BM457" s="1063"/>
      <c r="BN457" s="1063"/>
      <c r="BO457" s="1063"/>
      <c r="BP457" s="1063"/>
      <c r="BQ457" s="1063"/>
      <c r="BR457" s="1063"/>
      <c r="BS457" s="1063"/>
    </row>
    <row r="458" spans="1:71" ht="12.75">
      <c r="A458" s="1063"/>
      <c r="B458" s="1070"/>
      <c r="C458" s="1070"/>
      <c r="D458" s="1063"/>
      <c r="E458" s="1063"/>
      <c r="F458" s="1063"/>
      <c r="G458" s="1063"/>
      <c r="H458" s="1063"/>
      <c r="I458" s="1063"/>
      <c r="J458" s="1063"/>
      <c r="K458" s="1063"/>
      <c r="L458" s="1063"/>
      <c r="M458" s="1063"/>
      <c r="N458" s="1063"/>
      <c r="O458" s="1063"/>
      <c r="P458" s="1063"/>
      <c r="Q458" s="1063"/>
      <c r="R458" s="1063"/>
      <c r="S458" s="1063"/>
      <c r="T458" s="1063"/>
      <c r="U458" s="1063"/>
      <c r="V458" s="1063"/>
      <c r="W458" s="1063"/>
      <c r="X458" s="1063"/>
      <c r="Y458" s="1063"/>
      <c r="Z458" s="1063"/>
      <c r="AA458" s="1063"/>
      <c r="AB458" s="1063"/>
      <c r="AC458" s="1063"/>
      <c r="AD458" s="1063"/>
      <c r="AE458" s="1063"/>
      <c r="AF458" s="1063"/>
      <c r="AG458" s="1063"/>
      <c r="AH458" s="1063"/>
      <c r="AI458" s="1063"/>
      <c r="AJ458" s="1063"/>
      <c r="AK458" s="1063"/>
      <c r="AL458" s="1063"/>
      <c r="AM458" s="1063"/>
      <c r="AN458" s="1063"/>
      <c r="AO458" s="1063"/>
      <c r="AP458" s="1063"/>
      <c r="AQ458" s="1063"/>
      <c r="AR458" s="1063"/>
      <c r="AS458" s="1063"/>
      <c r="AT458" s="1063"/>
      <c r="AU458" s="1063"/>
      <c r="AV458" s="1063"/>
      <c r="AW458" s="1063"/>
      <c r="AX458" s="1063"/>
      <c r="AY458" s="1063"/>
      <c r="AZ458" s="1063"/>
      <c r="BA458" s="1063"/>
      <c r="BB458" s="1063"/>
      <c r="BC458" s="1063"/>
      <c r="BD458" s="1063"/>
      <c r="BE458" s="1063"/>
      <c r="BF458" s="1063"/>
      <c r="BG458" s="1063"/>
      <c r="BH458" s="1063"/>
      <c r="BI458" s="1063"/>
      <c r="BJ458" s="1063"/>
      <c r="BK458" s="1063"/>
      <c r="BL458" s="1063"/>
      <c r="BM458" s="1063"/>
      <c r="BN458" s="1063"/>
      <c r="BO458" s="1063"/>
      <c r="BP458" s="1063"/>
      <c r="BQ458" s="1063"/>
      <c r="BR458" s="1063"/>
      <c r="BS458" s="1063"/>
    </row>
    <row r="459" spans="1:71" ht="12.75">
      <c r="A459" s="1063"/>
      <c r="B459" s="1070"/>
      <c r="C459" s="1070"/>
      <c r="D459" s="1063"/>
      <c r="E459" s="1063"/>
      <c r="F459" s="1063"/>
      <c r="G459" s="1063"/>
      <c r="H459" s="1063"/>
      <c r="I459" s="1063"/>
      <c r="J459" s="1063"/>
      <c r="K459" s="1063"/>
      <c r="L459" s="1063"/>
      <c r="M459" s="1063"/>
      <c r="N459" s="1063"/>
      <c r="O459" s="1063"/>
      <c r="P459" s="1063"/>
      <c r="Q459" s="1063"/>
      <c r="R459" s="1063"/>
      <c r="S459" s="1063"/>
      <c r="T459" s="1063"/>
      <c r="U459" s="1063"/>
      <c r="V459" s="1063"/>
      <c r="W459" s="1063"/>
      <c r="X459" s="1063"/>
      <c r="Y459" s="1063"/>
      <c r="Z459" s="1063"/>
      <c r="AA459" s="1063"/>
      <c r="AB459" s="1063"/>
      <c r="AC459" s="1063"/>
      <c r="AD459" s="1063"/>
      <c r="AE459" s="1063"/>
      <c r="AF459" s="1063"/>
      <c r="AG459" s="1063"/>
      <c r="AH459" s="1063"/>
      <c r="AI459" s="1063"/>
      <c r="AJ459" s="1063"/>
      <c r="AK459" s="1063"/>
      <c r="AL459" s="1063"/>
      <c r="AM459" s="1063"/>
      <c r="AN459" s="1063"/>
      <c r="AO459" s="1063"/>
      <c r="AP459" s="1063"/>
      <c r="AQ459" s="1063"/>
      <c r="AR459" s="1063"/>
      <c r="AS459" s="1063"/>
      <c r="AT459" s="1063"/>
      <c r="AU459" s="1063"/>
      <c r="AV459" s="1063"/>
      <c r="AW459" s="1063"/>
      <c r="AX459" s="1063"/>
      <c r="AY459" s="1063"/>
      <c r="AZ459" s="1063"/>
      <c r="BA459" s="1063"/>
      <c r="BB459" s="1063"/>
      <c r="BC459" s="1063"/>
      <c r="BD459" s="1063"/>
      <c r="BE459" s="1063"/>
      <c r="BF459" s="1063"/>
      <c r="BG459" s="1063"/>
      <c r="BH459" s="1063"/>
      <c r="BI459" s="1063"/>
      <c r="BJ459" s="1063"/>
      <c r="BK459" s="1063"/>
      <c r="BL459" s="1063"/>
      <c r="BM459" s="1063"/>
      <c r="BN459" s="1063"/>
      <c r="BO459" s="1063"/>
      <c r="BP459" s="1063"/>
      <c r="BQ459" s="1063"/>
      <c r="BR459" s="1063"/>
      <c r="BS459" s="1063"/>
    </row>
    <row r="460" spans="1:71" ht="12.75">
      <c r="A460" s="1063"/>
      <c r="B460" s="1070"/>
      <c r="C460" s="1070"/>
      <c r="D460" s="1063"/>
      <c r="E460" s="1063"/>
      <c r="F460" s="1063"/>
      <c r="G460" s="1063"/>
      <c r="H460" s="1063"/>
      <c r="I460" s="1063"/>
      <c r="J460" s="1063"/>
      <c r="K460" s="1063"/>
      <c r="L460" s="1063"/>
      <c r="M460" s="1063"/>
      <c r="N460" s="1063"/>
      <c r="O460" s="1063"/>
      <c r="P460" s="1063"/>
      <c r="Q460" s="1063"/>
      <c r="R460" s="1063"/>
      <c r="S460" s="1063"/>
      <c r="T460" s="1063"/>
      <c r="U460" s="1063"/>
      <c r="V460" s="1063"/>
      <c r="W460" s="1063"/>
      <c r="X460" s="1063"/>
      <c r="Y460" s="1063"/>
      <c r="Z460" s="1063"/>
      <c r="AA460" s="1063"/>
      <c r="AB460" s="1063"/>
      <c r="AC460" s="1063"/>
      <c r="AD460" s="1063"/>
      <c r="AE460" s="1063"/>
      <c r="AF460" s="1063"/>
      <c r="AG460" s="1063"/>
      <c r="AH460" s="1063"/>
      <c r="AI460" s="1063"/>
      <c r="AJ460" s="1063"/>
      <c r="AK460" s="1063"/>
      <c r="AL460" s="1063"/>
      <c r="AM460" s="1063"/>
      <c r="AN460" s="1063"/>
      <c r="AO460" s="1063"/>
      <c r="AP460" s="1063"/>
      <c r="AQ460" s="1063"/>
      <c r="AR460" s="1063"/>
      <c r="AS460" s="1063"/>
      <c r="AT460" s="1063"/>
      <c r="AU460" s="1063"/>
      <c r="AV460" s="1063"/>
      <c r="AW460" s="1063"/>
      <c r="AX460" s="1063"/>
      <c r="AY460" s="1063"/>
      <c r="AZ460" s="1063"/>
      <c r="BA460" s="1063"/>
      <c r="BB460" s="1063"/>
      <c r="BC460" s="1063"/>
      <c r="BD460" s="1063"/>
      <c r="BE460" s="1063"/>
      <c r="BF460" s="1063"/>
      <c r="BG460" s="1063"/>
      <c r="BH460" s="1063"/>
      <c r="BI460" s="1063"/>
      <c r="BJ460" s="1063"/>
      <c r="BK460" s="1063"/>
      <c r="BL460" s="1063"/>
      <c r="BM460" s="1063"/>
      <c r="BN460" s="1063"/>
      <c r="BO460" s="1063"/>
      <c r="BP460" s="1063"/>
      <c r="BQ460" s="1063"/>
      <c r="BR460" s="1063"/>
      <c r="BS460" s="1063"/>
    </row>
    <row r="461" spans="1:71" ht="12.75">
      <c r="A461" s="1063"/>
      <c r="B461" s="1070"/>
      <c r="C461" s="1070"/>
      <c r="D461" s="1063"/>
      <c r="E461" s="1063"/>
      <c r="F461" s="1063"/>
      <c r="G461" s="1063"/>
      <c r="H461" s="1063"/>
      <c r="I461" s="1063"/>
      <c r="J461" s="1063"/>
      <c r="K461" s="1063"/>
      <c r="L461" s="1063"/>
      <c r="M461" s="1063"/>
      <c r="N461" s="1063"/>
      <c r="O461" s="1063"/>
      <c r="P461" s="1063"/>
      <c r="Q461" s="1063"/>
      <c r="R461" s="1063"/>
      <c r="S461" s="1063"/>
      <c r="T461" s="1063"/>
      <c r="U461" s="1063"/>
      <c r="V461" s="1063"/>
      <c r="W461" s="1063"/>
      <c r="X461" s="1063"/>
      <c r="Y461" s="1063"/>
      <c r="Z461" s="1063"/>
      <c r="AA461" s="1063"/>
      <c r="AB461" s="1063"/>
      <c r="AC461" s="1063"/>
      <c r="AD461" s="1063"/>
      <c r="AE461" s="1063"/>
      <c r="AF461" s="1063"/>
      <c r="AG461" s="1063"/>
      <c r="AH461" s="1063"/>
      <c r="AI461" s="1063"/>
      <c r="AJ461" s="1063"/>
      <c r="AK461" s="1063"/>
      <c r="AL461" s="1063"/>
      <c r="AM461" s="1063"/>
      <c r="AN461" s="1063"/>
      <c r="AO461" s="1063"/>
      <c r="AP461" s="1063"/>
      <c r="AQ461" s="1063"/>
      <c r="AR461" s="1063"/>
      <c r="AS461" s="1063"/>
      <c r="AT461" s="1063"/>
      <c r="AU461" s="1063"/>
      <c r="AV461" s="1063"/>
      <c r="AW461" s="1063"/>
      <c r="AX461" s="1063"/>
      <c r="AY461" s="1063"/>
      <c r="AZ461" s="1063"/>
      <c r="BA461" s="1063"/>
      <c r="BB461" s="1063"/>
      <c r="BC461" s="1063"/>
      <c r="BD461" s="1063"/>
      <c r="BE461" s="1063"/>
      <c r="BF461" s="1063"/>
      <c r="BG461" s="1063"/>
      <c r="BH461" s="1063"/>
      <c r="BI461" s="1063"/>
      <c r="BJ461" s="1063"/>
      <c r="BK461" s="1063"/>
      <c r="BL461" s="1063"/>
      <c r="BM461" s="1063"/>
      <c r="BN461" s="1063"/>
      <c r="BO461" s="1063"/>
      <c r="BP461" s="1063"/>
      <c r="BQ461" s="1063"/>
      <c r="BR461" s="1063"/>
      <c r="BS461" s="1063"/>
    </row>
    <row r="462" spans="1:71" ht="12.75">
      <c r="A462" s="1063"/>
      <c r="B462" s="1070"/>
      <c r="C462" s="1070"/>
      <c r="D462" s="1063"/>
      <c r="E462" s="1063"/>
      <c r="F462" s="1063"/>
      <c r="G462" s="1063"/>
      <c r="H462" s="1063"/>
      <c r="I462" s="1063"/>
      <c r="J462" s="1063"/>
      <c r="K462" s="1063"/>
      <c r="L462" s="1063"/>
      <c r="M462" s="1063"/>
      <c r="N462" s="1063"/>
      <c r="O462" s="1063"/>
      <c r="P462" s="1063"/>
      <c r="Q462" s="1063"/>
      <c r="R462" s="1063"/>
      <c r="S462" s="1063"/>
      <c r="T462" s="1063"/>
      <c r="U462" s="1063"/>
      <c r="V462" s="1063"/>
      <c r="W462" s="1063"/>
      <c r="X462" s="1063"/>
      <c r="Y462" s="1063"/>
      <c r="Z462" s="1063"/>
      <c r="AA462" s="1063"/>
      <c r="AB462" s="1063"/>
      <c r="AC462" s="1063"/>
      <c r="AD462" s="1063"/>
      <c r="AE462" s="1063"/>
      <c r="AF462" s="1063"/>
      <c r="AG462" s="1063"/>
      <c r="AH462" s="1063"/>
      <c r="AI462" s="1063"/>
      <c r="AJ462" s="1063"/>
      <c r="AK462" s="1063"/>
      <c r="AL462" s="1063"/>
      <c r="AM462" s="1063"/>
      <c r="AN462" s="1063"/>
      <c r="AO462" s="1063"/>
      <c r="AP462" s="1063"/>
      <c r="AQ462" s="1063"/>
      <c r="AR462" s="1063"/>
      <c r="AS462" s="1063"/>
      <c r="AT462" s="1063"/>
      <c r="AU462" s="1063"/>
      <c r="AV462" s="1063"/>
      <c r="AW462" s="1063"/>
      <c r="AX462" s="1063"/>
      <c r="AY462" s="1063"/>
      <c r="AZ462" s="1063"/>
      <c r="BA462" s="1063"/>
      <c r="BB462" s="1063"/>
      <c r="BC462" s="1063"/>
      <c r="BD462" s="1063"/>
      <c r="BE462" s="1063"/>
      <c r="BF462" s="1063"/>
      <c r="BG462" s="1063"/>
      <c r="BH462" s="1063"/>
      <c r="BI462" s="1063"/>
      <c r="BJ462" s="1063"/>
      <c r="BK462" s="1063"/>
      <c r="BL462" s="1063"/>
      <c r="BM462" s="1063"/>
      <c r="BN462" s="1063"/>
      <c r="BO462" s="1063"/>
      <c r="BP462" s="1063"/>
      <c r="BQ462" s="1063"/>
      <c r="BR462" s="1063"/>
      <c r="BS462" s="1063"/>
    </row>
    <row r="463" spans="1:71" ht="12.75">
      <c r="A463" s="1063"/>
      <c r="B463" s="1070"/>
      <c r="C463" s="1070"/>
      <c r="D463" s="1063"/>
      <c r="E463" s="1063"/>
      <c r="F463" s="1063"/>
      <c r="G463" s="1063"/>
      <c r="H463" s="1063"/>
      <c r="I463" s="1063"/>
      <c r="J463" s="1063"/>
      <c r="K463" s="1063"/>
      <c r="L463" s="1063"/>
      <c r="M463" s="1063"/>
      <c r="N463" s="1063"/>
      <c r="O463" s="1063"/>
      <c r="P463" s="1063"/>
      <c r="Q463" s="1063"/>
      <c r="R463" s="1063"/>
      <c r="S463" s="1063"/>
      <c r="T463" s="1063"/>
      <c r="U463" s="1063"/>
      <c r="V463" s="1063"/>
      <c r="W463" s="1063"/>
      <c r="X463" s="1063"/>
      <c r="Y463" s="1063"/>
      <c r="Z463" s="1063"/>
      <c r="AA463" s="1063"/>
      <c r="AB463" s="1063"/>
      <c r="AC463" s="1063"/>
      <c r="AD463" s="1063"/>
      <c r="AE463" s="1063"/>
      <c r="AF463" s="1063"/>
      <c r="AG463" s="1063"/>
      <c r="AH463" s="1063"/>
      <c r="AI463" s="1063"/>
      <c r="AJ463" s="1063"/>
      <c r="AK463" s="1063"/>
      <c r="AL463" s="1063"/>
      <c r="AM463" s="1063"/>
      <c r="AN463" s="1063"/>
      <c r="AO463" s="1063"/>
      <c r="AP463" s="1063"/>
      <c r="AQ463" s="1063"/>
      <c r="AR463" s="1063"/>
      <c r="AS463" s="1063"/>
      <c r="AT463" s="1063"/>
      <c r="AU463" s="1063"/>
      <c r="AV463" s="1063"/>
      <c r="AW463" s="1063"/>
      <c r="AX463" s="1063"/>
      <c r="AY463" s="1063"/>
      <c r="AZ463" s="1063"/>
      <c r="BA463" s="1063"/>
      <c r="BB463" s="1063"/>
      <c r="BC463" s="1063"/>
      <c r="BD463" s="1063"/>
      <c r="BE463" s="1063"/>
      <c r="BF463" s="1063"/>
      <c r="BG463" s="1063"/>
      <c r="BH463" s="1063"/>
      <c r="BI463" s="1063"/>
      <c r="BJ463" s="1063"/>
      <c r="BK463" s="1063"/>
      <c r="BL463" s="1063"/>
      <c r="BM463" s="1063"/>
      <c r="BN463" s="1063"/>
      <c r="BO463" s="1063"/>
      <c r="BP463" s="1063"/>
      <c r="BQ463" s="1063"/>
      <c r="BR463" s="1063"/>
      <c r="BS463" s="1063"/>
    </row>
    <row r="464" spans="1:71" ht="12.75">
      <c r="A464" s="1063"/>
      <c r="B464" s="1070"/>
      <c r="C464" s="1070"/>
      <c r="D464" s="1063"/>
      <c r="E464" s="1063"/>
      <c r="F464" s="1063"/>
      <c r="G464" s="1063"/>
      <c r="H464" s="1063"/>
      <c r="I464" s="1063"/>
      <c r="J464" s="1063"/>
      <c r="K464" s="1063"/>
      <c r="L464" s="1063"/>
      <c r="M464" s="1063"/>
      <c r="N464" s="1063"/>
      <c r="O464" s="1063"/>
      <c r="P464" s="1063"/>
      <c r="Q464" s="1063"/>
      <c r="R464" s="1063"/>
      <c r="S464" s="1063"/>
      <c r="T464" s="1063"/>
      <c r="U464" s="1063"/>
      <c r="V464" s="1063"/>
      <c r="W464" s="1063"/>
      <c r="X464" s="1063"/>
      <c r="Y464" s="1063"/>
      <c r="Z464" s="1063"/>
      <c r="AA464" s="1063"/>
      <c r="AB464" s="1063"/>
      <c r="AC464" s="1063"/>
      <c r="AD464" s="1063"/>
      <c r="AE464" s="1063"/>
      <c r="AF464" s="1063"/>
      <c r="AG464" s="1063"/>
      <c r="AH464" s="1063"/>
      <c r="AI464" s="1063"/>
      <c r="AJ464" s="1063"/>
      <c r="AK464" s="1063"/>
      <c r="AL464" s="1063"/>
      <c r="AM464" s="1063"/>
      <c r="AN464" s="1063"/>
      <c r="AO464" s="1063"/>
      <c r="AP464" s="1063"/>
      <c r="AQ464" s="1063"/>
      <c r="AR464" s="1063"/>
      <c r="AS464" s="1063"/>
      <c r="AT464" s="1063"/>
      <c r="AU464" s="1063"/>
      <c r="AV464" s="1063"/>
      <c r="AW464" s="1063"/>
      <c r="AX464" s="1063"/>
      <c r="AY464" s="1063"/>
      <c r="AZ464" s="1063"/>
      <c r="BA464" s="1063"/>
      <c r="BB464" s="1063"/>
      <c r="BC464" s="1063"/>
      <c r="BD464" s="1063"/>
      <c r="BE464" s="1063"/>
      <c r="BF464" s="1063"/>
      <c r="BG464" s="1063"/>
      <c r="BH464" s="1063"/>
      <c r="BI464" s="1063"/>
      <c r="BJ464" s="1063"/>
      <c r="BK464" s="1063"/>
      <c r="BL464" s="1063"/>
      <c r="BM464" s="1063"/>
      <c r="BN464" s="1063"/>
      <c r="BO464" s="1063"/>
      <c r="BP464" s="1063"/>
      <c r="BQ464" s="1063"/>
      <c r="BR464" s="1063"/>
      <c r="BS464" s="1063"/>
    </row>
    <row r="465" spans="1:71" ht="12.75">
      <c r="A465" s="1063"/>
      <c r="B465" s="1070"/>
      <c r="C465" s="1070"/>
      <c r="D465" s="1063"/>
      <c r="E465" s="1063"/>
      <c r="F465" s="1063"/>
      <c r="G465" s="1063"/>
      <c r="H465" s="1063"/>
      <c r="I465" s="1063"/>
      <c r="J465" s="1063"/>
      <c r="K465" s="1063"/>
      <c r="L465" s="1063"/>
      <c r="M465" s="1063"/>
      <c r="N465" s="1063"/>
      <c r="O465" s="1063"/>
      <c r="P465" s="1063"/>
      <c r="Q465" s="1063"/>
      <c r="R465" s="1063"/>
      <c r="S465" s="1063"/>
      <c r="T465" s="1063"/>
      <c r="U465" s="1063"/>
      <c r="V465" s="1063"/>
      <c r="W465" s="1063"/>
      <c r="X465" s="1063"/>
      <c r="Y465" s="1063"/>
      <c r="Z465" s="1063"/>
      <c r="AA465" s="1063"/>
      <c r="AB465" s="1063"/>
      <c r="AC465" s="1063"/>
      <c r="AD465" s="1063"/>
      <c r="AE465" s="1063"/>
      <c r="AF465" s="1063"/>
      <c r="AG465" s="1063"/>
      <c r="AH465" s="1063"/>
      <c r="AI465" s="1063"/>
      <c r="AJ465" s="1063"/>
      <c r="AK465" s="1063"/>
      <c r="AL465" s="1063"/>
      <c r="AM465" s="1063"/>
      <c r="AN465" s="1063"/>
      <c r="AO465" s="1063"/>
      <c r="AP465" s="1063"/>
      <c r="AQ465" s="1063"/>
      <c r="AR465" s="1063"/>
      <c r="AS465" s="1063"/>
      <c r="AT465" s="1063"/>
      <c r="AU465" s="1063"/>
      <c r="AV465" s="1063"/>
      <c r="AW465" s="1063"/>
      <c r="AX465" s="1063"/>
      <c r="AY465" s="1063"/>
      <c r="AZ465" s="1063"/>
      <c r="BA465" s="1063"/>
      <c r="BB465" s="1063"/>
      <c r="BC465" s="1063"/>
      <c r="BD465" s="1063"/>
      <c r="BE465" s="1063"/>
      <c r="BF465" s="1063"/>
      <c r="BG465" s="1063"/>
      <c r="BH465" s="1063"/>
      <c r="BI465" s="1063"/>
      <c r="BJ465" s="1063"/>
      <c r="BK465" s="1063"/>
      <c r="BL465" s="1063"/>
      <c r="BM465" s="1063"/>
      <c r="BN465" s="1063"/>
      <c r="BO465" s="1063"/>
      <c r="BP465" s="1063"/>
      <c r="BQ465" s="1063"/>
      <c r="BR465" s="1063"/>
      <c r="BS465" s="1063"/>
    </row>
    <row r="466" spans="1:71" ht="12.75">
      <c r="A466" s="1063"/>
      <c r="B466" s="1070"/>
      <c r="C466" s="1070"/>
      <c r="D466" s="1063"/>
      <c r="E466" s="1063"/>
      <c r="F466" s="1063"/>
      <c r="G466" s="1063"/>
      <c r="H466" s="1063"/>
      <c r="I466" s="1063"/>
      <c r="J466" s="1063"/>
      <c r="K466" s="1063"/>
      <c r="L466" s="1063"/>
      <c r="M466" s="1063"/>
      <c r="N466" s="1063"/>
      <c r="O466" s="1063"/>
      <c r="P466" s="1063"/>
      <c r="Q466" s="1063"/>
      <c r="R466" s="1063"/>
      <c r="S466" s="1063"/>
      <c r="T466" s="1063"/>
      <c r="U466" s="1063"/>
      <c r="V466" s="1063"/>
      <c r="W466" s="1063"/>
      <c r="X466" s="1063"/>
      <c r="Y466" s="1063"/>
      <c r="Z466" s="1063"/>
      <c r="AA466" s="1063"/>
      <c r="AB466" s="1063"/>
      <c r="AC466" s="1063"/>
      <c r="AD466" s="1063"/>
      <c r="AE466" s="1063"/>
      <c r="AF466" s="1063"/>
      <c r="AG466" s="1063"/>
      <c r="AH466" s="1063"/>
      <c r="AI466" s="1063"/>
      <c r="AJ466" s="1063"/>
      <c r="AK466" s="1063"/>
      <c r="AL466" s="1063"/>
      <c r="AM466" s="1063"/>
      <c r="AN466" s="1063"/>
      <c r="AO466" s="1063"/>
      <c r="AP466" s="1063"/>
      <c r="AQ466" s="1063"/>
      <c r="AR466" s="1063"/>
      <c r="AS466" s="1063"/>
      <c r="AT466" s="1063"/>
      <c r="AU466" s="1063"/>
      <c r="AV466" s="1063"/>
      <c r="AW466" s="1063"/>
      <c r="AX466" s="1063"/>
      <c r="AY466" s="1063"/>
      <c r="AZ466" s="1063"/>
      <c r="BA466" s="1063"/>
      <c r="BB466" s="1063"/>
      <c r="BC466" s="1063"/>
      <c r="BD466" s="1063"/>
      <c r="BE466" s="1063"/>
      <c r="BF466" s="1063"/>
      <c r="BG466" s="1063"/>
      <c r="BH466" s="1063"/>
      <c r="BI466" s="1063"/>
      <c r="BJ466" s="1063"/>
      <c r="BK466" s="1063"/>
      <c r="BL466" s="1063"/>
      <c r="BM466" s="1063"/>
      <c r="BN466" s="1063"/>
      <c r="BO466" s="1063"/>
      <c r="BP466" s="1063"/>
      <c r="BQ466" s="1063"/>
      <c r="BR466" s="1063"/>
      <c r="BS466" s="1063"/>
    </row>
    <row r="467" spans="1:71" ht="12.75">
      <c r="A467" s="1063"/>
      <c r="B467" s="1070"/>
      <c r="C467" s="1070"/>
      <c r="D467" s="1063"/>
      <c r="E467" s="1063"/>
      <c r="F467" s="1063"/>
      <c r="G467" s="1063"/>
      <c r="H467" s="1063"/>
      <c r="I467" s="1063"/>
      <c r="J467" s="1063"/>
      <c r="K467" s="1063"/>
      <c r="L467" s="1063"/>
      <c r="M467" s="1063"/>
      <c r="N467" s="1063"/>
      <c r="O467" s="1063"/>
      <c r="P467" s="1063"/>
      <c r="Q467" s="1063"/>
      <c r="R467" s="1063"/>
      <c r="S467" s="1063"/>
      <c r="T467" s="1063"/>
      <c r="U467" s="1063"/>
      <c r="V467" s="1063"/>
      <c r="W467" s="1063"/>
      <c r="X467" s="1063"/>
      <c r="Y467" s="1063"/>
      <c r="Z467" s="1063"/>
      <c r="AA467" s="1063"/>
      <c r="AB467" s="1063"/>
      <c r="AC467" s="1063"/>
      <c r="AD467" s="1063"/>
      <c r="AE467" s="1063"/>
      <c r="AF467" s="1063"/>
      <c r="AG467" s="1063"/>
      <c r="AH467" s="1063"/>
      <c r="AI467" s="1063"/>
      <c r="AJ467" s="1063"/>
      <c r="AK467" s="1063"/>
      <c r="AL467" s="1063"/>
      <c r="AM467" s="1063"/>
      <c r="AN467" s="1063"/>
      <c r="AO467" s="1063"/>
      <c r="AP467" s="1063"/>
      <c r="AQ467" s="1063"/>
      <c r="AR467" s="1063"/>
      <c r="AS467" s="1063"/>
      <c r="AT467" s="1063"/>
      <c r="AU467" s="1063"/>
      <c r="AV467" s="1063"/>
      <c r="AW467" s="1063"/>
      <c r="AX467" s="1063"/>
      <c r="AY467" s="1063"/>
      <c r="AZ467" s="1063"/>
      <c r="BA467" s="1063"/>
      <c r="BB467" s="1063"/>
      <c r="BC467" s="1063"/>
      <c r="BD467" s="1063"/>
      <c r="BE467" s="1063"/>
      <c r="BF467" s="1063"/>
      <c r="BG467" s="1063"/>
      <c r="BH467" s="1063"/>
      <c r="BI467" s="1063"/>
      <c r="BJ467" s="1063"/>
      <c r="BK467" s="1063"/>
      <c r="BL467" s="1063"/>
      <c r="BM467" s="1063"/>
      <c r="BN467" s="1063"/>
      <c r="BO467" s="1063"/>
      <c r="BP467" s="1063"/>
      <c r="BQ467" s="1063"/>
      <c r="BR467" s="1063"/>
      <c r="BS467" s="1063"/>
    </row>
    <row r="468" spans="1:71" ht="12.75">
      <c r="A468" s="1063"/>
      <c r="B468" s="1070"/>
      <c r="C468" s="1070"/>
      <c r="D468" s="1063"/>
      <c r="E468" s="1063"/>
      <c r="F468" s="1063"/>
      <c r="G468" s="1063"/>
      <c r="H468" s="1063"/>
      <c r="I468" s="1063"/>
      <c r="J468" s="1063"/>
      <c r="K468" s="1063"/>
      <c r="L468" s="1063"/>
      <c r="M468" s="1063"/>
      <c r="N468" s="1063"/>
      <c r="O468" s="1063"/>
      <c r="P468" s="1063"/>
      <c r="Q468" s="1063"/>
      <c r="R468" s="1063"/>
      <c r="S468" s="1063"/>
      <c r="T468" s="1063"/>
      <c r="U468" s="1063"/>
      <c r="V468" s="1063"/>
      <c r="W468" s="1063"/>
      <c r="X468" s="1063"/>
      <c r="Y468" s="1063"/>
      <c r="Z468" s="1063"/>
      <c r="AA468" s="1063"/>
      <c r="AB468" s="1063"/>
      <c r="AC468" s="1063"/>
      <c r="AD468" s="1063"/>
      <c r="AE468" s="1063"/>
      <c r="AF468" s="1063"/>
      <c r="AG468" s="1063"/>
      <c r="AH468" s="1063"/>
      <c r="AI468" s="1063"/>
      <c r="AJ468" s="1063"/>
      <c r="AK468" s="1063"/>
      <c r="AL468" s="1063"/>
      <c r="AM468" s="1063"/>
      <c r="AN468" s="1063"/>
      <c r="AO468" s="1063"/>
      <c r="AP468" s="1063"/>
      <c r="AQ468" s="1063"/>
      <c r="AR468" s="1063"/>
      <c r="AS468" s="1063"/>
      <c r="AT468" s="1063"/>
      <c r="AU468" s="1063"/>
      <c r="AV468" s="1063"/>
      <c r="AW468" s="1063"/>
      <c r="AX468" s="1063"/>
      <c r="AY468" s="1063"/>
      <c r="AZ468" s="1063"/>
      <c r="BA468" s="1063"/>
      <c r="BB468" s="1063"/>
      <c r="BC468" s="1063"/>
      <c r="BD468" s="1063"/>
      <c r="BE468" s="1063"/>
      <c r="BF468" s="1063"/>
      <c r="BG468" s="1063"/>
      <c r="BH468" s="1063"/>
      <c r="BI468" s="1063"/>
      <c r="BJ468" s="1063"/>
      <c r="BK468" s="1063"/>
      <c r="BL468" s="1063"/>
      <c r="BM468" s="1063"/>
      <c r="BN468" s="1063"/>
      <c r="BO468" s="1063"/>
      <c r="BP468" s="1063"/>
      <c r="BQ468" s="1063"/>
      <c r="BR468" s="1063"/>
      <c r="BS468" s="1063"/>
    </row>
    <row r="469" spans="1:71" ht="12.75">
      <c r="A469" s="1063"/>
      <c r="B469" s="1070"/>
      <c r="C469" s="1070"/>
      <c r="D469" s="1063"/>
      <c r="E469" s="1063"/>
      <c r="F469" s="1063"/>
      <c r="G469" s="1063"/>
      <c r="H469" s="1063"/>
      <c r="I469" s="1063"/>
      <c r="J469" s="1063"/>
      <c r="K469" s="1063"/>
      <c r="L469" s="1063"/>
      <c r="M469" s="1063"/>
      <c r="N469" s="1063"/>
      <c r="O469" s="1063"/>
      <c r="P469" s="1063"/>
      <c r="Q469" s="1063"/>
      <c r="R469" s="1063"/>
      <c r="S469" s="1063"/>
      <c r="T469" s="1063"/>
      <c r="U469" s="1063"/>
      <c r="V469" s="1063"/>
      <c r="W469" s="1063"/>
      <c r="X469" s="1063"/>
      <c r="Y469" s="1063"/>
      <c r="Z469" s="1063"/>
      <c r="AA469" s="1063"/>
      <c r="AB469" s="1063"/>
      <c r="AC469" s="1063"/>
      <c r="AD469" s="1063"/>
      <c r="AE469" s="1063"/>
      <c r="AF469" s="1063"/>
      <c r="AG469" s="1063"/>
      <c r="AH469" s="1063"/>
      <c r="AI469" s="1063"/>
      <c r="AJ469" s="1063"/>
      <c r="AK469" s="1063"/>
      <c r="AL469" s="1063"/>
      <c r="AM469" s="1063"/>
      <c r="AN469" s="1063"/>
      <c r="AO469" s="1063"/>
      <c r="AP469" s="1063"/>
      <c r="AQ469" s="1063"/>
      <c r="AR469" s="1063"/>
      <c r="AS469" s="1063"/>
      <c r="AT469" s="1063"/>
      <c r="AU469" s="1063"/>
      <c r="AV469" s="1063"/>
      <c r="AW469" s="1063"/>
      <c r="AX469" s="1063"/>
      <c r="AY469" s="1063"/>
      <c r="AZ469" s="1063"/>
      <c r="BA469" s="1063"/>
      <c r="BB469" s="1063"/>
      <c r="BC469" s="1063"/>
      <c r="BD469" s="1063"/>
      <c r="BE469" s="1063"/>
      <c r="BF469" s="1063"/>
      <c r="BG469" s="1063"/>
      <c r="BH469" s="1063"/>
      <c r="BI469" s="1063"/>
      <c r="BJ469" s="1063"/>
      <c r="BK469" s="1063"/>
      <c r="BL469" s="1063"/>
      <c r="BM469" s="1063"/>
      <c r="BN469" s="1063"/>
      <c r="BO469" s="1063"/>
      <c r="BP469" s="1063"/>
      <c r="BQ469" s="1063"/>
      <c r="BR469" s="1063"/>
      <c r="BS469" s="1063"/>
    </row>
    <row r="470" spans="1:71" ht="12.75">
      <c r="A470" s="1063"/>
      <c r="B470" s="1070"/>
      <c r="C470" s="1070"/>
      <c r="D470" s="1063"/>
      <c r="E470" s="1063"/>
      <c r="F470" s="1063"/>
      <c r="G470" s="1063"/>
      <c r="H470" s="1063"/>
      <c r="I470" s="1063"/>
      <c r="J470" s="1063"/>
      <c r="K470" s="1063"/>
      <c r="L470" s="1063"/>
      <c r="M470" s="1063"/>
      <c r="N470" s="1063"/>
      <c r="O470" s="1063"/>
      <c r="P470" s="1063"/>
      <c r="Q470" s="1063"/>
      <c r="R470" s="1063"/>
      <c r="S470" s="1063"/>
      <c r="T470" s="1063"/>
      <c r="U470" s="1063"/>
      <c r="V470" s="1063"/>
      <c r="W470" s="1063"/>
      <c r="X470" s="1063"/>
      <c r="Y470" s="1063"/>
      <c r="Z470" s="1063"/>
      <c r="AA470" s="1063"/>
      <c r="AB470" s="1063"/>
      <c r="AC470" s="1063"/>
      <c r="AD470" s="1063"/>
      <c r="AE470" s="1063"/>
      <c r="AF470" s="1063"/>
      <c r="AG470" s="1063"/>
      <c r="AH470" s="1063"/>
      <c r="AI470" s="1063"/>
      <c r="AJ470" s="1063"/>
      <c r="AK470" s="1063"/>
      <c r="AL470" s="1063"/>
      <c r="AM470" s="1063"/>
      <c r="AN470" s="1063"/>
      <c r="AO470" s="1063"/>
      <c r="AP470" s="1063"/>
      <c r="AQ470" s="1063"/>
      <c r="AR470" s="1063"/>
      <c r="AS470" s="1063"/>
      <c r="AT470" s="1063"/>
      <c r="AU470" s="1063"/>
      <c r="AV470" s="1063"/>
      <c r="AW470" s="1063"/>
      <c r="AX470" s="1063"/>
      <c r="AY470" s="1063"/>
      <c r="AZ470" s="1063"/>
      <c r="BA470" s="1063"/>
      <c r="BB470" s="1063"/>
      <c r="BC470" s="1063"/>
      <c r="BD470" s="1063"/>
      <c r="BE470" s="1063"/>
      <c r="BF470" s="1063"/>
      <c r="BG470" s="1063"/>
      <c r="BH470" s="1063"/>
      <c r="BI470" s="1063"/>
      <c r="BJ470" s="1063"/>
      <c r="BK470" s="1063"/>
      <c r="BL470" s="1063"/>
      <c r="BM470" s="1063"/>
      <c r="BN470" s="1063"/>
      <c r="BO470" s="1063"/>
      <c r="BP470" s="1063"/>
      <c r="BQ470" s="1063"/>
      <c r="BR470" s="1063"/>
      <c r="BS470" s="1063"/>
    </row>
    <row r="471" spans="1:71" ht="12.75">
      <c r="A471" s="1063"/>
      <c r="B471" s="1070"/>
      <c r="C471" s="1070"/>
      <c r="D471" s="1063"/>
      <c r="E471" s="1063"/>
      <c r="F471" s="1063"/>
      <c r="G471" s="1063"/>
      <c r="H471" s="1063"/>
      <c r="I471" s="1063"/>
      <c r="J471" s="1063"/>
      <c r="K471" s="1063"/>
      <c r="L471" s="1063"/>
      <c r="M471" s="1063"/>
      <c r="N471" s="1063"/>
      <c r="O471" s="1063"/>
      <c r="P471" s="1063"/>
      <c r="Q471" s="1063"/>
      <c r="R471" s="1063"/>
      <c r="S471" s="1063"/>
      <c r="T471" s="1063"/>
      <c r="U471" s="1063"/>
      <c r="V471" s="1063"/>
      <c r="W471" s="1063"/>
      <c r="X471" s="1063"/>
      <c r="Y471" s="1063"/>
      <c r="Z471" s="1063"/>
      <c r="AA471" s="1063"/>
      <c r="AB471" s="1063"/>
      <c r="AC471" s="1063"/>
      <c r="AD471" s="1063"/>
      <c r="AE471" s="1063"/>
      <c r="AF471" s="1063"/>
      <c r="AG471" s="1063"/>
      <c r="AH471" s="1063"/>
      <c r="AI471" s="1063"/>
      <c r="AJ471" s="1063"/>
      <c r="AK471" s="1063"/>
      <c r="AL471" s="1063"/>
      <c r="AM471" s="1063"/>
      <c r="AN471" s="1063"/>
      <c r="AO471" s="1063"/>
      <c r="AP471" s="1063"/>
      <c r="AQ471" s="1063"/>
      <c r="AR471" s="1063"/>
      <c r="AS471" s="1063"/>
      <c r="AT471" s="1063"/>
      <c r="AU471" s="1063"/>
      <c r="AV471" s="1063"/>
      <c r="AW471" s="1063"/>
      <c r="AX471" s="1063"/>
      <c r="AY471" s="1063"/>
      <c r="AZ471" s="1063"/>
      <c r="BA471" s="1063"/>
      <c r="BB471" s="1063"/>
      <c r="BC471" s="1063"/>
      <c r="BD471" s="1063"/>
      <c r="BE471" s="1063"/>
      <c r="BF471" s="1063"/>
      <c r="BG471" s="1063"/>
      <c r="BH471" s="1063"/>
      <c r="BI471" s="1063"/>
      <c r="BJ471" s="1063"/>
      <c r="BK471" s="1063"/>
      <c r="BL471" s="1063"/>
      <c r="BM471" s="1063"/>
      <c r="BN471" s="1063"/>
      <c r="BO471" s="1063"/>
      <c r="BP471" s="1063"/>
      <c r="BQ471" s="1063"/>
      <c r="BR471" s="1063"/>
      <c r="BS471" s="1063"/>
    </row>
    <row r="472" spans="1:71" ht="12.75">
      <c r="A472" s="1063"/>
      <c r="B472" s="1070"/>
      <c r="C472" s="1070"/>
      <c r="D472" s="1063"/>
      <c r="E472" s="1063"/>
      <c r="F472" s="1063"/>
      <c r="G472" s="1063"/>
      <c r="H472" s="1063"/>
      <c r="I472" s="1063"/>
      <c r="J472" s="1063"/>
      <c r="K472" s="1063"/>
      <c r="L472" s="1063"/>
      <c r="M472" s="1063"/>
      <c r="N472" s="1063"/>
      <c r="O472" s="1063"/>
      <c r="P472" s="1063"/>
      <c r="Q472" s="1063"/>
      <c r="R472" s="1063"/>
      <c r="S472" s="1063"/>
      <c r="T472" s="1063"/>
      <c r="U472" s="1063"/>
      <c r="V472" s="1063"/>
      <c r="W472" s="1063"/>
      <c r="X472" s="1063"/>
      <c r="Y472" s="1063"/>
      <c r="Z472" s="1063"/>
      <c r="AA472" s="1063"/>
      <c r="AB472" s="1063"/>
      <c r="AC472" s="1063"/>
      <c r="AD472" s="1063"/>
      <c r="AE472" s="1063"/>
      <c r="AF472" s="1063"/>
      <c r="AG472" s="1063"/>
      <c r="AH472" s="1063"/>
      <c r="AI472" s="1063"/>
      <c r="AJ472" s="1063"/>
      <c r="AK472" s="1063"/>
      <c r="AL472" s="1063"/>
      <c r="AM472" s="1063"/>
      <c r="AN472" s="1063"/>
      <c r="AO472" s="1063"/>
      <c r="AP472" s="1063"/>
      <c r="AQ472" s="1063"/>
      <c r="AR472" s="1063"/>
      <c r="AS472" s="1063"/>
      <c r="AT472" s="1063"/>
      <c r="AU472" s="1063"/>
      <c r="AV472" s="1063"/>
      <c r="AW472" s="1063"/>
      <c r="AX472" s="1063"/>
      <c r="AY472" s="1063"/>
      <c r="AZ472" s="1063"/>
      <c r="BA472" s="1063"/>
      <c r="BB472" s="1063"/>
      <c r="BC472" s="1063"/>
      <c r="BD472" s="1063"/>
      <c r="BE472" s="1063"/>
      <c r="BF472" s="1063"/>
      <c r="BG472" s="1063"/>
      <c r="BH472" s="1063"/>
      <c r="BI472" s="1063"/>
      <c r="BJ472" s="1063"/>
      <c r="BK472" s="1063"/>
      <c r="BL472" s="1063"/>
      <c r="BM472" s="1063"/>
      <c r="BN472" s="1063"/>
      <c r="BO472" s="1063"/>
      <c r="BP472" s="1063"/>
      <c r="BQ472" s="1063"/>
      <c r="BR472" s="1063"/>
      <c r="BS472" s="1063"/>
    </row>
    <row r="473" spans="1:71" ht="12.75">
      <c r="A473" s="1063"/>
      <c r="B473" s="1070"/>
      <c r="C473" s="1070"/>
      <c r="D473" s="1063"/>
      <c r="E473" s="1063"/>
      <c r="F473" s="1063"/>
      <c r="G473" s="1063"/>
      <c r="H473" s="1063"/>
      <c r="I473" s="1063"/>
      <c r="J473" s="1063"/>
      <c r="K473" s="1063"/>
      <c r="L473" s="1063"/>
      <c r="M473" s="1063"/>
      <c r="N473" s="1063"/>
      <c r="O473" s="1063"/>
      <c r="P473" s="1063"/>
      <c r="Q473" s="1063"/>
      <c r="R473" s="1063"/>
      <c r="S473" s="1063"/>
      <c r="T473" s="1063"/>
      <c r="U473" s="1063"/>
      <c r="V473" s="1063"/>
      <c r="W473" s="1063"/>
      <c r="X473" s="1063"/>
      <c r="Y473" s="1063"/>
      <c r="Z473" s="1063"/>
      <c r="AA473" s="1063"/>
      <c r="AB473" s="1063"/>
      <c r="AC473" s="1063"/>
      <c r="AD473" s="1063"/>
      <c r="AE473" s="1063"/>
      <c r="AF473" s="1063"/>
      <c r="AG473" s="1063"/>
      <c r="AH473" s="1063"/>
      <c r="AI473" s="1063"/>
      <c r="AJ473" s="1063"/>
      <c r="AK473" s="1063"/>
      <c r="AL473" s="1063"/>
      <c r="AM473" s="1063"/>
      <c r="AN473" s="1063"/>
      <c r="AO473" s="1063"/>
      <c r="AP473" s="1063"/>
      <c r="AQ473" s="1063"/>
      <c r="AR473" s="1063"/>
      <c r="AS473" s="1063"/>
      <c r="AT473" s="1063"/>
      <c r="AU473" s="1063"/>
      <c r="AV473" s="1063"/>
      <c r="AW473" s="1063"/>
      <c r="AX473" s="1063"/>
      <c r="AY473" s="1063"/>
      <c r="AZ473" s="1063"/>
      <c r="BA473" s="1063"/>
      <c r="BB473" s="1063"/>
      <c r="BC473" s="1063"/>
      <c r="BD473" s="1063"/>
      <c r="BE473" s="1063"/>
      <c r="BF473" s="1063"/>
      <c r="BG473" s="1063"/>
      <c r="BH473" s="1063"/>
      <c r="BI473" s="1063"/>
      <c r="BJ473" s="1063"/>
      <c r="BK473" s="1063"/>
      <c r="BL473" s="1063"/>
      <c r="BM473" s="1063"/>
      <c r="BN473" s="1063"/>
      <c r="BO473" s="1063"/>
      <c r="BP473" s="1063"/>
      <c r="BQ473" s="1063"/>
      <c r="BR473" s="1063"/>
      <c r="BS473" s="1063"/>
    </row>
    <row r="474" spans="1:71" ht="12.75">
      <c r="A474" s="1063"/>
      <c r="B474" s="1070"/>
      <c r="C474" s="1070"/>
      <c r="D474" s="1063"/>
      <c r="E474" s="1063"/>
      <c r="F474" s="1063"/>
      <c r="G474" s="1063"/>
      <c r="H474" s="1063"/>
      <c r="I474" s="1063"/>
      <c r="J474" s="1063"/>
      <c r="K474" s="1063"/>
      <c r="L474" s="1063"/>
      <c r="M474" s="1063"/>
      <c r="N474" s="1063"/>
      <c r="O474" s="1063"/>
      <c r="P474" s="1063"/>
      <c r="Q474" s="1063"/>
      <c r="R474" s="1063"/>
      <c r="S474" s="1063"/>
      <c r="T474" s="1063"/>
      <c r="U474" s="1063"/>
      <c r="V474" s="1063"/>
      <c r="W474" s="1063"/>
      <c r="X474" s="1063"/>
      <c r="Y474" s="1063"/>
      <c r="Z474" s="1063"/>
      <c r="AA474" s="1063"/>
      <c r="AB474" s="1063"/>
      <c r="AC474" s="1063"/>
      <c r="AD474" s="1063"/>
      <c r="AE474" s="1063"/>
      <c r="AF474" s="1063"/>
      <c r="AG474" s="1063"/>
      <c r="AH474" s="1063"/>
      <c r="AI474" s="1063"/>
      <c r="AJ474" s="1063"/>
      <c r="AK474" s="1063"/>
      <c r="AL474" s="1063"/>
      <c r="AM474" s="1063"/>
      <c r="AN474" s="1063"/>
      <c r="AO474" s="1063"/>
      <c r="AP474" s="1063"/>
      <c r="AQ474" s="1063"/>
      <c r="AR474" s="1063"/>
      <c r="AS474" s="1063"/>
      <c r="AT474" s="1063"/>
      <c r="AU474" s="1063"/>
      <c r="AV474" s="1063"/>
      <c r="AW474" s="1063"/>
      <c r="AX474" s="1063"/>
      <c r="AY474" s="1063"/>
      <c r="AZ474" s="1063"/>
      <c r="BA474" s="1063"/>
      <c r="BB474" s="1063"/>
      <c r="BC474" s="1063"/>
      <c r="BD474" s="1063"/>
      <c r="BE474" s="1063"/>
      <c r="BF474" s="1063"/>
      <c r="BG474" s="1063"/>
      <c r="BH474" s="1063"/>
      <c r="BI474" s="1063"/>
      <c r="BJ474" s="1063"/>
      <c r="BK474" s="1063"/>
      <c r="BL474" s="1063"/>
      <c r="BM474" s="1063"/>
      <c r="BN474" s="1063"/>
      <c r="BO474" s="1063"/>
      <c r="BP474" s="1063"/>
      <c r="BQ474" s="1063"/>
      <c r="BR474" s="1063"/>
      <c r="BS474" s="1063"/>
    </row>
    <row r="475" spans="1:71" ht="12.75">
      <c r="A475" s="1063"/>
      <c r="B475" s="1070"/>
      <c r="C475" s="1070"/>
      <c r="D475" s="1063"/>
      <c r="E475" s="1063"/>
      <c r="F475" s="1063"/>
      <c r="G475" s="1063"/>
      <c r="H475" s="1063"/>
      <c r="I475" s="1063"/>
      <c r="J475" s="1063"/>
      <c r="K475" s="1063"/>
      <c r="L475" s="1063"/>
      <c r="M475" s="1063"/>
      <c r="N475" s="1063"/>
      <c r="O475" s="1063"/>
      <c r="P475" s="1063"/>
      <c r="Q475" s="1063"/>
      <c r="R475" s="1063"/>
      <c r="S475" s="1063"/>
      <c r="T475" s="1063"/>
      <c r="U475" s="1063"/>
      <c r="V475" s="1063"/>
      <c r="W475" s="1063"/>
      <c r="X475" s="1063"/>
      <c r="Y475" s="1063"/>
      <c r="Z475" s="1063"/>
      <c r="AA475" s="1063"/>
      <c r="AB475" s="1063"/>
      <c r="AC475" s="1063"/>
      <c r="AD475" s="1063"/>
      <c r="AE475" s="1063"/>
      <c r="AF475" s="1063"/>
      <c r="AG475" s="1063"/>
      <c r="AH475" s="1063"/>
      <c r="AI475" s="1063"/>
      <c r="AJ475" s="1063"/>
      <c r="AK475" s="1063"/>
      <c r="AL475" s="1063"/>
      <c r="AM475" s="1063"/>
      <c r="AN475" s="1063"/>
      <c r="AO475" s="1063"/>
      <c r="AP475" s="1063"/>
      <c r="AQ475" s="1063"/>
      <c r="AR475" s="1063"/>
      <c r="AS475" s="1063"/>
      <c r="AT475" s="1063"/>
      <c r="AU475" s="1063"/>
      <c r="AV475" s="1063"/>
      <c r="AW475" s="1063"/>
      <c r="AX475" s="1063"/>
      <c r="AY475" s="1063"/>
      <c r="AZ475" s="1063"/>
      <c r="BA475" s="1063"/>
      <c r="BB475" s="1063"/>
      <c r="BC475" s="1063"/>
      <c r="BD475" s="1063"/>
      <c r="BE475" s="1063"/>
      <c r="BF475" s="1063"/>
      <c r="BG475" s="1063"/>
      <c r="BH475" s="1063"/>
      <c r="BI475" s="1063"/>
      <c r="BJ475" s="1063"/>
      <c r="BK475" s="1063"/>
      <c r="BL475" s="1063"/>
      <c r="BM475" s="1063"/>
      <c r="BN475" s="1063"/>
      <c r="BO475" s="1063"/>
      <c r="BP475" s="1063"/>
      <c r="BQ475" s="1063"/>
      <c r="BR475" s="1063"/>
      <c r="BS475" s="1063"/>
    </row>
    <row r="476" spans="1:71" ht="12.75">
      <c r="A476" s="1063"/>
      <c r="B476" s="1070"/>
      <c r="C476" s="1070"/>
      <c r="D476" s="1063"/>
      <c r="E476" s="1063"/>
      <c r="F476" s="1063"/>
      <c r="G476" s="1063"/>
      <c r="H476" s="1063"/>
      <c r="I476" s="1063"/>
      <c r="J476" s="1063"/>
      <c r="K476" s="1063"/>
      <c r="L476" s="1063"/>
      <c r="M476" s="1063"/>
      <c r="N476" s="1063"/>
      <c r="O476" s="1063"/>
      <c r="P476" s="1063"/>
      <c r="Q476" s="1063"/>
      <c r="R476" s="1063"/>
      <c r="S476" s="1063"/>
      <c r="T476" s="1063"/>
      <c r="U476" s="1063"/>
      <c r="V476" s="1063"/>
      <c r="W476" s="1063"/>
      <c r="X476" s="1063"/>
      <c r="Y476" s="1063"/>
      <c r="Z476" s="1063"/>
      <c r="AA476" s="1063"/>
      <c r="AB476" s="1063"/>
      <c r="AC476" s="1063"/>
      <c r="AD476" s="1063"/>
      <c r="AE476" s="1063"/>
      <c r="AF476" s="1063"/>
      <c r="AG476" s="1063"/>
      <c r="AH476" s="1063"/>
      <c r="AI476" s="1063"/>
      <c r="AJ476" s="1063"/>
      <c r="AK476" s="1063"/>
      <c r="AL476" s="1063"/>
      <c r="AM476" s="1063"/>
      <c r="AN476" s="1063"/>
      <c r="AO476" s="1063"/>
      <c r="AP476" s="1063"/>
      <c r="AQ476" s="1063"/>
      <c r="AR476" s="1063"/>
      <c r="AS476" s="1063"/>
      <c r="AT476" s="1063"/>
      <c r="AU476" s="1063"/>
      <c r="AV476" s="1063"/>
      <c r="AW476" s="1063"/>
      <c r="AX476" s="1063"/>
      <c r="AY476" s="1063"/>
      <c r="AZ476" s="1063"/>
      <c r="BA476" s="1063"/>
      <c r="BB476" s="1063"/>
      <c r="BC476" s="1063"/>
      <c r="BD476" s="1063"/>
      <c r="BE476" s="1063"/>
      <c r="BF476" s="1063"/>
      <c r="BG476" s="1063"/>
      <c r="BH476" s="1063"/>
      <c r="BI476" s="1063"/>
      <c r="BJ476" s="1063"/>
      <c r="BK476" s="1063"/>
      <c r="BL476" s="1063"/>
      <c r="BM476" s="1063"/>
      <c r="BN476" s="1063"/>
      <c r="BO476" s="1063"/>
      <c r="BP476" s="1063"/>
      <c r="BQ476" s="1063"/>
      <c r="BR476" s="1063"/>
      <c r="BS476" s="1063"/>
    </row>
    <row r="477" spans="1:71" ht="12.75">
      <c r="A477" s="1063"/>
      <c r="B477" s="1070"/>
      <c r="C477" s="1070"/>
      <c r="D477" s="1063"/>
      <c r="E477" s="1063"/>
      <c r="F477" s="1063"/>
      <c r="G477" s="1063"/>
      <c r="H477" s="1063"/>
      <c r="I477" s="1063"/>
      <c r="J477" s="1063"/>
      <c r="K477" s="1063"/>
      <c r="L477" s="1063"/>
      <c r="M477" s="1063"/>
      <c r="N477" s="1063"/>
      <c r="O477" s="1063"/>
      <c r="P477" s="1063"/>
      <c r="Q477" s="1063"/>
      <c r="R477" s="1063"/>
      <c r="S477" s="1063"/>
      <c r="T477" s="1063"/>
      <c r="U477" s="1063"/>
      <c r="V477" s="1063"/>
      <c r="W477" s="1063"/>
      <c r="X477" s="1063"/>
      <c r="Y477" s="1063"/>
      <c r="Z477" s="1063"/>
      <c r="AA477" s="1063"/>
      <c r="AB477" s="1063"/>
      <c r="AC477" s="1063"/>
      <c r="AD477" s="1063"/>
      <c r="AE477" s="1063"/>
      <c r="AF477" s="1063"/>
      <c r="AG477" s="1063"/>
      <c r="AH477" s="1063"/>
      <c r="AI477" s="1063"/>
      <c r="AJ477" s="1063"/>
      <c r="AK477" s="1063"/>
      <c r="AL477" s="1063"/>
      <c r="AM477" s="1063"/>
      <c r="AN477" s="1063"/>
      <c r="AO477" s="1063"/>
      <c r="AP477" s="1063"/>
      <c r="AQ477" s="1063"/>
      <c r="AR477" s="1063"/>
      <c r="AS477" s="1063"/>
      <c r="AT477" s="1063"/>
      <c r="AU477" s="1063"/>
      <c r="AV477" s="1063"/>
      <c r="AW477" s="1063"/>
      <c r="AX477" s="1063"/>
      <c r="AY477" s="1063"/>
      <c r="AZ477" s="1063"/>
      <c r="BA477" s="1063"/>
      <c r="BB477" s="1063"/>
      <c r="BC477" s="1063"/>
      <c r="BD477" s="1063"/>
      <c r="BE477" s="1063"/>
      <c r="BF477" s="1063"/>
      <c r="BG477" s="1063"/>
      <c r="BH477" s="1063"/>
      <c r="BI477" s="1063"/>
      <c r="BJ477" s="1063"/>
      <c r="BK477" s="1063"/>
      <c r="BL477" s="1063"/>
      <c r="BM477" s="1063"/>
      <c r="BN477" s="1063"/>
      <c r="BO477" s="1063"/>
      <c r="BP477" s="1063"/>
      <c r="BQ477" s="1063"/>
      <c r="BR477" s="1063"/>
      <c r="BS477" s="1063"/>
    </row>
    <row r="478" spans="1:71" ht="12.75">
      <c r="A478" s="1063"/>
      <c r="B478" s="1070"/>
      <c r="C478" s="1070"/>
      <c r="D478" s="1063"/>
      <c r="E478" s="1063"/>
      <c r="F478" s="1063"/>
      <c r="G478" s="1063"/>
      <c r="H478" s="1063"/>
      <c r="I478" s="1063"/>
      <c r="J478" s="1063"/>
      <c r="K478" s="1063"/>
      <c r="L478" s="1063"/>
      <c r="M478" s="1063"/>
      <c r="N478" s="1063"/>
      <c r="O478" s="1063"/>
      <c r="P478" s="1063"/>
      <c r="Q478" s="1063"/>
      <c r="R478" s="1063"/>
      <c r="S478" s="1063"/>
      <c r="T478" s="1063"/>
      <c r="U478" s="1063"/>
      <c r="V478" s="1063"/>
      <c r="W478" s="1063"/>
      <c r="X478" s="1063"/>
      <c r="Y478" s="1063"/>
      <c r="Z478" s="1063"/>
      <c r="AA478" s="1063"/>
      <c r="AB478" s="1063"/>
      <c r="AC478" s="1063"/>
      <c r="AD478" s="1063"/>
      <c r="AE478" s="1063"/>
      <c r="AF478" s="1063"/>
      <c r="AG478" s="1063"/>
      <c r="AH478" s="1063"/>
      <c r="AI478" s="1063"/>
      <c r="AJ478" s="1063"/>
      <c r="AK478" s="1063"/>
      <c r="AL478" s="1063"/>
      <c r="AM478" s="1063"/>
      <c r="AN478" s="1063"/>
      <c r="AO478" s="1063"/>
      <c r="AP478" s="1063"/>
      <c r="AQ478" s="1063"/>
      <c r="AR478" s="1063"/>
      <c r="AS478" s="1063"/>
      <c r="AT478" s="1063"/>
      <c r="AU478" s="1063"/>
      <c r="AV478" s="1063"/>
      <c r="AW478" s="1063"/>
      <c r="AX478" s="1063"/>
      <c r="AY478" s="1063"/>
      <c r="AZ478" s="1063"/>
      <c r="BA478" s="1063"/>
      <c r="BB478" s="1063"/>
      <c r="BC478" s="1063"/>
      <c r="BD478" s="1063"/>
      <c r="BE478" s="1063"/>
      <c r="BF478" s="1063"/>
      <c r="BG478" s="1063"/>
      <c r="BH478" s="1063"/>
      <c r="BI478" s="1063"/>
      <c r="BJ478" s="1063"/>
      <c r="BK478" s="1063"/>
      <c r="BL478" s="1063"/>
      <c r="BM478" s="1063"/>
      <c r="BN478" s="1063"/>
      <c r="BO478" s="1063"/>
      <c r="BP478" s="1063"/>
      <c r="BQ478" s="1063"/>
      <c r="BR478" s="1063"/>
      <c r="BS478" s="1063"/>
    </row>
    <row r="479" spans="1:71" ht="12.75">
      <c r="A479" s="1063"/>
      <c r="B479" s="1070"/>
      <c r="C479" s="1070"/>
      <c r="D479" s="1063"/>
      <c r="E479" s="1063"/>
      <c r="F479" s="1063"/>
      <c r="G479" s="1063"/>
      <c r="H479" s="1063"/>
      <c r="I479" s="1063"/>
      <c r="J479" s="1063"/>
      <c r="K479" s="1063"/>
      <c r="L479" s="1063"/>
      <c r="M479" s="1063"/>
      <c r="N479" s="1063"/>
      <c r="O479" s="1063"/>
      <c r="P479" s="1063"/>
      <c r="Q479" s="1063"/>
      <c r="R479" s="1063"/>
      <c r="S479" s="1063"/>
      <c r="T479" s="1063"/>
      <c r="U479" s="1063"/>
      <c r="V479" s="1063"/>
      <c r="W479" s="1063"/>
      <c r="X479" s="1063"/>
      <c r="Y479" s="1063"/>
      <c r="Z479" s="1063"/>
      <c r="AA479" s="1063"/>
      <c r="AB479" s="1063"/>
      <c r="AC479" s="1063"/>
      <c r="AD479" s="1063"/>
      <c r="AE479" s="1063"/>
      <c r="AF479" s="1063"/>
      <c r="AG479" s="1063"/>
      <c r="AH479" s="1063"/>
      <c r="AI479" s="1063"/>
      <c r="AJ479" s="1063"/>
      <c r="AK479" s="1063"/>
      <c r="AL479" s="1063"/>
      <c r="AM479" s="1063"/>
      <c r="AN479" s="1063"/>
      <c r="AO479" s="1063"/>
      <c r="AP479" s="1063"/>
      <c r="AQ479" s="1063"/>
      <c r="AR479" s="1063"/>
      <c r="AS479" s="1063"/>
      <c r="AT479" s="1063"/>
      <c r="AU479" s="1063"/>
      <c r="AV479" s="1063"/>
      <c r="AW479" s="1063"/>
      <c r="AX479" s="1063"/>
      <c r="AY479" s="1063"/>
      <c r="AZ479" s="1063"/>
      <c r="BA479" s="1063"/>
      <c r="BB479" s="1063"/>
      <c r="BC479" s="1063"/>
      <c r="BD479" s="1063"/>
      <c r="BE479" s="1063"/>
      <c r="BF479" s="1063"/>
      <c r="BG479" s="1063"/>
      <c r="BH479" s="1063"/>
      <c r="BI479" s="1063"/>
      <c r="BJ479" s="1063"/>
      <c r="BK479" s="1063"/>
      <c r="BL479" s="1063"/>
      <c r="BM479" s="1063"/>
      <c r="BN479" s="1063"/>
      <c r="BO479" s="1063"/>
      <c r="BP479" s="1063"/>
      <c r="BQ479" s="1063"/>
      <c r="BR479" s="1063"/>
      <c r="BS479" s="1063"/>
    </row>
    <row r="480" spans="1:71" ht="12.75">
      <c r="A480" s="1063"/>
      <c r="B480" s="1070"/>
      <c r="C480" s="1070"/>
      <c r="D480" s="1063"/>
      <c r="E480" s="1063"/>
      <c r="F480" s="1063"/>
      <c r="G480" s="1063"/>
      <c r="H480" s="1063"/>
      <c r="I480" s="1063"/>
      <c r="J480" s="1063"/>
      <c r="K480" s="1063"/>
      <c r="L480" s="1063"/>
      <c r="M480" s="1063"/>
      <c r="N480" s="1063"/>
      <c r="O480" s="1063"/>
      <c r="P480" s="1063"/>
      <c r="Q480" s="1063"/>
      <c r="R480" s="1063"/>
      <c r="S480" s="1063"/>
      <c r="T480" s="1063"/>
      <c r="U480" s="1063"/>
      <c r="V480" s="1063"/>
      <c r="W480" s="1063"/>
      <c r="X480" s="1063"/>
      <c r="Y480" s="1063"/>
      <c r="Z480" s="1063"/>
      <c r="AA480" s="1063"/>
      <c r="AB480" s="1063"/>
      <c r="AC480" s="1063"/>
      <c r="AD480" s="1063"/>
      <c r="AE480" s="1063"/>
      <c r="AF480" s="1063"/>
      <c r="AG480" s="1063"/>
      <c r="AH480" s="1063"/>
      <c r="AI480" s="1063"/>
      <c r="AJ480" s="1063"/>
      <c r="AK480" s="1063"/>
      <c r="AL480" s="1063"/>
      <c r="AM480" s="1063"/>
      <c r="AN480" s="1063"/>
      <c r="AO480" s="1063"/>
      <c r="AP480" s="1063"/>
      <c r="AQ480" s="1063"/>
      <c r="AR480" s="1063"/>
      <c r="AS480" s="1063"/>
      <c r="AT480" s="1063"/>
      <c r="AU480" s="1063"/>
      <c r="AV480" s="1063"/>
      <c r="AW480" s="1063"/>
      <c r="AX480" s="1063"/>
      <c r="AY480" s="1063"/>
      <c r="AZ480" s="1063"/>
      <c r="BA480" s="1063"/>
      <c r="BB480" s="1063"/>
      <c r="BC480" s="1063"/>
      <c r="BD480" s="1063"/>
      <c r="BE480" s="1063"/>
      <c r="BF480" s="1063"/>
      <c r="BG480" s="1063"/>
      <c r="BH480" s="1063"/>
      <c r="BI480" s="1063"/>
      <c r="BJ480" s="1063"/>
      <c r="BK480" s="1063"/>
      <c r="BL480" s="1063"/>
      <c r="BM480" s="1063"/>
      <c r="BN480" s="1063"/>
      <c r="BO480" s="1063"/>
      <c r="BP480" s="1063"/>
      <c r="BQ480" s="1063"/>
      <c r="BR480" s="1063"/>
      <c r="BS480" s="1063"/>
    </row>
    <row r="481" spans="1:71" ht="12.75">
      <c r="A481" s="1063"/>
      <c r="B481" s="1070"/>
      <c r="C481" s="1070"/>
      <c r="D481" s="1063"/>
      <c r="E481" s="1063"/>
      <c r="F481" s="1063"/>
      <c r="G481" s="1063"/>
      <c r="H481" s="1063"/>
      <c r="I481" s="1063"/>
      <c r="J481" s="1063"/>
      <c r="K481" s="1063"/>
      <c r="L481" s="1063"/>
      <c r="M481" s="1063"/>
      <c r="N481" s="1063"/>
      <c r="O481" s="1063"/>
      <c r="P481" s="1063"/>
      <c r="Q481" s="1063"/>
      <c r="R481" s="1063"/>
      <c r="S481" s="1063"/>
      <c r="T481" s="1063"/>
      <c r="U481" s="1063"/>
      <c r="V481" s="1063"/>
      <c r="W481" s="1063"/>
      <c r="X481" s="1063"/>
      <c r="Y481" s="1063"/>
      <c r="Z481" s="1063"/>
      <c r="AA481" s="1063"/>
      <c r="AB481" s="1063"/>
      <c r="AC481" s="1063"/>
      <c r="AD481" s="1063"/>
      <c r="AE481" s="1063"/>
      <c r="AF481" s="1063"/>
      <c r="AG481" s="1063"/>
      <c r="AH481" s="1063"/>
      <c r="AI481" s="1063"/>
      <c r="AJ481" s="1063"/>
      <c r="AK481" s="1063"/>
      <c r="AL481" s="1063"/>
      <c r="AM481" s="1063"/>
      <c r="AN481" s="1063"/>
      <c r="AO481" s="1063"/>
      <c r="AP481" s="1063"/>
      <c r="AQ481" s="1063"/>
      <c r="AR481" s="1063"/>
      <c r="AS481" s="1063"/>
      <c r="AT481" s="1063"/>
      <c r="AU481" s="1063"/>
      <c r="AV481" s="1063"/>
      <c r="AW481" s="1063"/>
      <c r="AX481" s="1063"/>
      <c r="AY481" s="1063"/>
      <c r="AZ481" s="1063"/>
      <c r="BA481" s="1063"/>
      <c r="BB481" s="1063"/>
      <c r="BC481" s="1063"/>
      <c r="BD481" s="1063"/>
      <c r="BE481" s="1063"/>
      <c r="BF481" s="1063"/>
      <c r="BG481" s="1063"/>
      <c r="BH481" s="1063"/>
      <c r="BI481" s="1063"/>
      <c r="BJ481" s="1063"/>
      <c r="BK481" s="1063"/>
      <c r="BL481" s="1063"/>
      <c r="BM481" s="1063"/>
      <c r="BN481" s="1063"/>
      <c r="BO481" s="1063"/>
      <c r="BP481" s="1063"/>
      <c r="BQ481" s="1063"/>
      <c r="BR481" s="1063"/>
      <c r="BS481" s="1063"/>
    </row>
    <row r="482" spans="1:71" ht="12.75">
      <c r="A482" s="1063"/>
      <c r="B482" s="1070"/>
      <c r="C482" s="1070"/>
      <c r="D482" s="1063"/>
      <c r="E482" s="1063"/>
      <c r="F482" s="1063"/>
      <c r="G482" s="1063"/>
      <c r="H482" s="1063"/>
      <c r="I482" s="1063"/>
      <c r="J482" s="1063"/>
      <c r="K482" s="1063"/>
      <c r="L482" s="1063"/>
      <c r="M482" s="1063"/>
      <c r="N482" s="1063"/>
      <c r="O482" s="1063"/>
      <c r="P482" s="1063"/>
      <c r="Q482" s="1063"/>
      <c r="R482" s="1063"/>
      <c r="S482" s="1063"/>
      <c r="T482" s="1063"/>
      <c r="U482" s="1063"/>
      <c r="V482" s="1063"/>
      <c r="W482" s="1063"/>
      <c r="X482" s="1063"/>
      <c r="Y482" s="1063"/>
      <c r="Z482" s="1063"/>
      <c r="AA482" s="1063"/>
      <c r="AB482" s="1063"/>
      <c r="AC482" s="1063"/>
      <c r="AD482" s="1063"/>
      <c r="AE482" s="1063"/>
      <c r="AF482" s="1063"/>
      <c r="AG482" s="1063"/>
      <c r="AH482" s="1063"/>
      <c r="AI482" s="1063"/>
      <c r="AJ482" s="1063"/>
      <c r="AK482" s="1063"/>
      <c r="AL482" s="1063"/>
      <c r="AM482" s="1063"/>
      <c r="AN482" s="1063"/>
      <c r="AO482" s="1063"/>
      <c r="AP482" s="1063"/>
      <c r="AQ482" s="1063"/>
      <c r="AR482" s="1063"/>
      <c r="AS482" s="1063"/>
      <c r="AT482" s="1063"/>
      <c r="AU482" s="1063"/>
      <c r="AV482" s="1063"/>
      <c r="AW482" s="1063"/>
      <c r="AX482" s="1063"/>
      <c r="AY482" s="1063"/>
      <c r="AZ482" s="1063"/>
      <c r="BA482" s="1063"/>
      <c r="BB482" s="1063"/>
      <c r="BC482" s="1063"/>
      <c r="BD482" s="1063"/>
      <c r="BE482" s="1063"/>
      <c r="BF482" s="1063"/>
      <c r="BG482" s="1063"/>
      <c r="BH482" s="1063"/>
      <c r="BI482" s="1063"/>
      <c r="BJ482" s="1063"/>
      <c r="BK482" s="1063"/>
      <c r="BL482" s="1063"/>
      <c r="BM482" s="1063"/>
      <c r="BN482" s="1063"/>
      <c r="BO482" s="1063"/>
      <c r="BP482" s="1063"/>
      <c r="BQ482" s="1063"/>
      <c r="BR482" s="1063"/>
      <c r="BS482" s="1063"/>
    </row>
    <row r="483" spans="1:71" ht="12.75">
      <c r="A483" s="1063"/>
      <c r="B483" s="1070"/>
      <c r="C483" s="1070"/>
      <c r="D483" s="1063"/>
      <c r="E483" s="1063"/>
      <c r="F483" s="1063"/>
      <c r="G483" s="1063"/>
      <c r="H483" s="1063"/>
      <c r="I483" s="1063"/>
      <c r="J483" s="1063"/>
      <c r="K483" s="1063"/>
      <c r="L483" s="1063"/>
      <c r="M483" s="1063"/>
      <c r="N483" s="1063"/>
      <c r="O483" s="1063"/>
      <c r="P483" s="1063"/>
      <c r="Q483" s="1063"/>
      <c r="R483" s="1063"/>
      <c r="S483" s="1063"/>
      <c r="T483" s="1063"/>
      <c r="U483" s="1063"/>
      <c r="V483" s="1063"/>
      <c r="W483" s="1063"/>
      <c r="X483" s="1063"/>
      <c r="Y483" s="1063"/>
      <c r="Z483" s="1063"/>
      <c r="AA483" s="1063"/>
      <c r="AB483" s="1063"/>
      <c r="AC483" s="1063"/>
      <c r="AD483" s="1063"/>
      <c r="AE483" s="1063"/>
      <c r="AF483" s="1063"/>
      <c r="AG483" s="1063"/>
      <c r="AH483" s="1063"/>
      <c r="AI483" s="1063"/>
      <c r="AJ483" s="1063"/>
      <c r="AK483" s="1063"/>
      <c r="AL483" s="1063"/>
      <c r="AM483" s="1063"/>
      <c r="AN483" s="1063"/>
      <c r="AO483" s="1063"/>
      <c r="AP483" s="1063"/>
      <c r="AQ483" s="1063"/>
      <c r="AR483" s="1063"/>
      <c r="AS483" s="1063"/>
      <c r="AT483" s="1063"/>
      <c r="AU483" s="1063"/>
      <c r="AV483" s="1063"/>
      <c r="AW483" s="1063"/>
      <c r="AX483" s="1063"/>
      <c r="AY483" s="1063"/>
      <c r="AZ483" s="1063"/>
      <c r="BA483" s="1063"/>
      <c r="BB483" s="1063"/>
      <c r="BC483" s="1063"/>
      <c r="BD483" s="1063"/>
      <c r="BE483" s="1063"/>
      <c r="BF483" s="1063"/>
      <c r="BG483" s="1063"/>
      <c r="BH483" s="1063"/>
      <c r="BI483" s="1063"/>
      <c r="BJ483" s="1063"/>
      <c r="BK483" s="1063"/>
      <c r="BL483" s="1063"/>
      <c r="BM483" s="1063"/>
      <c r="BN483" s="1063"/>
      <c r="BO483" s="1063"/>
      <c r="BP483" s="1063"/>
      <c r="BQ483" s="1063"/>
      <c r="BR483" s="1063"/>
      <c r="BS483" s="1063"/>
    </row>
    <row r="484" spans="1:71" ht="12.75">
      <c r="A484" s="1063"/>
      <c r="B484" s="1070"/>
      <c r="C484" s="1070"/>
      <c r="D484" s="1063"/>
      <c r="E484" s="1063"/>
      <c r="F484" s="1063"/>
      <c r="G484" s="1063"/>
      <c r="H484" s="1063"/>
      <c r="I484" s="1063"/>
      <c r="J484" s="1063"/>
      <c r="K484" s="1063"/>
      <c r="L484" s="1063"/>
      <c r="M484" s="1063"/>
      <c r="N484" s="1063"/>
      <c r="O484" s="1063"/>
      <c r="P484" s="1063"/>
      <c r="Q484" s="1063"/>
      <c r="R484" s="1063"/>
      <c r="S484" s="1063"/>
      <c r="T484" s="1063"/>
      <c r="U484" s="1063"/>
      <c r="V484" s="1063"/>
      <c r="W484" s="1063"/>
      <c r="X484" s="1063"/>
      <c r="Y484" s="1063"/>
      <c r="Z484" s="1063"/>
      <c r="AA484" s="1063"/>
      <c r="AB484" s="1063"/>
      <c r="AC484" s="1063"/>
      <c r="AD484" s="1063"/>
      <c r="AE484" s="1063"/>
      <c r="AF484" s="1063"/>
      <c r="AG484" s="1063"/>
      <c r="AH484" s="1063"/>
      <c r="AI484" s="1063"/>
      <c r="AJ484" s="1063"/>
      <c r="AK484" s="1063"/>
      <c r="AL484" s="1063"/>
      <c r="AM484" s="1063"/>
      <c r="AN484" s="1063"/>
      <c r="AO484" s="1063"/>
      <c r="AP484" s="1063"/>
      <c r="AQ484" s="1063"/>
      <c r="AR484" s="1063"/>
      <c r="AS484" s="1063"/>
      <c r="AT484" s="1063"/>
      <c r="AU484" s="1063"/>
      <c r="AV484" s="1063"/>
      <c r="AW484" s="1063"/>
      <c r="AX484" s="1063"/>
      <c r="AY484" s="1063"/>
      <c r="AZ484" s="1063"/>
      <c r="BA484" s="1063"/>
      <c r="BB484" s="1063"/>
      <c r="BC484" s="1063"/>
      <c r="BD484" s="1063"/>
      <c r="BE484" s="1063"/>
      <c r="BF484" s="1063"/>
      <c r="BG484" s="1063"/>
      <c r="BH484" s="1063"/>
      <c r="BI484" s="1063"/>
      <c r="BJ484" s="1063"/>
      <c r="BK484" s="1063"/>
      <c r="BL484" s="1063"/>
      <c r="BM484" s="1063"/>
      <c r="BN484" s="1063"/>
      <c r="BO484" s="1063"/>
      <c r="BP484" s="1063"/>
      <c r="BQ484" s="1063"/>
      <c r="BR484" s="1063"/>
      <c r="BS484" s="1063"/>
    </row>
    <row r="485" spans="1:71" ht="12.75">
      <c r="A485" s="1063"/>
      <c r="B485" s="1070"/>
      <c r="C485" s="1070"/>
      <c r="D485" s="1063"/>
      <c r="E485" s="1063"/>
      <c r="F485" s="1063"/>
      <c r="G485" s="1063"/>
      <c r="H485" s="1063"/>
      <c r="I485" s="1063"/>
      <c r="J485" s="1063"/>
      <c r="K485" s="1063"/>
      <c r="L485" s="1063"/>
      <c r="M485" s="1063"/>
      <c r="N485" s="1063"/>
      <c r="O485" s="1063"/>
      <c r="P485" s="1063"/>
      <c r="Q485" s="1063"/>
      <c r="R485" s="1063"/>
      <c r="S485" s="1063"/>
      <c r="T485" s="1063"/>
      <c r="U485" s="1063"/>
      <c r="V485" s="1063"/>
      <c r="W485" s="1063"/>
      <c r="X485" s="1063"/>
      <c r="Y485" s="1063"/>
      <c r="Z485" s="1063"/>
      <c r="AA485" s="1063"/>
      <c r="AB485" s="1063"/>
      <c r="AC485" s="1063"/>
      <c r="AD485" s="1063"/>
      <c r="AE485" s="1063"/>
      <c r="AF485" s="1063"/>
      <c r="AG485" s="1063"/>
      <c r="AH485" s="1063"/>
      <c r="AI485" s="1063"/>
      <c r="AJ485" s="1063"/>
      <c r="AK485" s="1063"/>
      <c r="AL485" s="1063"/>
      <c r="AM485" s="1063"/>
      <c r="AN485" s="1063"/>
      <c r="AO485" s="1063"/>
      <c r="AP485" s="1063"/>
      <c r="AQ485" s="1063"/>
      <c r="AR485" s="1063"/>
      <c r="AS485" s="1063"/>
      <c r="AT485" s="1063"/>
      <c r="AU485" s="1063"/>
      <c r="AV485" s="1063"/>
      <c r="AW485" s="1063"/>
      <c r="AX485" s="1063"/>
      <c r="AY485" s="1063"/>
      <c r="AZ485" s="1063"/>
      <c r="BA485" s="1063"/>
      <c r="BB485" s="1063"/>
      <c r="BC485" s="1063"/>
      <c r="BD485" s="1063"/>
      <c r="BE485" s="1063"/>
      <c r="BF485" s="1063"/>
      <c r="BG485" s="1063"/>
      <c r="BH485" s="1063"/>
      <c r="BI485" s="1063"/>
      <c r="BJ485" s="1063"/>
      <c r="BK485" s="1063"/>
      <c r="BL485" s="1063"/>
      <c r="BM485" s="1063"/>
      <c r="BN485" s="1063"/>
      <c r="BO485" s="1063"/>
      <c r="BP485" s="1063"/>
      <c r="BQ485" s="1063"/>
      <c r="BR485" s="1063"/>
      <c r="BS485" s="1063"/>
    </row>
    <row r="486" spans="1:71" ht="12.75">
      <c r="A486" s="1063"/>
      <c r="B486" s="1070"/>
      <c r="C486" s="1070"/>
      <c r="D486" s="1063"/>
      <c r="E486" s="1063"/>
      <c r="F486" s="1063"/>
      <c r="G486" s="1063"/>
      <c r="H486" s="1063"/>
      <c r="I486" s="1063"/>
      <c r="J486" s="1063"/>
      <c r="K486" s="1063"/>
      <c r="L486" s="1063"/>
      <c r="M486" s="1063"/>
      <c r="N486" s="1063"/>
      <c r="O486" s="1063"/>
      <c r="P486" s="1063"/>
      <c r="Q486" s="1063"/>
      <c r="R486" s="1063"/>
      <c r="S486" s="1063"/>
      <c r="T486" s="1063"/>
      <c r="U486" s="1063"/>
      <c r="V486" s="1063"/>
      <c r="W486" s="1063"/>
      <c r="X486" s="1063"/>
      <c r="Y486" s="1063"/>
      <c r="Z486" s="1063"/>
      <c r="AA486" s="1063"/>
      <c r="AB486" s="1063"/>
      <c r="AC486" s="1063"/>
      <c r="AD486" s="1063"/>
      <c r="AE486" s="1063"/>
      <c r="AF486" s="1063"/>
      <c r="AG486" s="1063"/>
      <c r="AH486" s="1063"/>
      <c r="AI486" s="1063"/>
      <c r="AJ486" s="1063"/>
      <c r="AK486" s="1063"/>
      <c r="AL486" s="1063"/>
      <c r="AM486" s="1063"/>
      <c r="AN486" s="1063"/>
      <c r="AO486" s="1063"/>
      <c r="AP486" s="1063"/>
      <c r="AQ486" s="1063"/>
      <c r="AR486" s="1063"/>
      <c r="AS486" s="1063"/>
      <c r="AT486" s="1063"/>
      <c r="AU486" s="1063"/>
      <c r="AV486" s="1063"/>
      <c r="AW486" s="1063"/>
      <c r="AX486" s="1063"/>
      <c r="AY486" s="1063"/>
      <c r="AZ486" s="1063"/>
      <c r="BA486" s="1063"/>
      <c r="BB486" s="1063"/>
      <c r="BC486" s="1063"/>
      <c r="BD486" s="1063"/>
      <c r="BE486" s="1063"/>
      <c r="BF486" s="1063"/>
      <c r="BG486" s="1063"/>
      <c r="BH486" s="1063"/>
      <c r="BI486" s="1063"/>
      <c r="BJ486" s="1063"/>
      <c r="BK486" s="1063"/>
      <c r="BL486" s="1063"/>
      <c r="BM486" s="1063"/>
      <c r="BN486" s="1063"/>
      <c r="BO486" s="1063"/>
      <c r="BP486" s="1063"/>
      <c r="BQ486" s="1063"/>
      <c r="BR486" s="1063"/>
      <c r="BS486" s="1063"/>
    </row>
    <row r="487" spans="1:71" ht="12.75">
      <c r="A487" s="1063"/>
      <c r="B487" s="1070"/>
      <c r="C487" s="1070"/>
      <c r="D487" s="1063"/>
      <c r="E487" s="1063"/>
      <c r="F487" s="1063"/>
      <c r="G487" s="1063"/>
      <c r="H487" s="1063"/>
      <c r="I487" s="1063"/>
      <c r="J487" s="1063"/>
      <c r="K487" s="1063"/>
      <c r="L487" s="1063"/>
      <c r="M487" s="1063"/>
      <c r="N487" s="1063"/>
      <c r="O487" s="1063"/>
      <c r="P487" s="1063"/>
      <c r="Q487" s="1063"/>
      <c r="R487" s="1063"/>
      <c r="S487" s="1063"/>
      <c r="T487" s="1063"/>
      <c r="U487" s="1063"/>
      <c r="V487" s="1063"/>
      <c r="W487" s="1063"/>
      <c r="X487" s="1063"/>
      <c r="Y487" s="1063"/>
      <c r="Z487" s="1063"/>
      <c r="AA487" s="1063"/>
      <c r="AB487" s="1063"/>
      <c r="AC487" s="1063"/>
      <c r="AD487" s="1063"/>
      <c r="AE487" s="1063"/>
      <c r="AF487" s="1063"/>
      <c r="AG487" s="1063"/>
      <c r="AH487" s="1063"/>
      <c r="AI487" s="1063"/>
      <c r="AJ487" s="1063"/>
      <c r="AK487" s="1063"/>
      <c r="AL487" s="1063"/>
      <c r="AM487" s="1063"/>
      <c r="AN487" s="1063"/>
      <c r="AO487" s="1063"/>
      <c r="AP487" s="1063"/>
      <c r="AQ487" s="1063"/>
      <c r="AR487" s="1063"/>
      <c r="AS487" s="1063"/>
      <c r="AT487" s="1063"/>
      <c r="AU487" s="1063"/>
      <c r="AV487" s="1063"/>
      <c r="AW487" s="1063"/>
      <c r="AX487" s="1063"/>
      <c r="AY487" s="1063"/>
      <c r="AZ487" s="1063"/>
      <c r="BA487" s="1063"/>
      <c r="BB487" s="1063"/>
      <c r="BC487" s="1063"/>
      <c r="BD487" s="1063"/>
      <c r="BE487" s="1063"/>
      <c r="BF487" s="1063"/>
      <c r="BG487" s="1063"/>
      <c r="BH487" s="1063"/>
      <c r="BI487" s="1063"/>
      <c r="BJ487" s="1063"/>
      <c r="BK487" s="1063"/>
      <c r="BL487" s="1063"/>
      <c r="BM487" s="1063"/>
      <c r="BN487" s="1063"/>
      <c r="BO487" s="1063"/>
      <c r="BP487" s="1063"/>
      <c r="BQ487" s="1063"/>
      <c r="BR487" s="1063"/>
      <c r="BS487" s="1063"/>
    </row>
    <row r="488" spans="1:71" ht="12.75">
      <c r="A488" s="1063"/>
      <c r="B488" s="1070"/>
      <c r="C488" s="1070"/>
      <c r="D488" s="1063"/>
      <c r="E488" s="1063"/>
      <c r="F488" s="1063"/>
      <c r="G488" s="1063"/>
      <c r="H488" s="1063"/>
      <c r="I488" s="1063"/>
      <c r="J488" s="1063"/>
      <c r="K488" s="1063"/>
      <c r="L488" s="1063"/>
      <c r="M488" s="1063"/>
      <c r="N488" s="1063"/>
      <c r="O488" s="1063"/>
      <c r="P488" s="1063"/>
      <c r="Q488" s="1063"/>
      <c r="R488" s="1063"/>
      <c r="S488" s="1063"/>
      <c r="T488" s="1063"/>
      <c r="U488" s="1063"/>
      <c r="V488" s="1063"/>
      <c r="W488" s="1063"/>
      <c r="X488" s="1063"/>
      <c r="Y488" s="1063"/>
      <c r="Z488" s="1063"/>
      <c r="AA488" s="1063"/>
      <c r="AB488" s="1063"/>
      <c r="AC488" s="1063"/>
      <c r="AD488" s="1063"/>
      <c r="AE488" s="1063"/>
      <c r="AF488" s="1063"/>
      <c r="AG488" s="1063"/>
      <c r="AH488" s="1063"/>
      <c r="AI488" s="1063"/>
      <c r="AJ488" s="1063"/>
      <c r="AK488" s="1063"/>
      <c r="AL488" s="1063"/>
      <c r="AM488" s="1063"/>
      <c r="AN488" s="1063"/>
      <c r="AO488" s="1063"/>
      <c r="AP488" s="1063"/>
      <c r="AQ488" s="1063"/>
      <c r="AR488" s="1063"/>
      <c r="AS488" s="1063"/>
      <c r="AT488" s="1063"/>
      <c r="AU488" s="1063"/>
      <c r="AV488" s="1063"/>
      <c r="AW488" s="1063"/>
      <c r="AX488" s="1063"/>
      <c r="AY488" s="1063"/>
      <c r="AZ488" s="1063"/>
      <c r="BA488" s="1063"/>
      <c r="BB488" s="1063"/>
      <c r="BC488" s="1063"/>
      <c r="BD488" s="1063"/>
      <c r="BE488" s="1063"/>
      <c r="BF488" s="1063"/>
      <c r="BG488" s="1063"/>
      <c r="BH488" s="1063"/>
      <c r="BI488" s="1063"/>
      <c r="BJ488" s="1063"/>
      <c r="BK488" s="1063"/>
      <c r="BL488" s="1063"/>
      <c r="BM488" s="1063"/>
      <c r="BN488" s="1063"/>
      <c r="BO488" s="1063"/>
      <c r="BP488" s="1063"/>
      <c r="BQ488" s="1063"/>
      <c r="BR488" s="1063"/>
      <c r="BS488" s="1063"/>
    </row>
    <row r="489" spans="1:71" ht="12.75">
      <c r="A489" s="1063"/>
      <c r="B489" s="1070"/>
      <c r="C489" s="1070"/>
      <c r="D489" s="1063"/>
      <c r="E489" s="1063"/>
      <c r="F489" s="1063"/>
      <c r="G489" s="1063"/>
      <c r="H489" s="1063"/>
      <c r="I489" s="1063"/>
      <c r="J489" s="1063"/>
      <c r="K489" s="1063"/>
      <c r="L489" s="1063"/>
      <c r="M489" s="1063"/>
      <c r="N489" s="1063"/>
      <c r="O489" s="1063"/>
      <c r="P489" s="1063"/>
      <c r="Q489" s="1063"/>
      <c r="R489" s="1063"/>
      <c r="S489" s="1063"/>
      <c r="T489" s="1063"/>
      <c r="U489" s="1063"/>
      <c r="V489" s="1063"/>
      <c r="W489" s="1063"/>
      <c r="X489" s="1063"/>
      <c r="Y489" s="1063"/>
      <c r="Z489" s="1063"/>
      <c r="AA489" s="1063"/>
      <c r="AB489" s="1063"/>
      <c r="AC489" s="1063"/>
      <c r="AD489" s="1063"/>
      <c r="AE489" s="1063"/>
      <c r="AF489" s="1063"/>
      <c r="AG489" s="1063"/>
      <c r="AH489" s="1063"/>
      <c r="AI489" s="1063"/>
      <c r="AJ489" s="1063"/>
      <c r="AK489" s="1063"/>
      <c r="AL489" s="1063"/>
      <c r="AM489" s="1063"/>
      <c r="AN489" s="1063"/>
      <c r="AO489" s="1063"/>
      <c r="AP489" s="1063"/>
      <c r="AQ489" s="1063"/>
      <c r="AR489" s="1063"/>
      <c r="AS489" s="1063"/>
      <c r="AT489" s="1063"/>
      <c r="AU489" s="1063"/>
      <c r="AV489" s="1063"/>
      <c r="AW489" s="1063"/>
      <c r="AX489" s="1063"/>
      <c r="AY489" s="1063"/>
      <c r="AZ489" s="1063"/>
      <c r="BA489" s="1063"/>
      <c r="BB489" s="1063"/>
      <c r="BC489" s="1063"/>
      <c r="BD489" s="1063"/>
      <c r="BE489" s="1063"/>
      <c r="BF489" s="1063"/>
      <c r="BG489" s="1063"/>
      <c r="BH489" s="1063"/>
      <c r="BI489" s="1063"/>
      <c r="BJ489" s="1063"/>
      <c r="BK489" s="1063"/>
      <c r="BL489" s="1063"/>
      <c r="BM489" s="1063"/>
      <c r="BN489" s="1063"/>
      <c r="BO489" s="1063"/>
      <c r="BP489" s="1063"/>
      <c r="BQ489" s="1063"/>
      <c r="BR489" s="1063"/>
      <c r="BS489" s="1063"/>
    </row>
    <row r="490" spans="1:71" ht="12.75">
      <c r="A490" s="1063"/>
      <c r="B490" s="1070"/>
      <c r="C490" s="1070"/>
      <c r="D490" s="1063"/>
      <c r="E490" s="1063"/>
      <c r="F490" s="1063"/>
      <c r="G490" s="1063"/>
      <c r="H490" s="1063"/>
      <c r="I490" s="1063"/>
      <c r="J490" s="1063"/>
      <c r="K490" s="1063"/>
      <c r="L490" s="1063"/>
      <c r="M490" s="1063"/>
      <c r="N490" s="1063"/>
      <c r="O490" s="1063"/>
      <c r="P490" s="1063"/>
      <c r="Q490" s="1063"/>
      <c r="R490" s="1063"/>
      <c r="S490" s="1063"/>
      <c r="T490" s="1063"/>
      <c r="U490" s="1063"/>
      <c r="V490" s="1063"/>
      <c r="W490" s="1063"/>
      <c r="X490" s="1063"/>
      <c r="Y490" s="1063"/>
      <c r="Z490" s="1063"/>
      <c r="AA490" s="1063"/>
      <c r="AB490" s="1063"/>
      <c r="AC490" s="1063"/>
      <c r="AD490" s="1063"/>
      <c r="AE490" s="1063"/>
      <c r="AF490" s="1063"/>
      <c r="AG490" s="1063"/>
      <c r="AH490" s="1063"/>
      <c r="AI490" s="1063"/>
      <c r="AJ490" s="1063"/>
      <c r="AK490" s="1063"/>
      <c r="AL490" s="1063"/>
      <c r="AM490" s="1063"/>
      <c r="AN490" s="1063"/>
      <c r="AO490" s="1063"/>
      <c r="AP490" s="1063"/>
      <c r="AQ490" s="1063"/>
      <c r="AR490" s="1063"/>
      <c r="AS490" s="1063"/>
      <c r="AT490" s="1063"/>
      <c r="AU490" s="1063"/>
      <c r="AV490" s="1063"/>
      <c r="AW490" s="1063"/>
      <c r="AX490" s="1063"/>
      <c r="AY490" s="1063"/>
      <c r="AZ490" s="1063"/>
      <c r="BA490" s="1063"/>
      <c r="BB490" s="1063"/>
      <c r="BC490" s="1063"/>
      <c r="BD490" s="1063"/>
      <c r="BE490" s="1063"/>
      <c r="BF490" s="1063"/>
      <c r="BG490" s="1063"/>
      <c r="BH490" s="1063"/>
      <c r="BI490" s="1063"/>
      <c r="BJ490" s="1063"/>
      <c r="BK490" s="1063"/>
      <c r="BL490" s="1063"/>
      <c r="BM490" s="1063"/>
      <c r="BN490" s="1063"/>
      <c r="BO490" s="1063"/>
      <c r="BP490" s="1063"/>
      <c r="BQ490" s="1063"/>
      <c r="BR490" s="1063"/>
      <c r="BS490" s="1063"/>
    </row>
    <row r="491" spans="1:71" ht="12.75">
      <c r="A491" s="1063"/>
      <c r="B491" s="1070"/>
      <c r="C491" s="1070"/>
      <c r="D491" s="1063"/>
      <c r="E491" s="1063"/>
      <c r="F491" s="1063"/>
      <c r="G491" s="1063"/>
      <c r="H491" s="1063"/>
      <c r="I491" s="1063"/>
      <c r="J491" s="1063"/>
      <c r="K491" s="1063"/>
      <c r="L491" s="1063"/>
      <c r="M491" s="1063"/>
      <c r="N491" s="1063"/>
      <c r="O491" s="1063"/>
      <c r="P491" s="1063"/>
      <c r="Q491" s="1063"/>
      <c r="R491" s="1063"/>
      <c r="S491" s="1063"/>
      <c r="T491" s="1063"/>
      <c r="U491" s="1063"/>
      <c r="V491" s="1063"/>
      <c r="W491" s="1063"/>
      <c r="X491" s="1063"/>
      <c r="Y491" s="1063"/>
      <c r="Z491" s="1063"/>
      <c r="AA491" s="1063"/>
      <c r="AB491" s="1063"/>
      <c r="AC491" s="1063"/>
      <c r="AD491" s="1063"/>
      <c r="AE491" s="1063"/>
      <c r="AF491" s="1063"/>
      <c r="AG491" s="1063"/>
      <c r="AH491" s="1063"/>
      <c r="AI491" s="1063"/>
      <c r="AJ491" s="1063"/>
      <c r="AK491" s="1063"/>
      <c r="AL491" s="1063"/>
      <c r="AM491" s="1063"/>
      <c r="AN491" s="1063"/>
      <c r="AO491" s="1063"/>
      <c r="AP491" s="1063"/>
      <c r="AQ491" s="1063"/>
      <c r="AR491" s="1063"/>
      <c r="AS491" s="1063"/>
      <c r="AT491" s="1063"/>
      <c r="AU491" s="1063"/>
      <c r="AV491" s="1063"/>
      <c r="AW491" s="1063"/>
      <c r="AX491" s="1063"/>
      <c r="AY491" s="1063"/>
      <c r="AZ491" s="1063"/>
      <c r="BA491" s="1063"/>
      <c r="BB491" s="1063"/>
      <c r="BC491" s="1063"/>
      <c r="BD491" s="1063"/>
      <c r="BE491" s="1063"/>
      <c r="BF491" s="1063"/>
      <c r="BG491" s="1063"/>
      <c r="BH491" s="1063"/>
      <c r="BI491" s="1063"/>
      <c r="BJ491" s="1063"/>
      <c r="BK491" s="1063"/>
      <c r="BL491" s="1063"/>
      <c r="BM491" s="1063"/>
      <c r="BN491" s="1063"/>
      <c r="BO491" s="1063"/>
      <c r="BP491" s="1063"/>
      <c r="BQ491" s="1063"/>
      <c r="BR491" s="1063"/>
      <c r="BS491" s="1063"/>
    </row>
    <row r="492" spans="1:71" ht="12.75">
      <c r="A492" s="1063"/>
      <c r="B492" s="1070"/>
      <c r="C492" s="1070"/>
      <c r="D492" s="1063"/>
      <c r="E492" s="1063"/>
      <c r="F492" s="1063"/>
      <c r="G492" s="1063"/>
      <c r="H492" s="1063"/>
      <c r="I492" s="1063"/>
      <c r="J492" s="1063"/>
      <c r="K492" s="1063"/>
      <c r="L492" s="1063"/>
      <c r="M492" s="1063"/>
      <c r="N492" s="1063"/>
      <c r="O492" s="1063"/>
      <c r="P492" s="1063"/>
      <c r="Q492" s="1063"/>
      <c r="R492" s="1063"/>
      <c r="S492" s="1063"/>
      <c r="T492" s="1063"/>
      <c r="U492" s="1063"/>
      <c r="V492" s="1063"/>
      <c r="W492" s="1063"/>
      <c r="X492" s="1063"/>
      <c r="Y492" s="1063"/>
      <c r="Z492" s="1063"/>
      <c r="AA492" s="1063"/>
      <c r="AB492" s="1063"/>
      <c r="AC492" s="1063"/>
      <c r="AD492" s="1063"/>
      <c r="AE492" s="1063"/>
      <c r="AF492" s="1063"/>
      <c r="AG492" s="1063"/>
      <c r="AH492" s="1063"/>
      <c r="AI492" s="1063"/>
      <c r="AJ492" s="1063"/>
      <c r="AK492" s="1063"/>
      <c r="AL492" s="1063"/>
      <c r="AM492" s="1063"/>
      <c r="AN492" s="1063"/>
      <c r="AO492" s="1063"/>
      <c r="AP492" s="1063"/>
      <c r="AQ492" s="1063"/>
      <c r="AR492" s="1063"/>
      <c r="AS492" s="1063"/>
      <c r="AT492" s="1063"/>
      <c r="AU492" s="1063"/>
      <c r="AV492" s="1063"/>
      <c r="AW492" s="1063"/>
      <c r="AX492" s="1063"/>
      <c r="AY492" s="1063"/>
      <c r="AZ492" s="1063"/>
      <c r="BA492" s="1063"/>
      <c r="BB492" s="1063"/>
      <c r="BC492" s="1063"/>
      <c r="BD492" s="1063"/>
      <c r="BE492" s="1063"/>
      <c r="BF492" s="1063"/>
      <c r="BG492" s="1063"/>
      <c r="BH492" s="1063"/>
      <c r="BI492" s="1063"/>
      <c r="BJ492" s="1063"/>
      <c r="BK492" s="1063"/>
      <c r="BL492" s="1063"/>
      <c r="BM492" s="1063"/>
      <c r="BN492" s="1063"/>
      <c r="BO492" s="1063"/>
      <c r="BP492" s="1063"/>
      <c r="BQ492" s="1063"/>
      <c r="BR492" s="1063"/>
      <c r="BS492" s="1063"/>
    </row>
    <row r="493" spans="1:71" ht="12.75">
      <c r="A493" s="1063"/>
      <c r="B493" s="1070"/>
      <c r="C493" s="1070"/>
      <c r="D493" s="1063"/>
      <c r="E493" s="1063"/>
      <c r="F493" s="1063"/>
      <c r="G493" s="1063"/>
      <c r="H493" s="1063"/>
      <c r="I493" s="1063"/>
      <c r="J493" s="1063"/>
      <c r="K493" s="1063"/>
      <c r="L493" s="1063"/>
      <c r="M493" s="1063"/>
      <c r="N493" s="1063"/>
      <c r="O493" s="1063"/>
      <c r="P493" s="1063"/>
      <c r="Q493" s="1063"/>
      <c r="R493" s="1063"/>
      <c r="S493" s="1063"/>
      <c r="T493" s="1063"/>
      <c r="U493" s="1063"/>
      <c r="V493" s="1063"/>
      <c r="W493" s="1063"/>
      <c r="X493" s="1063"/>
      <c r="Y493" s="1063"/>
      <c r="Z493" s="1063"/>
      <c r="AA493" s="1063"/>
      <c r="AB493" s="1063"/>
      <c r="AC493" s="1063"/>
      <c r="AD493" s="1063"/>
      <c r="AE493" s="1063"/>
      <c r="AF493" s="1063"/>
      <c r="AG493" s="1063"/>
      <c r="AH493" s="1063"/>
      <c r="AI493" s="1063"/>
      <c r="AJ493" s="1063"/>
      <c r="AK493" s="1063"/>
      <c r="AL493" s="1063"/>
      <c r="AM493" s="1063"/>
      <c r="AN493" s="1063"/>
      <c r="AO493" s="1063"/>
      <c r="AP493" s="1063"/>
      <c r="AQ493" s="1063"/>
      <c r="AR493" s="1063"/>
      <c r="AS493" s="1063"/>
      <c r="AT493" s="1063"/>
      <c r="AU493" s="1063"/>
      <c r="AV493" s="1063"/>
      <c r="AW493" s="1063"/>
      <c r="AX493" s="1063"/>
      <c r="AY493" s="1063"/>
      <c r="AZ493" s="1063"/>
      <c r="BA493" s="1063"/>
      <c r="BB493" s="1063"/>
      <c r="BC493" s="1063"/>
      <c r="BD493" s="1063"/>
      <c r="BE493" s="1063"/>
      <c r="BF493" s="1063"/>
      <c r="BG493" s="1063"/>
      <c r="BH493" s="1063"/>
      <c r="BI493" s="1063"/>
      <c r="BJ493" s="1063"/>
      <c r="BK493" s="1063"/>
      <c r="BL493" s="1063"/>
      <c r="BM493" s="1063"/>
      <c r="BN493" s="1063"/>
      <c r="BO493" s="1063"/>
      <c r="BP493" s="1063"/>
      <c r="BQ493" s="1063"/>
      <c r="BR493" s="1063"/>
      <c r="BS493" s="1063"/>
    </row>
    <row r="494" spans="1:71" ht="12.75">
      <c r="A494" s="1063"/>
      <c r="B494" s="1070"/>
      <c r="C494" s="1070"/>
      <c r="D494" s="1063"/>
      <c r="E494" s="1063"/>
      <c r="F494" s="1063"/>
      <c r="G494" s="1063"/>
      <c r="H494" s="1063"/>
      <c r="I494" s="1063"/>
      <c r="J494" s="1063"/>
      <c r="K494" s="1063"/>
      <c r="L494" s="1063"/>
      <c r="M494" s="1063"/>
      <c r="N494" s="1063"/>
      <c r="O494" s="1063"/>
      <c r="P494" s="1063"/>
      <c r="Q494" s="1063"/>
      <c r="R494" s="1063"/>
      <c r="S494" s="1063"/>
      <c r="T494" s="1063"/>
      <c r="U494" s="1063"/>
      <c r="V494" s="1063"/>
      <c r="W494" s="1063"/>
      <c r="X494" s="1063"/>
      <c r="Y494" s="1063"/>
      <c r="Z494" s="1063"/>
      <c r="AA494" s="1063"/>
      <c r="AB494" s="1063"/>
      <c r="AC494" s="1063"/>
      <c r="AD494" s="1063"/>
      <c r="AE494" s="1063"/>
      <c r="AF494" s="1063"/>
      <c r="AG494" s="1063"/>
      <c r="AH494" s="1063"/>
      <c r="AI494" s="1063"/>
      <c r="AJ494" s="1063"/>
      <c r="AK494" s="1063"/>
      <c r="AL494" s="1063"/>
      <c r="AM494" s="1063"/>
      <c r="AN494" s="1063"/>
      <c r="AO494" s="1063"/>
      <c r="AP494" s="1063"/>
      <c r="AQ494" s="1063"/>
      <c r="AR494" s="1063"/>
      <c r="AS494" s="1063"/>
      <c r="AT494" s="1063"/>
      <c r="AU494" s="1063"/>
      <c r="AV494" s="1063"/>
      <c r="AW494" s="1063"/>
      <c r="AX494" s="1063"/>
      <c r="AY494" s="1063"/>
      <c r="AZ494" s="1063"/>
      <c r="BA494" s="1063"/>
      <c r="BB494" s="1063"/>
      <c r="BC494" s="1063"/>
      <c r="BD494" s="1063"/>
      <c r="BE494" s="1063"/>
      <c r="BF494" s="1063"/>
      <c r="BG494" s="1063"/>
      <c r="BH494" s="1063"/>
      <c r="BI494" s="1063"/>
      <c r="BJ494" s="1063"/>
      <c r="BK494" s="1063"/>
      <c r="BL494" s="1063"/>
      <c r="BM494" s="1063"/>
      <c r="BN494" s="1063"/>
      <c r="BO494" s="1063"/>
      <c r="BP494" s="1063"/>
      <c r="BQ494" s="1063"/>
      <c r="BR494" s="1063"/>
      <c r="BS494" s="1063"/>
    </row>
    <row r="495" spans="1:71" ht="12.75">
      <c r="A495" s="1063"/>
      <c r="B495" s="1070"/>
      <c r="C495" s="1070"/>
      <c r="D495" s="1063"/>
      <c r="E495" s="1063"/>
      <c r="F495" s="1063"/>
      <c r="G495" s="1063"/>
      <c r="H495" s="1063"/>
      <c r="I495" s="1063"/>
      <c r="J495" s="1063"/>
      <c r="K495" s="1063"/>
      <c r="L495" s="1063"/>
      <c r="M495" s="1063"/>
      <c r="N495" s="1063"/>
      <c r="O495" s="1063"/>
      <c r="P495" s="1063"/>
      <c r="Q495" s="1063"/>
      <c r="R495" s="1063"/>
      <c r="S495" s="1063"/>
      <c r="T495" s="1063"/>
      <c r="U495" s="1063"/>
      <c r="V495" s="1063"/>
      <c r="W495" s="1063"/>
      <c r="X495" s="1063"/>
      <c r="Y495" s="1063"/>
      <c r="Z495" s="1063"/>
      <c r="AA495" s="1063"/>
      <c r="AB495" s="1063"/>
      <c r="AC495" s="1063"/>
      <c r="AD495" s="1063"/>
      <c r="AE495" s="1063"/>
      <c r="AF495" s="1063"/>
      <c r="AG495" s="1063"/>
      <c r="AH495" s="1063"/>
      <c r="AI495" s="1063"/>
      <c r="AJ495" s="1063"/>
      <c r="AK495" s="1063"/>
      <c r="AL495" s="1063"/>
      <c r="AM495" s="1063"/>
      <c r="AN495" s="1063"/>
      <c r="AO495" s="1063"/>
      <c r="AP495" s="1063"/>
      <c r="AQ495" s="1063"/>
      <c r="AR495" s="1063"/>
      <c r="AS495" s="1063"/>
      <c r="AT495" s="1063"/>
      <c r="AU495" s="1063"/>
      <c r="AV495" s="1063"/>
      <c r="AW495" s="1063"/>
      <c r="AX495" s="1063"/>
      <c r="AY495" s="1063"/>
      <c r="AZ495" s="1063"/>
      <c r="BA495" s="1063"/>
      <c r="BB495" s="1063"/>
      <c r="BC495" s="1063"/>
      <c r="BD495" s="1063"/>
      <c r="BE495" s="1063"/>
      <c r="BF495" s="1063"/>
      <c r="BG495" s="1063"/>
      <c r="BH495" s="1063"/>
      <c r="BI495" s="1063"/>
      <c r="BJ495" s="1063"/>
      <c r="BK495" s="1063"/>
      <c r="BL495" s="1063"/>
      <c r="BM495" s="1063"/>
      <c r="BN495" s="1063"/>
      <c r="BO495" s="1063"/>
      <c r="BP495" s="1063"/>
      <c r="BQ495" s="1063"/>
      <c r="BR495" s="1063"/>
      <c r="BS495" s="1063"/>
    </row>
    <row r="496" spans="1:71" ht="12.75">
      <c r="A496" s="1063"/>
      <c r="B496" s="1070"/>
      <c r="C496" s="1070"/>
      <c r="D496" s="1063"/>
      <c r="E496" s="1063"/>
      <c r="F496" s="1063"/>
      <c r="G496" s="1063"/>
      <c r="H496" s="1063"/>
      <c r="I496" s="1063"/>
      <c r="J496" s="1063"/>
      <c r="K496" s="1063"/>
      <c r="L496" s="1063"/>
      <c r="M496" s="1063"/>
      <c r="N496" s="1063"/>
      <c r="O496" s="1063"/>
      <c r="P496" s="1063"/>
      <c r="Q496" s="1063"/>
      <c r="R496" s="1063"/>
      <c r="S496" s="1063"/>
      <c r="T496" s="1063"/>
      <c r="U496" s="1063"/>
      <c r="V496" s="1063"/>
      <c r="W496" s="1063"/>
      <c r="X496" s="1063"/>
      <c r="Y496" s="1063"/>
      <c r="Z496" s="1063"/>
      <c r="AA496" s="1063"/>
      <c r="AB496" s="1063"/>
      <c r="AC496" s="1063"/>
      <c r="AD496" s="1063"/>
      <c r="AE496" s="1063"/>
      <c r="AF496" s="1063"/>
      <c r="AG496" s="1063"/>
      <c r="AH496" s="1063"/>
      <c r="AI496" s="1063"/>
      <c r="AJ496" s="1063"/>
      <c r="AK496" s="1063"/>
      <c r="AL496" s="1063"/>
      <c r="AM496" s="1063"/>
      <c r="AN496" s="1063"/>
      <c r="AO496" s="1063"/>
      <c r="AP496" s="1063"/>
      <c r="AQ496" s="1063"/>
      <c r="AR496" s="1063"/>
      <c r="AS496" s="1063"/>
      <c r="AT496" s="1063"/>
      <c r="AU496" s="1063"/>
      <c r="AV496" s="1063"/>
      <c r="AW496" s="1063"/>
      <c r="AX496" s="1063"/>
      <c r="AY496" s="1063"/>
      <c r="AZ496" s="1063"/>
      <c r="BA496" s="1063"/>
      <c r="BB496" s="1063"/>
      <c r="BC496" s="1063"/>
      <c r="BD496" s="1063"/>
      <c r="BE496" s="1063"/>
      <c r="BF496" s="1063"/>
      <c r="BG496" s="1063"/>
      <c r="BH496" s="1063"/>
      <c r="BI496" s="1063"/>
      <c r="BJ496" s="1063"/>
      <c r="BK496" s="1063"/>
      <c r="BL496" s="1063"/>
      <c r="BM496" s="1063"/>
      <c r="BN496" s="1063"/>
      <c r="BO496" s="1063"/>
      <c r="BP496" s="1063"/>
      <c r="BQ496" s="1063"/>
      <c r="BR496" s="1063"/>
      <c r="BS496" s="1063"/>
    </row>
    <row r="497" spans="1:71" ht="12.75">
      <c r="A497" s="1063"/>
      <c r="B497" s="1070"/>
      <c r="C497" s="1070"/>
      <c r="D497" s="1063"/>
      <c r="E497" s="1063"/>
      <c r="F497" s="1063"/>
      <c r="G497" s="1063"/>
      <c r="H497" s="1063"/>
      <c r="I497" s="1063"/>
      <c r="J497" s="1063"/>
      <c r="K497" s="1063"/>
      <c r="L497" s="1063"/>
      <c r="M497" s="1063"/>
      <c r="N497" s="1063"/>
      <c r="O497" s="1063"/>
      <c r="P497" s="1063"/>
      <c r="Q497" s="1063"/>
      <c r="R497" s="1063"/>
      <c r="S497" s="1063"/>
      <c r="T497" s="1063"/>
      <c r="U497" s="1063"/>
      <c r="V497" s="1063"/>
      <c r="W497" s="1063"/>
      <c r="X497" s="1063"/>
      <c r="Y497" s="1063"/>
      <c r="Z497" s="1063"/>
      <c r="AA497" s="1063"/>
      <c r="AB497" s="1063"/>
      <c r="AC497" s="1063"/>
      <c r="AD497" s="1063"/>
      <c r="AE497" s="1063"/>
      <c r="AF497" s="1063"/>
      <c r="AG497" s="1063"/>
      <c r="AH497" s="1063"/>
      <c r="AI497" s="1063"/>
      <c r="AJ497" s="1063"/>
      <c r="AK497" s="1063"/>
      <c r="AL497" s="1063"/>
      <c r="AM497" s="1063"/>
      <c r="AN497" s="1063"/>
      <c r="AO497" s="1063"/>
      <c r="AP497" s="1063"/>
      <c r="AQ497" s="1063"/>
      <c r="AR497" s="1063"/>
      <c r="AS497" s="1063"/>
      <c r="AT497" s="1063"/>
      <c r="AU497" s="1063"/>
      <c r="AV497" s="1063"/>
      <c r="AW497" s="1063"/>
      <c r="AX497" s="1063"/>
      <c r="AY497" s="1063"/>
      <c r="AZ497" s="1063"/>
      <c r="BA497" s="1063"/>
      <c r="BB497" s="1063"/>
      <c r="BC497" s="1063"/>
      <c r="BD497" s="1063"/>
      <c r="BE497" s="1063"/>
      <c r="BF497" s="1063"/>
      <c r="BG497" s="1063"/>
      <c r="BH497" s="1063"/>
      <c r="BI497" s="1063"/>
      <c r="BJ497" s="1063"/>
      <c r="BK497" s="1063"/>
      <c r="BL497" s="1063"/>
      <c r="BM497" s="1063"/>
      <c r="BN497" s="1063"/>
      <c r="BO497" s="1063"/>
      <c r="BP497" s="1063"/>
      <c r="BQ497" s="1063"/>
      <c r="BR497" s="1063"/>
      <c r="BS497" s="1063"/>
    </row>
    <row r="498" spans="1:71" ht="12.75">
      <c r="A498" s="1063"/>
      <c r="B498" s="1070"/>
      <c r="C498" s="1070"/>
      <c r="D498" s="1063"/>
      <c r="E498" s="1063"/>
      <c r="F498" s="1063"/>
      <c r="G498" s="1063"/>
      <c r="H498" s="1063"/>
      <c r="I498" s="1063"/>
      <c r="J498" s="1063"/>
      <c r="K498" s="1063"/>
      <c r="L498" s="1063"/>
      <c r="M498" s="1063"/>
      <c r="N498" s="1063"/>
      <c r="O498" s="1063"/>
      <c r="P498" s="1063"/>
      <c r="Q498" s="1063"/>
      <c r="R498" s="1063"/>
      <c r="S498" s="1063"/>
      <c r="T498" s="1063"/>
      <c r="U498" s="1063"/>
      <c r="V498" s="1063"/>
      <c r="W498" s="1063"/>
      <c r="X498" s="1063"/>
      <c r="Y498" s="1063"/>
      <c r="Z498" s="1063"/>
      <c r="AA498" s="1063"/>
      <c r="AB498" s="1063"/>
      <c r="AC498" s="1063"/>
      <c r="AD498" s="1063"/>
      <c r="AE498" s="1063"/>
      <c r="AF498" s="1063"/>
      <c r="AG498" s="1063"/>
      <c r="AH498" s="1063"/>
      <c r="AI498" s="1063"/>
      <c r="AJ498" s="1063"/>
      <c r="AK498" s="1063"/>
      <c r="AL498" s="1063"/>
      <c r="AM498" s="1063"/>
      <c r="AN498" s="1063"/>
      <c r="AO498" s="1063"/>
      <c r="AP498" s="1063"/>
      <c r="AQ498" s="1063"/>
      <c r="AR498" s="1063"/>
      <c r="AS498" s="1063"/>
      <c r="AT498" s="1063"/>
      <c r="AU498" s="1063"/>
      <c r="AV498" s="1063"/>
      <c r="AW498" s="1063"/>
      <c r="AX498" s="1063"/>
      <c r="AY498" s="1063"/>
      <c r="AZ498" s="1063"/>
      <c r="BA498" s="1063"/>
      <c r="BB498" s="1063"/>
      <c r="BC498" s="1063"/>
      <c r="BD498" s="1063"/>
      <c r="BE498" s="1063"/>
      <c r="BF498" s="1063"/>
      <c r="BG498" s="1063"/>
      <c r="BH498" s="1063"/>
      <c r="BI498" s="1063"/>
      <c r="BJ498" s="1063"/>
      <c r="BK498" s="1063"/>
      <c r="BL498" s="1063"/>
      <c r="BM498" s="1063"/>
      <c r="BN498" s="1063"/>
      <c r="BO498" s="1063"/>
      <c r="BP498" s="1063"/>
      <c r="BQ498" s="1063"/>
      <c r="BR498" s="1063"/>
      <c r="BS498" s="1063"/>
    </row>
    <row r="499" spans="1:71" ht="12.75">
      <c r="A499" s="1063"/>
      <c r="B499" s="1070"/>
      <c r="C499" s="1070"/>
      <c r="D499" s="1063"/>
      <c r="E499" s="1063"/>
      <c r="F499" s="1063"/>
      <c r="G499" s="1063"/>
      <c r="H499" s="1063"/>
      <c r="I499" s="1063"/>
      <c r="J499" s="1063"/>
      <c r="K499" s="1063"/>
      <c r="L499" s="1063"/>
      <c r="M499" s="1063"/>
      <c r="N499" s="1063"/>
      <c r="O499" s="1063"/>
      <c r="P499" s="1063"/>
      <c r="Q499" s="1063"/>
      <c r="R499" s="1063"/>
      <c r="S499" s="1063"/>
      <c r="T499" s="1063"/>
      <c r="U499" s="1063"/>
      <c r="V499" s="1063"/>
      <c r="W499" s="1063"/>
      <c r="X499" s="1063"/>
      <c r="Y499" s="1063"/>
      <c r="Z499" s="1063"/>
      <c r="AA499" s="1063"/>
      <c r="AB499" s="1063"/>
      <c r="AC499" s="1063"/>
      <c r="AD499" s="1063"/>
      <c r="AE499" s="1063"/>
      <c r="AF499" s="1063"/>
      <c r="AG499" s="1063"/>
      <c r="AH499" s="1063"/>
      <c r="AI499" s="1063"/>
      <c r="AJ499" s="1063"/>
      <c r="AK499" s="1063"/>
      <c r="AL499" s="1063"/>
      <c r="AM499" s="1063"/>
      <c r="AN499" s="1063"/>
      <c r="AO499" s="1063"/>
      <c r="AP499" s="1063"/>
      <c r="AQ499" s="1063"/>
      <c r="AR499" s="1063"/>
      <c r="AS499" s="1063"/>
      <c r="AT499" s="1063"/>
      <c r="AU499" s="1063"/>
      <c r="AV499" s="1063"/>
      <c r="AW499" s="1063"/>
      <c r="AX499" s="1063"/>
      <c r="AY499" s="1063"/>
      <c r="AZ499" s="1063"/>
      <c r="BA499" s="1063"/>
      <c r="BB499" s="1063"/>
      <c r="BC499" s="1063"/>
      <c r="BD499" s="1063"/>
      <c r="BE499" s="1063"/>
      <c r="BF499" s="1063"/>
      <c r="BG499" s="1063"/>
      <c r="BH499" s="1063"/>
      <c r="BI499" s="1063"/>
      <c r="BJ499" s="1063"/>
      <c r="BK499" s="1063"/>
      <c r="BL499" s="1063"/>
      <c r="BM499" s="1063"/>
      <c r="BN499" s="1063"/>
      <c r="BO499" s="1063"/>
      <c r="BP499" s="1063"/>
      <c r="BQ499" s="1063"/>
      <c r="BR499" s="1063"/>
      <c r="BS499" s="1063"/>
    </row>
    <row r="500" spans="1:71" ht="12.75">
      <c r="A500" s="1063"/>
      <c r="B500" s="1070"/>
      <c r="C500" s="1070"/>
      <c r="D500" s="1063"/>
      <c r="E500" s="1063"/>
      <c r="F500" s="1063"/>
      <c r="G500" s="1063"/>
      <c r="H500" s="1063"/>
      <c r="I500" s="1063"/>
      <c r="J500" s="1063"/>
      <c r="K500" s="1063"/>
      <c r="L500" s="1063"/>
      <c r="M500" s="1063"/>
      <c r="N500" s="1063"/>
      <c r="O500" s="1063"/>
      <c r="P500" s="1063"/>
      <c r="Q500" s="1063"/>
      <c r="R500" s="1063"/>
      <c r="S500" s="1063"/>
      <c r="T500" s="1063"/>
      <c r="U500" s="1063"/>
      <c r="V500" s="1063"/>
      <c r="W500" s="1063"/>
      <c r="X500" s="1063"/>
      <c r="Y500" s="1063"/>
      <c r="Z500" s="1063"/>
      <c r="AA500" s="1063"/>
      <c r="AB500" s="1063"/>
      <c r="AC500" s="1063"/>
      <c r="AD500" s="1063"/>
      <c r="AE500" s="1063"/>
      <c r="AF500" s="1063"/>
      <c r="AG500" s="1063"/>
      <c r="AH500" s="1063"/>
      <c r="AI500" s="1063"/>
      <c r="AJ500" s="1063"/>
      <c r="AK500" s="1063"/>
      <c r="AL500" s="1063"/>
      <c r="AM500" s="1063"/>
      <c r="AN500" s="1063"/>
      <c r="AO500" s="1063"/>
      <c r="AP500" s="1063"/>
      <c r="AQ500" s="1063"/>
      <c r="AR500" s="1063"/>
      <c r="AS500" s="1063"/>
      <c r="AT500" s="1063"/>
      <c r="AU500" s="1063"/>
      <c r="AV500" s="1063"/>
      <c r="AW500" s="1063"/>
      <c r="AX500" s="1063"/>
      <c r="AY500" s="1063"/>
      <c r="AZ500" s="1063"/>
      <c r="BA500" s="1063"/>
      <c r="BB500" s="1063"/>
      <c r="BC500" s="1063"/>
      <c r="BD500" s="1063"/>
      <c r="BE500" s="1063"/>
      <c r="BF500" s="1063"/>
      <c r="BG500" s="1063"/>
      <c r="BH500" s="1063"/>
      <c r="BI500" s="1063"/>
      <c r="BJ500" s="1063"/>
      <c r="BK500" s="1063"/>
      <c r="BL500" s="1063"/>
      <c r="BM500" s="1063"/>
      <c r="BN500" s="1063"/>
      <c r="BO500" s="1063"/>
      <c r="BP500" s="1063"/>
      <c r="BQ500" s="1063"/>
      <c r="BR500" s="1063"/>
      <c r="BS500" s="1063"/>
    </row>
    <row r="501" spans="1:71" ht="12.75">
      <c r="A501" s="1063"/>
      <c r="B501" s="1070"/>
      <c r="C501" s="1070"/>
      <c r="D501" s="1063"/>
      <c r="E501" s="1063"/>
      <c r="F501" s="1063"/>
      <c r="G501" s="1063"/>
      <c r="H501" s="1063"/>
      <c r="I501" s="1063"/>
      <c r="J501" s="1063"/>
      <c r="K501" s="1063"/>
      <c r="L501" s="1063"/>
      <c r="M501" s="1063"/>
      <c r="N501" s="1063"/>
      <c r="O501" s="1063"/>
      <c r="P501" s="1063"/>
      <c r="Q501" s="1063"/>
      <c r="R501" s="1063"/>
      <c r="S501" s="1063"/>
      <c r="T501" s="1063"/>
      <c r="U501" s="1063"/>
      <c r="V501" s="1063"/>
      <c r="W501" s="1063"/>
      <c r="X501" s="1063"/>
      <c r="Y501" s="1063"/>
      <c r="Z501" s="1063"/>
      <c r="AA501" s="1063"/>
      <c r="AB501" s="1063"/>
      <c r="AC501" s="1063"/>
      <c r="AD501" s="1063"/>
      <c r="AE501" s="1063"/>
      <c r="AF501" s="1063"/>
      <c r="AG501" s="1063"/>
      <c r="AH501" s="1063"/>
      <c r="AI501" s="1063"/>
      <c r="AJ501" s="1063"/>
      <c r="AK501" s="1063"/>
      <c r="AL501" s="1063"/>
      <c r="AM501" s="1063"/>
      <c r="AN501" s="1063"/>
      <c r="AO501" s="1063"/>
      <c r="AP501" s="1063"/>
      <c r="AQ501" s="1063"/>
      <c r="AR501" s="1063"/>
      <c r="AS501" s="1063"/>
      <c r="AT501" s="1063"/>
      <c r="AU501" s="1063"/>
      <c r="AV501" s="1063"/>
      <c r="AW501" s="1063"/>
      <c r="AX501" s="1063"/>
      <c r="AY501" s="1063"/>
      <c r="AZ501" s="1063"/>
      <c r="BA501" s="1063"/>
      <c r="BB501" s="1063"/>
      <c r="BC501" s="1063"/>
      <c r="BD501" s="1063"/>
      <c r="BE501" s="1063"/>
      <c r="BF501" s="1063"/>
      <c r="BG501" s="1063"/>
      <c r="BH501" s="1063"/>
      <c r="BI501" s="1063"/>
      <c r="BJ501" s="1063"/>
      <c r="BK501" s="1063"/>
      <c r="BL501" s="1063"/>
      <c r="BM501" s="1063"/>
      <c r="BN501" s="1063"/>
      <c r="BO501" s="1063"/>
      <c r="BP501" s="1063"/>
      <c r="BQ501" s="1063"/>
      <c r="BR501" s="1063"/>
      <c r="BS501" s="1063"/>
    </row>
    <row r="502" spans="1:71" ht="12.75">
      <c r="A502" s="1063"/>
      <c r="B502" s="1070"/>
      <c r="C502" s="1070"/>
      <c r="D502" s="1063"/>
      <c r="E502" s="1063"/>
      <c r="F502" s="1063"/>
      <c r="G502" s="1063"/>
      <c r="H502" s="1063"/>
      <c r="I502" s="1063"/>
      <c r="J502" s="1063"/>
      <c r="K502" s="1063"/>
      <c r="L502" s="1063"/>
      <c r="M502" s="1063"/>
      <c r="N502" s="1063"/>
      <c r="O502" s="1063"/>
      <c r="P502" s="1063"/>
      <c r="Q502" s="1063"/>
      <c r="R502" s="1063"/>
      <c r="S502" s="1063"/>
      <c r="T502" s="1063"/>
      <c r="U502" s="1063"/>
      <c r="V502" s="1063"/>
      <c r="W502" s="1063"/>
      <c r="X502" s="1063"/>
      <c r="Y502" s="1063"/>
      <c r="Z502" s="1063"/>
      <c r="AA502" s="1063"/>
      <c r="AB502" s="1063"/>
      <c r="AC502" s="1063"/>
      <c r="AD502" s="1063"/>
      <c r="AE502" s="1063"/>
      <c r="AF502" s="1063"/>
      <c r="AG502" s="1063"/>
      <c r="AH502" s="1063"/>
      <c r="AI502" s="1063"/>
      <c r="AJ502" s="1063"/>
      <c r="AK502" s="1063"/>
      <c r="AL502" s="1063"/>
      <c r="AM502" s="1063"/>
      <c r="AN502" s="1063"/>
      <c r="AO502" s="1063"/>
      <c r="AP502" s="1063"/>
      <c r="AQ502" s="1063"/>
      <c r="AR502" s="1063"/>
      <c r="AS502" s="1063"/>
      <c r="AT502" s="1063"/>
      <c r="AU502" s="1063"/>
      <c r="AV502" s="1063"/>
      <c r="AW502" s="1063"/>
      <c r="AX502" s="1063"/>
      <c r="AY502" s="1063"/>
      <c r="AZ502" s="1063"/>
      <c r="BA502" s="1063"/>
      <c r="BB502" s="1063"/>
      <c r="BC502" s="1063"/>
      <c r="BD502" s="1063"/>
      <c r="BE502" s="1063"/>
      <c r="BF502" s="1063"/>
      <c r="BG502" s="1063"/>
      <c r="BH502" s="1063"/>
      <c r="BI502" s="1063"/>
      <c r="BJ502" s="1063"/>
      <c r="BK502" s="1063"/>
      <c r="BL502" s="1063"/>
      <c r="BM502" s="1063"/>
      <c r="BN502" s="1063"/>
      <c r="BO502" s="1063"/>
      <c r="BP502" s="1063"/>
      <c r="BQ502" s="1063"/>
      <c r="BR502" s="1063"/>
      <c r="BS502" s="1063"/>
    </row>
    <row r="503" spans="1:71" ht="12.75">
      <c r="A503" s="1063"/>
      <c r="B503" s="1070"/>
      <c r="C503" s="1070"/>
      <c r="D503" s="1063"/>
      <c r="E503" s="1063"/>
      <c r="F503" s="1063"/>
      <c r="G503" s="1063"/>
      <c r="H503" s="1063"/>
      <c r="I503" s="1063"/>
      <c r="J503" s="1063"/>
      <c r="K503" s="1063"/>
      <c r="L503" s="1063"/>
      <c r="M503" s="1063"/>
      <c r="N503" s="1063"/>
      <c r="O503" s="1063"/>
      <c r="P503" s="1063"/>
      <c r="Q503" s="1063"/>
      <c r="R503" s="1063"/>
      <c r="S503" s="1063"/>
      <c r="T503" s="1063"/>
      <c r="U503" s="1063"/>
      <c r="V503" s="1063"/>
      <c r="W503" s="1063"/>
      <c r="X503" s="1063"/>
      <c r="Y503" s="1063"/>
      <c r="Z503" s="1063"/>
      <c r="AA503" s="1063"/>
      <c r="AB503" s="1063"/>
      <c r="AC503" s="1063"/>
      <c r="AD503" s="1063"/>
      <c r="AE503" s="1063"/>
      <c r="AF503" s="1063"/>
      <c r="AG503" s="1063"/>
      <c r="AH503" s="1063"/>
      <c r="AI503" s="1063"/>
      <c r="AJ503" s="1063"/>
      <c r="AK503" s="1063"/>
      <c r="AL503" s="1063"/>
      <c r="AM503" s="1063"/>
      <c r="AN503" s="1063"/>
      <c r="AO503" s="1063"/>
      <c r="AP503" s="1063"/>
      <c r="AQ503" s="1063"/>
      <c r="AR503" s="1063"/>
      <c r="AS503" s="1063"/>
      <c r="AT503" s="1063"/>
      <c r="AU503" s="1063"/>
      <c r="AV503" s="1063"/>
      <c r="AW503" s="1063"/>
      <c r="AX503" s="1063"/>
      <c r="AY503" s="1063"/>
      <c r="AZ503" s="1063"/>
      <c r="BA503" s="1063"/>
      <c r="BB503" s="1063"/>
      <c r="BC503" s="1063"/>
      <c r="BD503" s="1063"/>
      <c r="BE503" s="1063"/>
      <c r="BF503" s="1063"/>
      <c r="BG503" s="1063"/>
      <c r="BH503" s="1063"/>
      <c r="BI503" s="1063"/>
      <c r="BJ503" s="1063"/>
      <c r="BK503" s="1063"/>
      <c r="BL503" s="1063"/>
      <c r="BM503" s="1063"/>
      <c r="BN503" s="1063"/>
      <c r="BO503" s="1063"/>
      <c r="BP503" s="1063"/>
      <c r="BQ503" s="1063"/>
      <c r="BR503" s="1063"/>
      <c r="BS503" s="1063"/>
    </row>
    <row r="504" spans="1:71" ht="12.75">
      <c r="A504" s="1063"/>
      <c r="B504" s="1070"/>
      <c r="C504" s="1070"/>
      <c r="D504" s="1063"/>
      <c r="E504" s="1063"/>
      <c r="F504" s="1063"/>
      <c r="G504" s="1063"/>
      <c r="H504" s="1063"/>
      <c r="I504" s="1063"/>
      <c r="J504" s="1063"/>
      <c r="K504" s="1063"/>
      <c r="L504" s="1063"/>
      <c r="M504" s="1063"/>
      <c r="N504" s="1063"/>
      <c r="O504" s="1063"/>
      <c r="P504" s="1063"/>
      <c r="Q504" s="1063"/>
      <c r="R504" s="1063"/>
      <c r="S504" s="1063"/>
      <c r="T504" s="1063"/>
      <c r="U504" s="1063"/>
      <c r="V504" s="1063"/>
      <c r="W504" s="1063"/>
      <c r="X504" s="1063"/>
      <c r="Y504" s="1063"/>
      <c r="Z504" s="1063"/>
      <c r="AA504" s="1063"/>
      <c r="AB504" s="1063"/>
      <c r="AC504" s="1063"/>
      <c r="AD504" s="1063"/>
      <c r="AE504" s="1063"/>
      <c r="AF504" s="1063"/>
      <c r="AG504" s="1063"/>
      <c r="AH504" s="1063"/>
      <c r="AI504" s="1063"/>
      <c r="AJ504" s="1063"/>
      <c r="AK504" s="1063"/>
      <c r="AL504" s="1063"/>
      <c r="AM504" s="1063"/>
      <c r="AN504" s="1063"/>
      <c r="AO504" s="1063"/>
      <c r="AP504" s="1063"/>
      <c r="AQ504" s="1063"/>
      <c r="AR504" s="1063"/>
      <c r="AS504" s="1063"/>
      <c r="AT504" s="1063"/>
      <c r="AU504" s="1063"/>
      <c r="AV504" s="1063"/>
      <c r="AW504" s="1063"/>
      <c r="AX504" s="1063"/>
      <c r="AY504" s="1063"/>
      <c r="AZ504" s="1063"/>
      <c r="BA504" s="1063"/>
      <c r="BB504" s="1063"/>
      <c r="BC504" s="1063"/>
      <c r="BD504" s="1063"/>
      <c r="BE504" s="1063"/>
      <c r="BF504" s="1063"/>
      <c r="BG504" s="1063"/>
      <c r="BH504" s="1063"/>
      <c r="BI504" s="1063"/>
      <c r="BJ504" s="1063"/>
      <c r="BK504" s="1063"/>
      <c r="BL504" s="1063"/>
      <c r="BM504" s="1063"/>
      <c r="BN504" s="1063"/>
      <c r="BO504" s="1063"/>
      <c r="BP504" s="1063"/>
      <c r="BQ504" s="1063"/>
      <c r="BR504" s="1063"/>
      <c r="BS504" s="1063"/>
    </row>
    <row r="505" spans="1:71" ht="12.75">
      <c r="A505" s="1063"/>
      <c r="B505" s="1070"/>
      <c r="C505" s="1070"/>
      <c r="D505" s="1063"/>
      <c r="E505" s="1063"/>
      <c r="F505" s="1063"/>
      <c r="G505" s="1063"/>
      <c r="H505" s="1063"/>
      <c r="I505" s="1063"/>
      <c r="J505" s="1063"/>
      <c r="K505" s="1063"/>
      <c r="L505" s="1063"/>
      <c r="M505" s="1063"/>
      <c r="N505" s="1063"/>
      <c r="O505" s="1063"/>
      <c r="P505" s="1063"/>
      <c r="Q505" s="1063"/>
      <c r="R505" s="1063"/>
      <c r="S505" s="1063"/>
      <c r="T505" s="1063"/>
      <c r="U505" s="1063"/>
      <c r="V505" s="1063"/>
      <c r="W505" s="1063"/>
      <c r="X505" s="1063"/>
      <c r="Y505" s="1063"/>
      <c r="Z505" s="1063"/>
      <c r="AA505" s="1063"/>
      <c r="AB505" s="1063"/>
      <c r="AC505" s="1063"/>
      <c r="AD505" s="1063"/>
      <c r="AE505" s="1063"/>
      <c r="AF505" s="1063"/>
      <c r="AG505" s="1063"/>
      <c r="AH505" s="1063"/>
      <c r="AI505" s="1063"/>
      <c r="AJ505" s="1063"/>
      <c r="AK505" s="1063"/>
      <c r="AL505" s="1063"/>
      <c r="AM505" s="1063"/>
      <c r="AN505" s="1063"/>
      <c r="AO505" s="1063"/>
      <c r="AP505" s="1063"/>
      <c r="AQ505" s="1063"/>
      <c r="AR505" s="1063"/>
      <c r="AS505" s="1063"/>
      <c r="AT505" s="1063"/>
      <c r="AU505" s="1063"/>
      <c r="AV505" s="1063"/>
      <c r="AW505" s="1063"/>
      <c r="AX505" s="1063"/>
      <c r="AY505" s="1063"/>
      <c r="AZ505" s="1063"/>
      <c r="BA505" s="1063"/>
      <c r="BB505" s="1063"/>
      <c r="BC505" s="1063"/>
      <c r="BD505" s="1063"/>
      <c r="BE505" s="1063"/>
      <c r="BF505" s="1063"/>
      <c r="BG505" s="1063"/>
      <c r="BH505" s="1063"/>
      <c r="BI505" s="1063"/>
      <c r="BJ505" s="1063"/>
      <c r="BK505" s="1063"/>
      <c r="BL505" s="1063"/>
      <c r="BM505" s="1063"/>
      <c r="BN505" s="1063"/>
      <c r="BO505" s="1063"/>
      <c r="BP505" s="1063"/>
      <c r="BQ505" s="1063"/>
      <c r="BR505" s="1063"/>
      <c r="BS505" s="1063"/>
    </row>
    <row r="506" spans="1:71" ht="12.75">
      <c r="A506" s="1063"/>
      <c r="B506" s="1070"/>
      <c r="C506" s="1070"/>
      <c r="D506" s="1063"/>
      <c r="E506" s="1063"/>
      <c r="F506" s="1063"/>
      <c r="G506" s="1063"/>
      <c r="H506" s="1063"/>
      <c r="I506" s="1063"/>
      <c r="J506" s="1063"/>
      <c r="K506" s="1063"/>
      <c r="L506" s="1063"/>
      <c r="M506" s="1063"/>
      <c r="N506" s="1063"/>
      <c r="O506" s="1063"/>
      <c r="P506" s="1063"/>
      <c r="Q506" s="1063"/>
      <c r="R506" s="1063"/>
      <c r="S506" s="1063"/>
      <c r="T506" s="1063"/>
      <c r="U506" s="1063"/>
      <c r="V506" s="1063"/>
      <c r="W506" s="1063"/>
      <c r="X506" s="1063"/>
      <c r="Y506" s="1063"/>
      <c r="Z506" s="1063"/>
      <c r="AA506" s="1063"/>
      <c r="AB506" s="1063"/>
      <c r="AC506" s="1063"/>
      <c r="AD506" s="1063"/>
      <c r="AE506" s="1063"/>
      <c r="AF506" s="1063"/>
      <c r="AG506" s="1063"/>
      <c r="AH506" s="1063"/>
      <c r="AI506" s="1063"/>
      <c r="AJ506" s="1063"/>
      <c r="AK506" s="1063"/>
      <c r="AL506" s="1063"/>
      <c r="AM506" s="1063"/>
      <c r="AN506" s="1063"/>
      <c r="AO506" s="1063"/>
      <c r="AP506" s="1063"/>
      <c r="AQ506" s="1063"/>
      <c r="AR506" s="1063"/>
      <c r="AS506" s="1063"/>
      <c r="AT506" s="1063"/>
      <c r="AU506" s="1063"/>
      <c r="AV506" s="1063"/>
      <c r="AW506" s="1063"/>
      <c r="AX506" s="1063"/>
      <c r="AY506" s="1063"/>
      <c r="AZ506" s="1063"/>
      <c r="BA506" s="1063"/>
      <c r="BB506" s="1063"/>
      <c r="BC506" s="1063"/>
      <c r="BD506" s="1063"/>
      <c r="BE506" s="1063"/>
      <c r="BF506" s="1063"/>
      <c r="BG506" s="1063"/>
      <c r="BH506" s="1063"/>
      <c r="BI506" s="1063"/>
      <c r="BJ506" s="1063"/>
      <c r="BK506" s="1063"/>
      <c r="BL506" s="1063"/>
      <c r="BM506" s="1063"/>
      <c r="BN506" s="1063"/>
      <c r="BO506" s="1063"/>
      <c r="BP506" s="1063"/>
      <c r="BQ506" s="1063"/>
      <c r="BR506" s="1063"/>
      <c r="BS506" s="1063"/>
    </row>
    <row r="507" spans="1:71" ht="12.75">
      <c r="A507" s="1063"/>
      <c r="B507" s="1070"/>
      <c r="C507" s="1070"/>
      <c r="D507" s="1063"/>
      <c r="E507" s="1063"/>
      <c r="F507" s="1063"/>
      <c r="G507" s="1063"/>
      <c r="H507" s="1063"/>
      <c r="I507" s="1063"/>
      <c r="J507" s="1063"/>
      <c r="K507" s="1063"/>
      <c r="L507" s="1063"/>
      <c r="M507" s="1063"/>
      <c r="N507" s="1063"/>
      <c r="O507" s="1063"/>
      <c r="P507" s="1063"/>
      <c r="Q507" s="1063"/>
      <c r="R507" s="1063"/>
      <c r="S507" s="1063"/>
      <c r="T507" s="1063"/>
      <c r="U507" s="1063"/>
      <c r="V507" s="1063"/>
      <c r="W507" s="1063"/>
      <c r="X507" s="1063"/>
      <c r="Y507" s="1063"/>
      <c r="Z507" s="1063"/>
      <c r="AA507" s="1063"/>
      <c r="AB507" s="1063"/>
      <c r="AC507" s="1063"/>
      <c r="AD507" s="1063"/>
      <c r="AE507" s="1063"/>
      <c r="AF507" s="1063"/>
      <c r="AG507" s="1063"/>
      <c r="AH507" s="1063"/>
      <c r="AI507" s="1063"/>
      <c r="AJ507" s="1063"/>
      <c r="AK507" s="1063"/>
      <c r="AL507" s="1063"/>
      <c r="AM507" s="1063"/>
      <c r="AN507" s="1063"/>
      <c r="AO507" s="1063"/>
      <c r="AP507" s="1063"/>
      <c r="AQ507" s="1063"/>
      <c r="AR507" s="1063"/>
      <c r="AS507" s="1063"/>
      <c r="AT507" s="1063"/>
      <c r="AU507" s="1063"/>
      <c r="AV507" s="1063"/>
      <c r="AW507" s="1063"/>
      <c r="AX507" s="1063"/>
      <c r="AY507" s="1063"/>
      <c r="AZ507" s="1063"/>
      <c r="BA507" s="1063"/>
      <c r="BB507" s="1063"/>
      <c r="BC507" s="1063"/>
      <c r="BD507" s="1063"/>
      <c r="BE507" s="1063"/>
      <c r="BF507" s="1063"/>
      <c r="BG507" s="1063"/>
      <c r="BH507" s="1063"/>
      <c r="BI507" s="1063"/>
      <c r="BJ507" s="1063"/>
      <c r="BK507" s="1063"/>
      <c r="BL507" s="1063"/>
      <c r="BM507" s="1063"/>
      <c r="BN507" s="1063"/>
      <c r="BO507" s="1063"/>
      <c r="BP507" s="1063"/>
      <c r="BQ507" s="1063"/>
      <c r="BR507" s="1063"/>
      <c r="BS507" s="1063"/>
    </row>
    <row r="508" spans="1:71" ht="12.75">
      <c r="A508" s="1063"/>
      <c r="B508" s="1070"/>
      <c r="C508" s="1070"/>
      <c r="D508" s="1063"/>
      <c r="E508" s="1063"/>
      <c r="F508" s="1063"/>
      <c r="G508" s="1063"/>
      <c r="H508" s="1063"/>
      <c r="I508" s="1063"/>
      <c r="J508" s="1063"/>
      <c r="K508" s="1063"/>
      <c r="L508" s="1063"/>
      <c r="M508" s="1063"/>
      <c r="N508" s="1063"/>
      <c r="O508" s="1063"/>
      <c r="P508" s="1063"/>
      <c r="Q508" s="1063"/>
      <c r="R508" s="1063"/>
      <c r="S508" s="1063"/>
      <c r="T508" s="1063"/>
      <c r="U508" s="1063"/>
      <c r="V508" s="1063"/>
      <c r="W508" s="1063"/>
      <c r="X508" s="1063"/>
      <c r="Y508" s="1063"/>
      <c r="Z508" s="1063"/>
      <c r="AA508" s="1063"/>
      <c r="AB508" s="1063"/>
      <c r="AC508" s="1063"/>
      <c r="AD508" s="1063"/>
      <c r="AE508" s="1063"/>
      <c r="AF508" s="1063"/>
      <c r="AG508" s="1063"/>
      <c r="AH508" s="1063"/>
      <c r="AI508" s="1063"/>
      <c r="AJ508" s="1063"/>
      <c r="AK508" s="1063"/>
      <c r="AL508" s="1063"/>
      <c r="AM508" s="1063"/>
      <c r="AN508" s="1063"/>
      <c r="AO508" s="1063"/>
      <c r="AP508" s="1063"/>
      <c r="AQ508" s="1063"/>
      <c r="AR508" s="1063"/>
      <c r="AS508" s="1063"/>
      <c r="AT508" s="1063"/>
      <c r="AU508" s="1063"/>
      <c r="AV508" s="1063"/>
      <c r="AW508" s="1063"/>
      <c r="AX508" s="1063"/>
      <c r="AY508" s="1063"/>
      <c r="AZ508" s="1063"/>
      <c r="BA508" s="1063"/>
      <c r="BB508" s="1063"/>
      <c r="BC508" s="1063"/>
      <c r="BD508" s="1063"/>
      <c r="BE508" s="1063"/>
      <c r="BF508" s="1063"/>
      <c r="BG508" s="1063"/>
      <c r="BH508" s="1063"/>
      <c r="BI508" s="1063"/>
      <c r="BJ508" s="1063"/>
      <c r="BK508" s="1063"/>
      <c r="BL508" s="1063"/>
      <c r="BM508" s="1063"/>
      <c r="BN508" s="1063"/>
      <c r="BO508" s="1063"/>
      <c r="BP508" s="1063"/>
      <c r="BQ508" s="1063"/>
      <c r="BR508" s="1063"/>
      <c r="BS508" s="1063"/>
    </row>
    <row r="509" spans="1:71" ht="12.75">
      <c r="A509" s="1063"/>
      <c r="B509" s="1070"/>
      <c r="C509" s="1070"/>
      <c r="D509" s="1063"/>
      <c r="E509" s="1063"/>
      <c r="F509" s="1063"/>
      <c r="G509" s="1063"/>
      <c r="H509" s="1063"/>
      <c r="I509" s="1063"/>
      <c r="J509" s="1063"/>
      <c r="K509" s="1063"/>
      <c r="L509" s="1063"/>
      <c r="M509" s="1063"/>
      <c r="N509" s="1063"/>
      <c r="O509" s="1063"/>
      <c r="P509" s="1063"/>
      <c r="Q509" s="1063"/>
      <c r="R509" s="1063"/>
      <c r="S509" s="1063"/>
      <c r="T509" s="1063"/>
      <c r="U509" s="1063"/>
      <c r="V509" s="1063"/>
      <c r="W509" s="1063"/>
      <c r="X509" s="1063"/>
      <c r="Y509" s="1063"/>
      <c r="Z509" s="1063"/>
      <c r="AA509" s="1063"/>
      <c r="AB509" s="1063"/>
      <c r="AC509" s="1063"/>
      <c r="AD509" s="1063"/>
      <c r="AE509" s="1063"/>
      <c r="AF509" s="1063"/>
      <c r="AG509" s="1063"/>
      <c r="AH509" s="1063"/>
      <c r="AI509" s="1063"/>
      <c r="AJ509" s="1063"/>
      <c r="AK509" s="1063"/>
      <c r="AL509" s="1063"/>
      <c r="AM509" s="1063"/>
      <c r="AN509" s="1063"/>
      <c r="AO509" s="1063"/>
      <c r="AP509" s="1063"/>
      <c r="AQ509" s="1063"/>
      <c r="AR509" s="1063"/>
      <c r="AS509" s="1063"/>
      <c r="AT509" s="1063"/>
      <c r="AU509" s="1063"/>
      <c r="AV509" s="1063"/>
      <c r="AW509" s="1063"/>
      <c r="AX509" s="1063"/>
      <c r="AY509" s="1063"/>
      <c r="AZ509" s="1063"/>
      <c r="BA509" s="1063"/>
      <c r="BB509" s="1063"/>
      <c r="BC509" s="1063"/>
      <c r="BD509" s="1063"/>
      <c r="BE509" s="1063"/>
      <c r="BF509" s="1063"/>
      <c r="BG509" s="1063"/>
      <c r="BH509" s="1063"/>
      <c r="BI509" s="1063"/>
      <c r="BJ509" s="1063"/>
      <c r="BK509" s="1063"/>
      <c r="BL509" s="1063"/>
      <c r="BM509" s="1063"/>
      <c r="BN509" s="1063"/>
      <c r="BO509" s="1063"/>
      <c r="BP509" s="1063"/>
      <c r="BQ509" s="1063"/>
      <c r="BR509" s="1063"/>
      <c r="BS509" s="1063"/>
    </row>
    <row r="510" spans="1:71" ht="12.75">
      <c r="A510" s="1063"/>
      <c r="B510" s="1070"/>
      <c r="C510" s="1070"/>
      <c r="D510" s="1063"/>
      <c r="E510" s="1063"/>
      <c r="F510" s="1063"/>
      <c r="G510" s="1063"/>
      <c r="H510" s="1063"/>
      <c r="I510" s="1063"/>
      <c r="J510" s="1063"/>
      <c r="K510" s="1063"/>
      <c r="L510" s="1063"/>
      <c r="M510" s="1063"/>
      <c r="N510" s="1063"/>
      <c r="O510" s="1063"/>
      <c r="P510" s="1063"/>
      <c r="Q510" s="1063"/>
      <c r="R510" s="1063"/>
      <c r="S510" s="1063"/>
      <c r="T510" s="1063"/>
      <c r="U510" s="1063"/>
      <c r="V510" s="1063"/>
      <c r="W510" s="1063"/>
      <c r="X510" s="1063"/>
      <c r="Y510" s="1063"/>
      <c r="Z510" s="1063"/>
      <c r="AA510" s="1063"/>
      <c r="AB510" s="1063"/>
      <c r="AC510" s="1063"/>
      <c r="AD510" s="1063"/>
      <c r="AE510" s="1063"/>
      <c r="AF510" s="1063"/>
      <c r="AG510" s="1063"/>
      <c r="AH510" s="1063"/>
      <c r="AI510" s="1063"/>
      <c r="AJ510" s="1063"/>
      <c r="AK510" s="1063"/>
      <c r="AL510" s="1063"/>
      <c r="AM510" s="1063"/>
      <c r="AN510" s="1063"/>
      <c r="AO510" s="1063"/>
      <c r="AP510" s="1063"/>
      <c r="AQ510" s="1063"/>
      <c r="AR510" s="1063"/>
      <c r="AS510" s="1063"/>
      <c r="AT510" s="1063"/>
      <c r="AU510" s="1063"/>
      <c r="AV510" s="1063"/>
      <c r="AW510" s="1063"/>
      <c r="AX510" s="1063"/>
      <c r="AY510" s="1063"/>
      <c r="AZ510" s="1063"/>
      <c r="BA510" s="1063"/>
      <c r="BB510" s="1063"/>
      <c r="BC510" s="1063"/>
      <c r="BD510" s="1063"/>
      <c r="BE510" s="1063"/>
      <c r="BF510" s="1063"/>
      <c r="BG510" s="1063"/>
      <c r="BH510" s="1063"/>
      <c r="BI510" s="1063"/>
      <c r="BJ510" s="1063"/>
      <c r="BK510" s="1063"/>
      <c r="BL510" s="1063"/>
      <c r="BM510" s="1063"/>
      <c r="BN510" s="1063"/>
      <c r="BO510" s="1063"/>
      <c r="BP510" s="1063"/>
      <c r="BQ510" s="1063"/>
      <c r="BR510" s="1063"/>
      <c r="BS510" s="1063"/>
    </row>
    <row r="511" spans="1:71" ht="12.75">
      <c r="A511" s="1063"/>
      <c r="B511" s="1070"/>
      <c r="C511" s="1070"/>
      <c r="D511" s="1063"/>
      <c r="E511" s="1063"/>
      <c r="F511" s="1063"/>
      <c r="G511" s="1063"/>
      <c r="H511" s="1063"/>
      <c r="I511" s="1063"/>
      <c r="J511" s="1063"/>
      <c r="K511" s="1063"/>
      <c r="L511" s="1063"/>
      <c r="M511" s="1063"/>
      <c r="N511" s="1063"/>
      <c r="O511" s="1063"/>
      <c r="P511" s="1063"/>
      <c r="Q511" s="1063"/>
      <c r="R511" s="1063"/>
      <c r="S511" s="1063"/>
      <c r="T511" s="1063"/>
      <c r="U511" s="1063"/>
      <c r="V511" s="1063"/>
      <c r="W511" s="1063"/>
      <c r="X511" s="1063"/>
      <c r="Y511" s="1063"/>
      <c r="Z511" s="1063"/>
      <c r="AA511" s="1063"/>
      <c r="AB511" s="1063"/>
      <c r="AC511" s="1063"/>
      <c r="AD511" s="1063"/>
      <c r="AE511" s="1063"/>
      <c r="AF511" s="1063"/>
      <c r="AG511" s="1063"/>
      <c r="AH511" s="1063"/>
      <c r="AI511" s="1063"/>
      <c r="AJ511" s="1063"/>
      <c r="AK511" s="1063"/>
      <c r="AL511" s="1063"/>
      <c r="AM511" s="1063"/>
      <c r="AN511" s="1063"/>
      <c r="AO511" s="1063"/>
      <c r="AP511" s="1063"/>
      <c r="AQ511" s="1063"/>
      <c r="AR511" s="1063"/>
      <c r="AS511" s="1063"/>
      <c r="AT511" s="1063"/>
      <c r="AU511" s="1063"/>
      <c r="AV511" s="1063"/>
      <c r="AW511" s="1063"/>
      <c r="AX511" s="1063"/>
      <c r="AY511" s="1063"/>
      <c r="AZ511" s="1063"/>
      <c r="BA511" s="1063"/>
      <c r="BB511" s="1063"/>
      <c r="BC511" s="1063"/>
      <c r="BD511" s="1063"/>
      <c r="BE511" s="1063"/>
      <c r="BF511" s="1063"/>
      <c r="BG511" s="1063"/>
      <c r="BH511" s="1063"/>
      <c r="BI511" s="1063"/>
      <c r="BJ511" s="1063"/>
      <c r="BK511" s="1063"/>
      <c r="BL511" s="1063"/>
      <c r="BM511" s="1063"/>
      <c r="BN511" s="1063"/>
      <c r="BO511" s="1063"/>
      <c r="BP511" s="1063"/>
      <c r="BQ511" s="1063"/>
      <c r="BR511" s="1063"/>
      <c r="BS511" s="1063"/>
    </row>
    <row r="512" spans="1:71" ht="12.75">
      <c r="A512" s="1063"/>
      <c r="B512" s="1070"/>
      <c r="C512" s="1070"/>
      <c r="D512" s="1063"/>
      <c r="E512" s="1063"/>
      <c r="F512" s="1063"/>
      <c r="G512" s="1063"/>
      <c r="H512" s="1063"/>
      <c r="I512" s="1063"/>
      <c r="J512" s="1063"/>
      <c r="K512" s="1063"/>
      <c r="L512" s="1063"/>
      <c r="M512" s="1063"/>
      <c r="N512" s="1063"/>
      <c r="O512" s="1063"/>
      <c r="P512" s="1063"/>
      <c r="Q512" s="1063"/>
      <c r="R512" s="1063"/>
      <c r="S512" s="1063"/>
      <c r="T512" s="1063"/>
      <c r="U512" s="1063"/>
      <c r="V512" s="1063"/>
      <c r="W512" s="1063"/>
      <c r="X512" s="1063"/>
      <c r="Y512" s="1063"/>
      <c r="Z512" s="1063"/>
      <c r="AA512" s="1063"/>
      <c r="AB512" s="1063"/>
      <c r="AC512" s="1063"/>
      <c r="AD512" s="1063"/>
      <c r="AE512" s="1063"/>
      <c r="AF512" s="1063"/>
      <c r="AG512" s="1063"/>
      <c r="AH512" s="1063"/>
      <c r="AI512" s="1063"/>
      <c r="AJ512" s="1063"/>
      <c r="AK512" s="1063"/>
      <c r="AL512" s="1063"/>
      <c r="AM512" s="1063"/>
      <c r="AN512" s="1063"/>
      <c r="AO512" s="1063"/>
      <c r="AP512" s="1063"/>
      <c r="AQ512" s="1063"/>
      <c r="AR512" s="1063"/>
      <c r="AS512" s="1063"/>
      <c r="AT512" s="1063"/>
      <c r="AU512" s="1063"/>
      <c r="AV512" s="1063"/>
      <c r="AW512" s="1063"/>
      <c r="AX512" s="1063"/>
      <c r="AY512" s="1063"/>
      <c r="AZ512" s="1063"/>
      <c r="BA512" s="1063"/>
      <c r="BB512" s="1063"/>
      <c r="BC512" s="1063"/>
      <c r="BD512" s="1063"/>
      <c r="BE512" s="1063"/>
      <c r="BF512" s="1063"/>
      <c r="BG512" s="1063"/>
      <c r="BH512" s="1063"/>
      <c r="BI512" s="1063"/>
      <c r="BJ512" s="1063"/>
      <c r="BK512" s="1063"/>
      <c r="BL512" s="1063"/>
      <c r="BM512" s="1063"/>
      <c r="BN512" s="1063"/>
      <c r="BO512" s="1063"/>
      <c r="BP512" s="1063"/>
      <c r="BQ512" s="1063"/>
      <c r="BR512" s="1063"/>
      <c r="BS512" s="1063"/>
    </row>
    <row r="513" spans="1:71" ht="12.75">
      <c r="A513" s="1063"/>
      <c r="B513" s="1070"/>
      <c r="C513" s="1070"/>
      <c r="D513" s="1063"/>
      <c r="E513" s="1063"/>
      <c r="F513" s="1063"/>
      <c r="G513" s="1063"/>
      <c r="H513" s="1063"/>
      <c r="I513" s="1063"/>
      <c r="J513" s="1063"/>
      <c r="K513" s="1063"/>
      <c r="L513" s="1063"/>
      <c r="M513" s="1063"/>
      <c r="N513" s="1063"/>
      <c r="O513" s="1063"/>
      <c r="P513" s="1063"/>
      <c r="Q513" s="1063"/>
      <c r="R513" s="1063"/>
      <c r="S513" s="1063"/>
      <c r="T513" s="1063"/>
      <c r="U513" s="1063"/>
      <c r="V513" s="1063"/>
      <c r="W513" s="1063"/>
      <c r="X513" s="1063"/>
      <c r="Y513" s="1063"/>
      <c r="Z513" s="1063"/>
      <c r="AA513" s="1063"/>
      <c r="AB513" s="1063"/>
      <c r="AC513" s="1063"/>
      <c r="AD513" s="1063"/>
      <c r="AE513" s="1063"/>
      <c r="AF513" s="1063"/>
      <c r="AG513" s="1063"/>
      <c r="AH513" s="1063"/>
      <c r="AI513" s="1063"/>
      <c r="AJ513" s="1063"/>
      <c r="AK513" s="1063"/>
      <c r="AL513" s="1063"/>
      <c r="AM513" s="1063"/>
      <c r="AN513" s="1063"/>
      <c r="AO513" s="1063"/>
      <c r="AP513" s="1063"/>
      <c r="AQ513" s="1063"/>
      <c r="AR513" s="1063"/>
      <c r="AS513" s="1063"/>
      <c r="AT513" s="1063"/>
      <c r="AU513" s="1063"/>
      <c r="AV513" s="1063"/>
      <c r="AW513" s="1063"/>
      <c r="AX513" s="1063"/>
      <c r="AY513" s="1063"/>
      <c r="AZ513" s="1063"/>
      <c r="BA513" s="1063"/>
      <c r="BB513" s="1063"/>
      <c r="BC513" s="1063"/>
      <c r="BD513" s="1063"/>
      <c r="BE513" s="1063"/>
      <c r="BF513" s="1063"/>
      <c r="BG513" s="1063"/>
      <c r="BH513" s="1063"/>
      <c r="BI513" s="1063"/>
      <c r="BJ513" s="1063"/>
      <c r="BK513" s="1063"/>
      <c r="BL513" s="1063"/>
      <c r="BM513" s="1063"/>
      <c r="BN513" s="1063"/>
      <c r="BO513" s="1063"/>
      <c r="BP513" s="1063"/>
      <c r="BQ513" s="1063"/>
      <c r="BR513" s="1063"/>
      <c r="BS513" s="1063"/>
    </row>
    <row r="514" spans="1:71" ht="12.75">
      <c r="A514" s="1063"/>
      <c r="B514" s="1070"/>
      <c r="C514" s="1070"/>
      <c r="D514" s="1063"/>
      <c r="E514" s="1063"/>
      <c r="F514" s="1063"/>
      <c r="G514" s="1063"/>
      <c r="H514" s="1063"/>
      <c r="I514" s="1063"/>
      <c r="J514" s="1063"/>
      <c r="K514" s="1063"/>
      <c r="L514" s="1063"/>
      <c r="M514" s="1063"/>
      <c r="N514" s="1063"/>
      <c r="O514" s="1063"/>
      <c r="P514" s="1063"/>
      <c r="Q514" s="1063"/>
      <c r="R514" s="1063"/>
      <c r="S514" s="1063"/>
      <c r="T514" s="1063"/>
      <c r="U514" s="1063"/>
      <c r="V514" s="1063"/>
      <c r="W514" s="1063"/>
      <c r="X514" s="1063"/>
      <c r="Y514" s="1063"/>
      <c r="Z514" s="1063"/>
      <c r="AA514" s="1063"/>
      <c r="AB514" s="1063"/>
      <c r="AC514" s="1063"/>
      <c r="AD514" s="1063"/>
      <c r="AE514" s="1063"/>
      <c r="AF514" s="1063"/>
      <c r="AG514" s="1063"/>
      <c r="AH514" s="1063"/>
      <c r="AI514" s="1063"/>
      <c r="AJ514" s="1063"/>
      <c r="AK514" s="1063"/>
      <c r="AL514" s="1063"/>
      <c r="AM514" s="1063"/>
      <c r="AN514" s="1063"/>
      <c r="AO514" s="1063"/>
      <c r="AP514" s="1063"/>
      <c r="AQ514" s="1063"/>
      <c r="AR514" s="1063"/>
      <c r="AS514" s="1063"/>
      <c r="AT514" s="1063"/>
      <c r="AU514" s="1063"/>
      <c r="AV514" s="1063"/>
      <c r="AW514" s="1063"/>
      <c r="AX514" s="1063"/>
      <c r="AY514" s="1063"/>
      <c r="AZ514" s="1063"/>
      <c r="BA514" s="1063"/>
      <c r="BB514" s="1063"/>
      <c r="BC514" s="1063"/>
      <c r="BD514" s="1063"/>
      <c r="BE514" s="1063"/>
      <c r="BF514" s="1063"/>
      <c r="BG514" s="1063"/>
      <c r="BH514" s="1063"/>
      <c r="BI514" s="1063"/>
      <c r="BJ514" s="1063"/>
      <c r="BK514" s="1063"/>
      <c r="BL514" s="1063"/>
      <c r="BM514" s="1063"/>
      <c r="BN514" s="1063"/>
      <c r="BO514" s="1063"/>
      <c r="BP514" s="1063"/>
      <c r="BQ514" s="1063"/>
      <c r="BR514" s="1063"/>
      <c r="BS514" s="1063"/>
    </row>
    <row r="515" spans="1:71" ht="12.75">
      <c r="A515" s="1063"/>
      <c r="B515" s="1070"/>
      <c r="C515" s="1070"/>
      <c r="D515" s="1063"/>
      <c r="E515" s="1063"/>
      <c r="F515" s="1063"/>
      <c r="G515" s="1063"/>
      <c r="H515" s="1063"/>
      <c r="I515" s="1063"/>
      <c r="J515" s="1063"/>
      <c r="K515" s="1063"/>
      <c r="L515" s="1063"/>
      <c r="M515" s="1063"/>
      <c r="N515" s="1063"/>
      <c r="O515" s="1063"/>
      <c r="P515" s="1063"/>
      <c r="Q515" s="1063"/>
      <c r="R515" s="1063"/>
      <c r="S515" s="1063"/>
      <c r="T515" s="1063"/>
      <c r="U515" s="1063"/>
      <c r="V515" s="1063"/>
      <c r="W515" s="1063"/>
      <c r="X515" s="1063"/>
      <c r="Y515" s="1063"/>
      <c r="Z515" s="1063"/>
      <c r="AA515" s="1063"/>
      <c r="AB515" s="1063"/>
      <c r="AC515" s="1063"/>
      <c r="AD515" s="1063"/>
      <c r="AE515" s="1063"/>
      <c r="AF515" s="1063"/>
      <c r="AG515" s="1063"/>
      <c r="AH515" s="1063"/>
      <c r="AI515" s="1063"/>
      <c r="AJ515" s="1063"/>
      <c r="AK515" s="1063"/>
      <c r="AL515" s="1063"/>
      <c r="AM515" s="1063"/>
      <c r="AN515" s="1063"/>
      <c r="AO515" s="1063"/>
      <c r="AP515" s="1063"/>
      <c r="AQ515" s="1063"/>
      <c r="AR515" s="1063"/>
      <c r="AS515" s="1063"/>
      <c r="AT515" s="1063"/>
      <c r="AU515" s="1063"/>
      <c r="AV515" s="1063"/>
      <c r="AW515" s="1063"/>
      <c r="AX515" s="1063"/>
      <c r="AY515" s="1063"/>
      <c r="AZ515" s="1063"/>
      <c r="BA515" s="1063"/>
      <c r="BB515" s="1063"/>
      <c r="BC515" s="1063"/>
      <c r="BD515" s="1063"/>
      <c r="BE515" s="1063"/>
      <c r="BF515" s="1063"/>
      <c r="BG515" s="1063"/>
      <c r="BH515" s="1063"/>
      <c r="BI515" s="1063"/>
      <c r="BJ515" s="1063"/>
      <c r="BK515" s="1063"/>
      <c r="BL515" s="1063"/>
      <c r="BM515" s="1063"/>
      <c r="BN515" s="1063"/>
      <c r="BO515" s="1063"/>
      <c r="BP515" s="1063"/>
      <c r="BQ515" s="1063"/>
      <c r="BR515" s="1063"/>
      <c r="BS515" s="1063"/>
    </row>
    <row r="516" spans="1:71" ht="12.75">
      <c r="A516" s="1063"/>
      <c r="B516" s="1070"/>
      <c r="C516" s="1070"/>
      <c r="D516" s="1063"/>
      <c r="E516" s="1063"/>
      <c r="F516" s="1063"/>
      <c r="G516" s="1063"/>
      <c r="H516" s="1063"/>
      <c r="I516" s="1063"/>
      <c r="J516" s="1063"/>
      <c r="K516" s="1063"/>
      <c r="L516" s="1063"/>
      <c r="M516" s="1063"/>
      <c r="N516" s="1063"/>
      <c r="O516" s="1063"/>
      <c r="P516" s="1063"/>
      <c r="Q516" s="1063"/>
      <c r="R516" s="1063"/>
      <c r="S516" s="1063"/>
      <c r="T516" s="1063"/>
      <c r="U516" s="1063"/>
      <c r="V516" s="1063"/>
      <c r="W516" s="1063"/>
      <c r="X516" s="1063"/>
      <c r="Y516" s="1063"/>
      <c r="Z516" s="1063"/>
      <c r="AA516" s="1063"/>
      <c r="AB516" s="1063"/>
      <c r="AC516" s="1063"/>
      <c r="AD516" s="1063"/>
      <c r="AE516" s="1063"/>
      <c r="AF516" s="1063"/>
      <c r="AG516" s="1063"/>
      <c r="AH516" s="1063"/>
      <c r="AI516" s="1063"/>
      <c r="AJ516" s="1063"/>
      <c r="AK516" s="1063"/>
      <c r="AL516" s="1063"/>
      <c r="AM516" s="1063"/>
      <c r="AN516" s="1063"/>
      <c r="AO516" s="1063"/>
      <c r="AP516" s="1063"/>
      <c r="AQ516" s="1063"/>
      <c r="AR516" s="1063"/>
      <c r="AS516" s="1063"/>
      <c r="AT516" s="1063"/>
      <c r="AU516" s="1063"/>
      <c r="AV516" s="1063"/>
      <c r="AW516" s="1063"/>
      <c r="AX516" s="1063"/>
      <c r="AY516" s="1063"/>
      <c r="AZ516" s="1063"/>
      <c r="BA516" s="1063"/>
      <c r="BB516" s="1063"/>
      <c r="BC516" s="1063"/>
      <c r="BD516" s="1063"/>
      <c r="BE516" s="1063"/>
      <c r="BF516" s="1063"/>
      <c r="BG516" s="1063"/>
      <c r="BH516" s="1063"/>
      <c r="BI516" s="1063"/>
      <c r="BJ516" s="1063"/>
      <c r="BK516" s="1063"/>
      <c r="BL516" s="1063"/>
      <c r="BM516" s="1063"/>
      <c r="BN516" s="1063"/>
      <c r="BO516" s="1063"/>
      <c r="BP516" s="1063"/>
      <c r="BQ516" s="1063"/>
      <c r="BR516" s="1063"/>
      <c r="BS516" s="1063"/>
    </row>
    <row r="517" spans="1:71" ht="12.75">
      <c r="A517" s="1063"/>
      <c r="B517" s="1070"/>
      <c r="C517" s="1070"/>
      <c r="D517" s="1063"/>
      <c r="E517" s="1063"/>
      <c r="F517" s="1063"/>
      <c r="G517" s="1063"/>
      <c r="H517" s="1063"/>
      <c r="I517" s="1063"/>
      <c r="J517" s="1063"/>
      <c r="K517" s="1063"/>
      <c r="L517" s="1063"/>
      <c r="M517" s="1063"/>
      <c r="N517" s="1063"/>
      <c r="O517" s="1063"/>
      <c r="P517" s="1063"/>
      <c r="Q517" s="1063"/>
      <c r="R517" s="1063"/>
      <c r="S517" s="1063"/>
      <c r="T517" s="1063"/>
      <c r="U517" s="1063"/>
      <c r="V517" s="1063"/>
      <c r="W517" s="1063"/>
      <c r="X517" s="1063"/>
      <c r="Y517" s="1063"/>
      <c r="Z517" s="1063"/>
      <c r="AA517" s="1063"/>
      <c r="AB517" s="1063"/>
      <c r="AC517" s="1063"/>
      <c r="AD517" s="1063"/>
      <c r="AE517" s="1063"/>
      <c r="AF517" s="1063"/>
      <c r="AG517" s="1063"/>
      <c r="AH517" s="1063"/>
      <c r="AI517" s="1063"/>
      <c r="AJ517" s="1063"/>
      <c r="AK517" s="1063"/>
      <c r="AL517" s="1063"/>
      <c r="AM517" s="1063"/>
      <c r="AN517" s="1063"/>
      <c r="AO517" s="1063"/>
      <c r="AP517" s="1063"/>
      <c r="AQ517" s="1063"/>
      <c r="AR517" s="1063"/>
      <c r="AS517" s="1063"/>
      <c r="AT517" s="1063"/>
      <c r="AU517" s="1063"/>
      <c r="AV517" s="1063"/>
      <c r="AW517" s="1063"/>
      <c r="AX517" s="1063"/>
      <c r="AY517" s="1063"/>
      <c r="AZ517" s="1063"/>
      <c r="BA517" s="1063"/>
      <c r="BB517" s="1063"/>
      <c r="BC517" s="1063"/>
      <c r="BD517" s="1063"/>
      <c r="BE517" s="1063"/>
      <c r="BF517" s="1063"/>
      <c r="BG517" s="1063"/>
      <c r="BH517" s="1063"/>
      <c r="BI517" s="1063"/>
      <c r="BJ517" s="1063"/>
      <c r="BK517" s="1063"/>
      <c r="BL517" s="1063"/>
      <c r="BM517" s="1063"/>
      <c r="BN517" s="1063"/>
      <c r="BO517" s="1063"/>
      <c r="BP517" s="1063"/>
      <c r="BQ517" s="1063"/>
      <c r="BR517" s="1063"/>
      <c r="BS517" s="1063"/>
    </row>
    <row r="518" spans="1:71" ht="12.75">
      <c r="A518" s="1063"/>
      <c r="B518" s="1070"/>
      <c r="C518" s="1070"/>
      <c r="D518" s="1063"/>
      <c r="E518" s="1063"/>
      <c r="F518" s="1063"/>
      <c r="G518" s="1063"/>
      <c r="H518" s="1063"/>
      <c r="I518" s="1063"/>
      <c r="J518" s="1063"/>
      <c r="K518" s="1063"/>
      <c r="L518" s="1063"/>
      <c r="M518" s="1063"/>
      <c r="N518" s="1063"/>
      <c r="O518" s="1063"/>
      <c r="P518" s="1063"/>
      <c r="Q518" s="1063"/>
      <c r="R518" s="1063"/>
      <c r="S518" s="1063"/>
      <c r="T518" s="1063"/>
      <c r="U518" s="1063"/>
      <c r="V518" s="1063"/>
      <c r="W518" s="1063"/>
      <c r="X518" s="1063"/>
      <c r="Y518" s="1063"/>
      <c r="Z518" s="1063"/>
      <c r="AA518" s="1063"/>
      <c r="AB518" s="1063"/>
      <c r="AC518" s="1063"/>
      <c r="AD518" s="1063"/>
      <c r="AE518" s="1063"/>
      <c r="AF518" s="1063"/>
      <c r="AG518" s="1063"/>
      <c r="AH518" s="1063"/>
      <c r="AI518" s="1063"/>
      <c r="AJ518" s="1063"/>
      <c r="AK518" s="1063"/>
      <c r="AL518" s="1063"/>
      <c r="AM518" s="1063"/>
      <c r="AN518" s="1063"/>
      <c r="AO518" s="1063"/>
      <c r="AP518" s="1063"/>
      <c r="AQ518" s="1063"/>
      <c r="AR518" s="1063"/>
      <c r="AS518" s="1063"/>
      <c r="AT518" s="1063"/>
      <c r="AU518" s="1063"/>
      <c r="AV518" s="1063"/>
      <c r="AW518" s="1063"/>
      <c r="AX518" s="1063"/>
      <c r="AY518" s="1063"/>
      <c r="AZ518" s="1063"/>
      <c r="BA518" s="1063"/>
      <c r="BB518" s="1063"/>
      <c r="BC518" s="1063"/>
      <c r="BD518" s="1063"/>
      <c r="BE518" s="1063"/>
      <c r="BF518" s="1063"/>
      <c r="BG518" s="1063"/>
      <c r="BH518" s="1063"/>
      <c r="BI518" s="1063"/>
      <c r="BJ518" s="1063"/>
      <c r="BK518" s="1063"/>
      <c r="BL518" s="1063"/>
      <c r="BM518" s="1063"/>
      <c r="BN518" s="1063"/>
      <c r="BO518" s="1063"/>
      <c r="BP518" s="1063"/>
      <c r="BQ518" s="1063"/>
      <c r="BR518" s="1063"/>
      <c r="BS518" s="1063"/>
    </row>
    <row r="519" spans="1:71" ht="12.75">
      <c r="A519" s="1063"/>
      <c r="B519" s="1070"/>
      <c r="C519" s="1070"/>
      <c r="D519" s="1063"/>
      <c r="E519" s="1063"/>
      <c r="F519" s="1063"/>
      <c r="G519" s="1063"/>
      <c r="H519" s="1063"/>
      <c r="I519" s="1063"/>
      <c r="J519" s="1063"/>
      <c r="K519" s="1063"/>
      <c r="L519" s="1063"/>
      <c r="M519" s="1063"/>
      <c r="N519" s="1063"/>
      <c r="O519" s="1063"/>
      <c r="P519" s="1063"/>
      <c r="Q519" s="1063"/>
      <c r="R519" s="1063"/>
      <c r="S519" s="1063"/>
      <c r="T519" s="1063"/>
      <c r="U519" s="1063"/>
      <c r="V519" s="1063"/>
      <c r="W519" s="1063"/>
      <c r="X519" s="1063"/>
      <c r="Y519" s="1063"/>
      <c r="Z519" s="1063"/>
      <c r="AA519" s="1063"/>
      <c r="AB519" s="1063"/>
      <c r="AC519" s="1063"/>
      <c r="AD519" s="1063"/>
      <c r="AE519" s="1063"/>
      <c r="AF519" s="1063"/>
      <c r="AG519" s="1063"/>
      <c r="AH519" s="1063"/>
      <c r="AI519" s="1063"/>
      <c r="AJ519" s="1063"/>
      <c r="AK519" s="1063"/>
      <c r="AL519" s="1063"/>
      <c r="AM519" s="1063"/>
      <c r="AN519" s="1063"/>
      <c r="AO519" s="1063"/>
      <c r="AP519" s="1063"/>
      <c r="AQ519" s="1063"/>
      <c r="AR519" s="1063"/>
      <c r="AS519" s="1063"/>
      <c r="AT519" s="1063"/>
      <c r="AU519" s="1063"/>
      <c r="AV519" s="1063"/>
      <c r="AW519" s="1063"/>
      <c r="AX519" s="1063"/>
      <c r="AY519" s="1063"/>
      <c r="AZ519" s="1063"/>
      <c r="BA519" s="1063"/>
      <c r="BB519" s="1063"/>
      <c r="BC519" s="1063"/>
      <c r="BD519" s="1063"/>
      <c r="BE519" s="1063"/>
      <c r="BF519" s="1063"/>
      <c r="BG519" s="1063"/>
      <c r="BH519" s="1063"/>
      <c r="BI519" s="1063"/>
      <c r="BJ519" s="1063"/>
      <c r="BK519" s="1063"/>
      <c r="BL519" s="1063"/>
      <c r="BM519" s="1063"/>
      <c r="BN519" s="1063"/>
      <c r="BO519" s="1063"/>
      <c r="BP519" s="1063"/>
      <c r="BQ519" s="1063"/>
      <c r="BR519" s="1063"/>
      <c r="BS519" s="1063"/>
    </row>
    <row r="520" spans="1:71" ht="12.75">
      <c r="A520" s="1063"/>
      <c r="B520" s="1070"/>
      <c r="C520" s="1070"/>
      <c r="D520" s="1063"/>
      <c r="E520" s="1063"/>
      <c r="F520" s="1063"/>
      <c r="G520" s="1063"/>
      <c r="H520" s="1063"/>
      <c r="I520" s="1063"/>
      <c r="J520" s="1063"/>
      <c r="K520" s="1063"/>
      <c r="L520" s="1063"/>
      <c r="M520" s="1063"/>
      <c r="N520" s="1063"/>
      <c r="O520" s="1063"/>
      <c r="P520" s="1063"/>
      <c r="Q520" s="1063"/>
      <c r="R520" s="1063"/>
      <c r="S520" s="1063"/>
      <c r="T520" s="1063"/>
      <c r="U520" s="1063"/>
      <c r="V520" s="1063"/>
      <c r="W520" s="1063"/>
      <c r="X520" s="1063"/>
      <c r="Y520" s="1063"/>
      <c r="Z520" s="1063"/>
      <c r="AA520" s="1063"/>
      <c r="AB520" s="1063"/>
      <c r="AC520" s="1063"/>
      <c r="AD520" s="1063"/>
      <c r="AE520" s="1063"/>
      <c r="AF520" s="1063"/>
      <c r="AG520" s="1063"/>
      <c r="AH520" s="1063"/>
      <c r="AI520" s="1063"/>
      <c r="AJ520" s="1063"/>
      <c r="AK520" s="1063"/>
      <c r="AL520" s="1063"/>
      <c r="AM520" s="1063"/>
      <c r="AN520" s="1063"/>
      <c r="AO520" s="1063"/>
      <c r="AP520" s="1063"/>
      <c r="AQ520" s="1063"/>
      <c r="AR520" s="1063"/>
      <c r="AS520" s="1063"/>
      <c r="AT520" s="1063"/>
      <c r="AU520" s="1063"/>
      <c r="AV520" s="1063"/>
      <c r="AW520" s="1063"/>
      <c r="AX520" s="1063"/>
      <c r="AY520" s="1063"/>
      <c r="AZ520" s="1063"/>
      <c r="BA520" s="1063"/>
      <c r="BB520" s="1063"/>
      <c r="BC520" s="1063"/>
      <c r="BD520" s="1063"/>
      <c r="BE520" s="1063"/>
      <c r="BF520" s="1063"/>
      <c r="BG520" s="1063"/>
      <c r="BH520" s="1063"/>
      <c r="BI520" s="1063"/>
      <c r="BJ520" s="1063"/>
      <c r="BK520" s="1063"/>
      <c r="BL520" s="1063"/>
      <c r="BM520" s="1063"/>
      <c r="BN520" s="1063"/>
      <c r="BO520" s="1063"/>
      <c r="BP520" s="1063"/>
      <c r="BQ520" s="1063"/>
      <c r="BR520" s="1063"/>
      <c r="BS520" s="1063"/>
    </row>
    <row r="521" spans="1:71" ht="12.75">
      <c r="A521" s="1063"/>
      <c r="B521" s="1070"/>
      <c r="C521" s="1070"/>
      <c r="D521" s="1063"/>
      <c r="E521" s="1063"/>
      <c r="F521" s="1063"/>
      <c r="G521" s="1063"/>
      <c r="H521" s="1063"/>
      <c r="I521" s="1063"/>
      <c r="J521" s="1063"/>
      <c r="K521" s="1063"/>
      <c r="L521" s="1063"/>
      <c r="M521" s="1063"/>
      <c r="N521" s="1063"/>
      <c r="O521" s="1063"/>
      <c r="P521" s="1063"/>
      <c r="Q521" s="1063"/>
      <c r="R521" s="1063"/>
      <c r="S521" s="1063"/>
      <c r="T521" s="1063"/>
      <c r="U521" s="1063"/>
      <c r="V521" s="1063"/>
      <c r="W521" s="1063"/>
      <c r="X521" s="1063"/>
      <c r="Y521" s="1063"/>
      <c r="Z521" s="1063"/>
      <c r="AA521" s="1063"/>
      <c r="AB521" s="1063"/>
      <c r="AC521" s="1063"/>
      <c r="AD521" s="1063"/>
      <c r="AE521" s="1063"/>
      <c r="AF521" s="1063"/>
      <c r="AG521" s="1063"/>
      <c r="AH521" s="1063"/>
      <c r="AI521" s="1063"/>
      <c r="AJ521" s="1063"/>
      <c r="AK521" s="1063"/>
      <c r="AL521" s="1063"/>
      <c r="AM521" s="1063"/>
      <c r="AN521" s="1063"/>
      <c r="AO521" s="1063"/>
      <c r="AP521" s="1063"/>
      <c r="AQ521" s="1063"/>
      <c r="AR521" s="1063"/>
      <c r="AS521" s="1063"/>
      <c r="AT521" s="1063"/>
      <c r="AU521" s="1063"/>
      <c r="AV521" s="1063"/>
      <c r="AW521" s="1063"/>
      <c r="AX521" s="1063"/>
      <c r="AY521" s="1063"/>
      <c r="AZ521" s="1063"/>
      <c r="BA521" s="1063"/>
      <c r="BB521" s="1063"/>
      <c r="BC521" s="1063"/>
      <c r="BD521" s="1063"/>
      <c r="BE521" s="1063"/>
      <c r="BF521" s="1063"/>
      <c r="BG521" s="1063"/>
      <c r="BH521" s="1063"/>
      <c r="BI521" s="1063"/>
      <c r="BJ521" s="1063"/>
      <c r="BK521" s="1063"/>
      <c r="BL521" s="1063"/>
      <c r="BM521" s="1063"/>
      <c r="BN521" s="1063"/>
      <c r="BO521" s="1063"/>
      <c r="BP521" s="1063"/>
      <c r="BQ521" s="1063"/>
      <c r="BR521" s="1063"/>
      <c r="BS521" s="1063"/>
    </row>
    <row r="522" spans="1:71" ht="12.75">
      <c r="A522" s="1063"/>
      <c r="B522" s="1070"/>
      <c r="C522" s="1070"/>
      <c r="D522" s="1063"/>
      <c r="E522" s="1063"/>
      <c r="F522" s="1063"/>
      <c r="G522" s="1063"/>
      <c r="H522" s="1063"/>
      <c r="I522" s="1063"/>
      <c r="J522" s="1063"/>
      <c r="K522" s="1063"/>
      <c r="L522" s="1063"/>
      <c r="M522" s="1063"/>
      <c r="N522" s="1063"/>
      <c r="O522" s="1063"/>
      <c r="P522" s="1063"/>
      <c r="Q522" s="1063"/>
      <c r="R522" s="1063"/>
      <c r="S522" s="1063"/>
      <c r="T522" s="1063"/>
      <c r="U522" s="1063"/>
      <c r="V522" s="1063"/>
      <c r="W522" s="1063"/>
      <c r="X522" s="1063"/>
      <c r="Y522" s="1063"/>
      <c r="Z522" s="1063"/>
      <c r="AA522" s="1063"/>
      <c r="AB522" s="1063"/>
      <c r="AC522" s="1063"/>
      <c r="AD522" s="1063"/>
      <c r="AE522" s="1063"/>
      <c r="AF522" s="1063"/>
      <c r="AG522" s="1063"/>
      <c r="AH522" s="1063"/>
      <c r="AI522" s="1063"/>
      <c r="AJ522" s="1063"/>
      <c r="AK522" s="1063"/>
      <c r="AL522" s="1063"/>
      <c r="AM522" s="1063"/>
      <c r="AN522" s="1063"/>
      <c r="AO522" s="1063"/>
      <c r="AP522" s="1063"/>
      <c r="AQ522" s="1063"/>
      <c r="AR522" s="1063"/>
      <c r="AS522" s="1063"/>
      <c r="AT522" s="1063"/>
      <c r="AU522" s="1063"/>
      <c r="AV522" s="1063"/>
      <c r="AW522" s="1063"/>
      <c r="AX522" s="1063"/>
      <c r="AY522" s="1063"/>
      <c r="AZ522" s="1063"/>
      <c r="BA522" s="1063"/>
      <c r="BB522" s="1063"/>
      <c r="BC522" s="1063"/>
      <c r="BD522" s="1063"/>
      <c r="BE522" s="1063"/>
      <c r="BF522" s="1063"/>
      <c r="BG522" s="1063"/>
      <c r="BH522" s="1063"/>
      <c r="BI522" s="1063"/>
      <c r="BJ522" s="1063"/>
      <c r="BK522" s="1063"/>
      <c r="BL522" s="1063"/>
      <c r="BM522" s="1063"/>
      <c r="BN522" s="1063"/>
      <c r="BO522" s="1063"/>
      <c r="BP522" s="1063"/>
      <c r="BQ522" s="1063"/>
      <c r="BR522" s="1063"/>
      <c r="BS522" s="1063"/>
    </row>
    <row r="523" spans="1:71" ht="12.75">
      <c r="A523" s="1063"/>
      <c r="B523" s="1070"/>
      <c r="C523" s="1070"/>
      <c r="D523" s="1063"/>
      <c r="E523" s="1063"/>
      <c r="F523" s="1063"/>
      <c r="G523" s="1063"/>
      <c r="H523" s="1063"/>
      <c r="I523" s="1063"/>
      <c r="J523" s="1063"/>
      <c r="K523" s="1063"/>
      <c r="L523" s="1063"/>
      <c r="M523" s="1063"/>
      <c r="N523" s="1063"/>
      <c r="O523" s="1063"/>
      <c r="P523" s="1063"/>
      <c r="Q523" s="1063"/>
      <c r="R523" s="1063"/>
      <c r="S523" s="1063"/>
      <c r="T523" s="1063"/>
      <c r="U523" s="1063"/>
      <c r="V523" s="1063"/>
      <c r="W523" s="1063"/>
      <c r="X523" s="1063"/>
      <c r="Y523" s="1063"/>
      <c r="Z523" s="1063"/>
      <c r="AA523" s="1063"/>
      <c r="AB523" s="1063"/>
      <c r="AC523" s="1063"/>
      <c r="AD523" s="1063"/>
      <c r="AE523" s="1063"/>
      <c r="AF523" s="1063"/>
      <c r="AG523" s="1063"/>
      <c r="AH523" s="1063"/>
      <c r="AI523" s="1063"/>
      <c r="AJ523" s="1063"/>
      <c r="AK523" s="1063"/>
      <c r="AL523" s="1063"/>
      <c r="AM523" s="1063"/>
      <c r="AN523" s="1063"/>
      <c r="AO523" s="1063"/>
      <c r="AP523" s="1063"/>
      <c r="AQ523" s="1063"/>
      <c r="AR523" s="1063"/>
      <c r="AS523" s="1063"/>
      <c r="AT523" s="1063"/>
      <c r="AU523" s="1063"/>
      <c r="AV523" s="1063"/>
      <c r="AW523" s="1063"/>
      <c r="AX523" s="1063"/>
      <c r="AY523" s="1063"/>
      <c r="AZ523" s="1063"/>
      <c r="BA523" s="1063"/>
      <c r="BB523" s="1063"/>
      <c r="BC523" s="1063"/>
      <c r="BD523" s="1063"/>
      <c r="BE523" s="1063"/>
      <c r="BF523" s="1063"/>
      <c r="BG523" s="1063"/>
      <c r="BH523" s="1063"/>
      <c r="BI523" s="1063"/>
      <c r="BJ523" s="1063"/>
      <c r="BK523" s="1063"/>
      <c r="BL523" s="1063"/>
      <c r="BM523" s="1063"/>
      <c r="BN523" s="1063"/>
      <c r="BO523" s="1063"/>
      <c r="BP523" s="1063"/>
      <c r="BQ523" s="1063"/>
      <c r="BR523" s="1063"/>
      <c r="BS523" s="1063"/>
    </row>
    <row r="524" spans="1:71" ht="12.75">
      <c r="A524" s="1063"/>
      <c r="B524" s="1070"/>
      <c r="C524" s="1070"/>
      <c r="D524" s="1063"/>
      <c r="E524" s="1063"/>
      <c r="F524" s="1063"/>
      <c r="G524" s="1063"/>
      <c r="H524" s="1063"/>
      <c r="I524" s="1063"/>
      <c r="J524" s="1063"/>
      <c r="K524" s="1063"/>
      <c r="L524" s="1063"/>
      <c r="M524" s="1063"/>
      <c r="N524" s="1063"/>
      <c r="O524" s="1063"/>
      <c r="P524" s="1063"/>
      <c r="Q524" s="1063"/>
      <c r="R524" s="1063"/>
      <c r="S524" s="1063"/>
      <c r="T524" s="1063"/>
      <c r="U524" s="1063"/>
      <c r="V524" s="1063"/>
      <c r="W524" s="1063"/>
      <c r="X524" s="1063"/>
      <c r="Y524" s="1063"/>
      <c r="Z524" s="1063"/>
      <c r="AA524" s="1063"/>
      <c r="AB524" s="1063"/>
      <c r="AC524" s="1063"/>
      <c r="AD524" s="1063"/>
      <c r="AE524" s="1063"/>
      <c r="AF524" s="1063"/>
      <c r="AG524" s="1063"/>
      <c r="AH524" s="1063"/>
      <c r="AI524" s="1063"/>
      <c r="AJ524" s="1063"/>
      <c r="AK524" s="1063"/>
      <c r="AL524" s="1063"/>
      <c r="AM524" s="1063"/>
      <c r="AN524" s="1063"/>
      <c r="AO524" s="1063"/>
      <c r="AP524" s="1063"/>
      <c r="AQ524" s="1063"/>
      <c r="AR524" s="1063"/>
      <c r="AS524" s="1063"/>
      <c r="AT524" s="1063"/>
      <c r="AU524" s="1063"/>
      <c r="AV524" s="1063"/>
      <c r="AW524" s="1063"/>
      <c r="AX524" s="1063"/>
      <c r="AY524" s="1063"/>
      <c r="AZ524" s="1063"/>
      <c r="BA524" s="1063"/>
      <c r="BB524" s="1063"/>
      <c r="BC524" s="1063"/>
      <c r="BD524" s="1063"/>
      <c r="BE524" s="1063"/>
      <c r="BF524" s="1063"/>
      <c r="BG524" s="1063"/>
      <c r="BH524" s="1063"/>
      <c r="BI524" s="1063"/>
      <c r="BJ524" s="1063"/>
      <c r="BK524" s="1063"/>
      <c r="BL524" s="1063"/>
      <c r="BM524" s="1063"/>
      <c r="BN524" s="1063"/>
      <c r="BO524" s="1063"/>
      <c r="BP524" s="1063"/>
      <c r="BQ524" s="1063"/>
      <c r="BR524" s="1063"/>
      <c r="BS524" s="1063"/>
    </row>
    <row r="525" spans="1:71" ht="12.75">
      <c r="A525" s="1063"/>
      <c r="B525" s="1070"/>
      <c r="C525" s="1070"/>
      <c r="D525" s="1063"/>
      <c r="E525" s="1063"/>
      <c r="F525" s="1063"/>
      <c r="G525" s="1063"/>
      <c r="H525" s="1063"/>
      <c r="I525" s="1063"/>
      <c r="J525" s="1063"/>
      <c r="K525" s="1063"/>
      <c r="L525" s="1063"/>
      <c r="M525" s="1063"/>
      <c r="N525" s="1063"/>
      <c r="O525" s="1063"/>
      <c r="P525" s="1063"/>
      <c r="Q525" s="1063"/>
      <c r="R525" s="1063"/>
      <c r="S525" s="1063"/>
      <c r="T525" s="1063"/>
      <c r="U525" s="1063"/>
      <c r="V525" s="1063"/>
      <c r="W525" s="1063"/>
      <c r="X525" s="1063"/>
      <c r="Y525" s="1063"/>
      <c r="Z525" s="1063"/>
      <c r="AA525" s="1063"/>
      <c r="AB525" s="1063"/>
      <c r="AC525" s="1063"/>
      <c r="AD525" s="1063"/>
      <c r="AE525" s="1063"/>
      <c r="AF525" s="1063"/>
      <c r="AG525" s="1063"/>
      <c r="AH525" s="1063"/>
      <c r="AI525" s="1063"/>
      <c r="AJ525" s="1063"/>
      <c r="AK525" s="1063"/>
      <c r="AL525" s="1063"/>
      <c r="AM525" s="1063"/>
      <c r="AN525" s="1063"/>
      <c r="AO525" s="1063"/>
      <c r="AP525" s="1063"/>
      <c r="AQ525" s="1063"/>
      <c r="AR525" s="1063"/>
      <c r="AS525" s="1063"/>
      <c r="AT525" s="1063"/>
      <c r="AU525" s="1063"/>
      <c r="AV525" s="1063"/>
      <c r="AW525" s="1063"/>
      <c r="AX525" s="1063"/>
      <c r="AY525" s="1063"/>
      <c r="AZ525" s="1063"/>
      <c r="BA525" s="1063"/>
      <c r="BB525" s="1063"/>
      <c r="BC525" s="1063"/>
      <c r="BD525" s="1063"/>
      <c r="BE525" s="1063"/>
      <c r="BF525" s="1063"/>
      <c r="BG525" s="1063"/>
      <c r="BH525" s="1063"/>
      <c r="BI525" s="1063"/>
      <c r="BJ525" s="1063"/>
      <c r="BK525" s="1063"/>
      <c r="BL525" s="1063"/>
      <c r="BM525" s="1063"/>
      <c r="BN525" s="1063"/>
      <c r="BO525" s="1063"/>
      <c r="BP525" s="1063"/>
      <c r="BQ525" s="1063"/>
      <c r="BR525" s="1063"/>
      <c r="BS525" s="1063"/>
    </row>
  </sheetData>
  <sheetProtection/>
  <protectedRanges>
    <protectedRange password="CC01" sqref="H158:Q158 S158:BF158 A113:A174 H153:BF157 E171:BF174 E129:BF129 E128:G128 AP128:BF128 E150:BF150 E149:G149 AP149:BF149 E151:G170 AP151:BF151 E130:G130 AP130:BF130 H159:BF170 E113:BF127 E131:BF148" name="Диапазон2"/>
    <protectedRange password="CC01" sqref="H128:AO128" name="Диапазон2_5"/>
    <protectedRange password="CC01" sqref="H149:AO149" name="Диапазон2_6"/>
    <protectedRange password="CC01" sqref="H130:AO130" name="Диапазон2_7"/>
    <protectedRange password="CC01" sqref="A111:A112 E111:BF112" name="Диапазон2_8"/>
    <protectedRange password="CC01" sqref="E4:G21 W25:X26 E25:G42 E22:AT22 AB25:AB29 AA29 AE25:AE29 H39:AT40 AD29 L9 W4:X6 Z4:Z6 AA4:AB9 AC4:AC6 AD4:AE9 AF4:AF6 AG4:AH9 U9 AL4:AM6 AJ9 L29 N25:O26 Q25:R26 T25:U26 X29 Z25:AA26 AC25:AD26 AG29 AJ29 AH25:AH29 AF25:AG26 AK25:AK29 AI25:AJ26 AN25:AN29 H4:I6 AM29 AP29 AL25:AM26 AO25:AP26 K4:L6 N4:O6 R9 Q4:R6 T4:U6 AI4:AJ6 O9 AM9 J25:J29 H25:I26 I29 M25:M29 K25:L26 P25:P29 O29 S25:S29 R29 V25:V29 U29 Y25:Y29 H42:AT42 I9 AO4:BF4 AR37:AT37 E23:F24 E43:F44 H41 K41 N41 Q41 T41 W41 Z41 AC41 AF41 AI41 AL41 AO41 AR41:AT41 H92:Q92 S92:AT92 E45:AT45 E46:G62 AB47:AB49 AA49 AE47:AE49 H58:AT60 AD49 L49 X49 AG49 AJ49 AH47:AH49 AK47:AK49 AN47:AN49 AM49 J47:J49 I49 M47:M49 P47:P49 O49 S47:S49 R49 V47:V49 U49 Y47:Y49 H62:AT62 AR57:AT57 E63:F64 AR61:AT61 E65:AT65 AQ50 AS50:AT50 AQ30 AS30:AT30 AQ10 AS10:AT10 J4:J9 M4:M9 P4:P9 S4:S9 V4:V9 Y4:Y9 AQ43 AQ63 AK4:AK9 AN4:AN9 AQ23 AP9:AT9 AQ7:AT8 H11:AT13 H31:AT33 AO5:BI6 H52:AT53 H61:AO61 AQ47:AT48 AP49:AT49 H107:BJ107 H66:AT66 BJ6 AQ25:AT29 H46:AT46 BJ66:BK66 BJ26:BK26 BJ46:BK46 H51:BI51 E87:G107 E66:G82 AB67:AB69 AA69 AE67:AE69 H79:AT80 AD69 L69 X69 AG69 AJ69 AH67:AH69 AK67:AK69 AN67:AN69 AM69 J67:J69 I69 M67:M69 P67:P69 O69 S67:S69 R69 V67:V69 U69 Y67:Y69 H82:AT82 AR77:AT77 E83:F84 AR81:AT81 AQ70 AS70:AT70 AQ83 H72:AT73 AQ67:AT68 AP69:AT69 H71:BI71 BJ86:BK87 AU88:BI91 H87:AT91 H18:AT22 AP14:AT17 AP38:AT38 AP34:AT36 AP54:AT56 AP78:AT78 AP74:AT76 H81:AO81 A4:A107 E85:AT86 H93:BI106" name="Диапазон2_8_1"/>
    <protectedRange password="CC01" sqref="A1:A3 G1 E1:E3 H1:BF3 F2:G3" name="Диапазон1_1"/>
    <protectedRange password="CC01" sqref="AP23 AR23:AT24 G23:G24 AP24:AQ24" name="Диапазон2_1_1"/>
    <protectedRange password="CC01" sqref="AP43 AR43:AT44 AP63 AR63:AT63 G43:G44 AP44:AQ44 G63:G64 AP83 AR83:AT83 AP84:AT84 AP64:AT64 G83:G84" name="Диапазон2_2_1"/>
    <protectedRange password="CC01" sqref="AU11:BF11 AU13:BF18 BE12:BF12 AV12:AW12 AY12:AZ12 BB12:BC12 BE7:BF10 AV7:AW10 AY7:AZ10 BB7:BC10 AU20:BF20 BE19:BF19 AV19:AW19 AY19:AZ19 BB19:BC19 BE25:BF25 BE21:BF22 AV21:AW25 AY21:AZ25 BB21:BC25 BE27:BF30 AV27:AW30 AY27:AZ30 BB27:BC30 AU35:BF36 BE32:BF34 AV32:AW34 AY32:AZ34 BB32:BC34 AU26:BI26 AU46:BI46 AU31:BF31 BE47:BF50 AV47:AW50 AY47:AZ50 BB47:BC50 BE52:BF65 AV52:AW65 AY52:AZ65 BB52:BC65 AU66:BI66 BE67:BF70 AV67:AW70 AY67:AZ70 BB67:BC70 BE72:BF85 AV72:AW85 AY72:AZ85 BB72:BC85 AU86:BI87 AU92:BI92" name="Диапазон2_9"/>
    <protectedRange password="CC01" sqref="BE23:BF24" name="Диапазон2_1_2"/>
    <protectedRange password="CC01" sqref="BE37:BF45 AV37:AW45 AY37:AZ45 BB37:BC45" name="Диапазон2_10"/>
    <protectedRange password="CC01" sqref="H14:AO17" name="Диапазон2_3_1_1"/>
    <protectedRange password="CC01" sqref="H23:AO24" name="Диапазон2_3_1_2"/>
    <protectedRange password="CC01" sqref="H34:AO36 H38:AO38" name="Диапазон2_3_1_3"/>
    <protectedRange password="CC01" sqref="H43:AO44" name="Диапазон2_3_1_4"/>
    <protectedRange password="CC01" sqref="H54:AO57" name="Диапазон2_3_1_6"/>
    <protectedRange password="CC01" sqref="H63:AO64" name="Диапазон2_3_1_7"/>
    <protectedRange password="CC01" sqref="H74:AO78" name="Диапазон2_3_1_8"/>
    <protectedRange password="CC01" sqref="H83:AO84" name="Диапазон2_3_1_9"/>
  </protectedRanges>
  <mergeCells count="52">
    <mergeCell ref="A7:A25"/>
    <mergeCell ref="A27:A45"/>
    <mergeCell ref="A47:A65"/>
    <mergeCell ref="A88:A106"/>
    <mergeCell ref="A67:A85"/>
    <mergeCell ref="BL316:BM316"/>
    <mergeCell ref="AU307:BA307"/>
    <mergeCell ref="BD307:BH307"/>
    <mergeCell ref="BI307:BK307"/>
    <mergeCell ref="BL307:BM307"/>
    <mergeCell ref="AU316:BA316"/>
    <mergeCell ref="BD316:BH316"/>
    <mergeCell ref="BI316:BK316"/>
    <mergeCell ref="AU250:BA250"/>
    <mergeCell ref="BD250:BH250"/>
    <mergeCell ref="BI250:BJ250"/>
    <mergeCell ref="AU276:BA276"/>
    <mergeCell ref="BD276:BH276"/>
    <mergeCell ref="AU284:BA284"/>
    <mergeCell ref="AU225:BA225"/>
    <mergeCell ref="BD225:BH225"/>
    <mergeCell ref="BI225:BJ225"/>
    <mergeCell ref="BD284:BH284"/>
    <mergeCell ref="BI284:BJ284"/>
    <mergeCell ref="BI276:BJ276"/>
    <mergeCell ref="AU233:BA233"/>
    <mergeCell ref="BD233:BH233"/>
    <mergeCell ref="BI233:BJ233"/>
    <mergeCell ref="BA4:BC4"/>
    <mergeCell ref="A4:A5"/>
    <mergeCell ref="B4:B5"/>
    <mergeCell ref="C4:C5"/>
    <mergeCell ref="D4:D5"/>
    <mergeCell ref="E4:E5"/>
    <mergeCell ref="F4:F5"/>
    <mergeCell ref="G4:G5"/>
    <mergeCell ref="H4:J4"/>
    <mergeCell ref="AX4:AZ4"/>
    <mergeCell ref="K4:M4"/>
    <mergeCell ref="N4:P4"/>
    <mergeCell ref="Q4:S4"/>
    <mergeCell ref="T4:V4"/>
    <mergeCell ref="BD4:BF4"/>
    <mergeCell ref="W4:Y4"/>
    <mergeCell ref="Z4:AB4"/>
    <mergeCell ref="AC4:AE4"/>
    <mergeCell ref="AF4:AH4"/>
    <mergeCell ref="AI4:AK4"/>
    <mergeCell ref="AL4:AN4"/>
    <mergeCell ref="AR4:AT4"/>
    <mergeCell ref="AU4:AW4"/>
    <mergeCell ref="AO4:AQ4"/>
  </mergeCells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7"/>
  <sheetViews>
    <sheetView workbookViewId="0" topLeftCell="A25">
      <selection activeCell="V37" sqref="V37"/>
    </sheetView>
  </sheetViews>
  <sheetFormatPr defaultColWidth="9.140625" defaultRowHeight="15" outlineLevelCol="1"/>
  <cols>
    <col min="1" max="1" width="9.140625" style="813" customWidth="1"/>
    <col min="2" max="2" width="13.28125" style="813" customWidth="1"/>
    <col min="3" max="3" width="18.8515625" style="813" customWidth="1"/>
    <col min="4" max="4" width="11.28125" style="813" customWidth="1" outlineLevel="1"/>
    <col min="5" max="5" width="10.421875" style="813" customWidth="1"/>
    <col min="6" max="6" width="10.28125" style="813" customWidth="1"/>
    <col min="7" max="7" width="13.00390625" style="813" customWidth="1"/>
    <col min="8" max="8" width="13.7109375" style="813" customWidth="1"/>
    <col min="9" max="9" width="12.421875" style="813" customWidth="1"/>
    <col min="10" max="10" width="13.7109375" style="813" customWidth="1"/>
    <col min="11" max="16384" width="9.140625" style="813" customWidth="1"/>
  </cols>
  <sheetData>
    <row r="1" spans="1:10" ht="12.75">
      <c r="A1" s="813" t="s">
        <v>1386</v>
      </c>
      <c r="J1" s="814"/>
    </row>
    <row r="2" ht="12.75">
      <c r="A2" s="813" t="s">
        <v>1613</v>
      </c>
    </row>
    <row r="4" spans="1:10" ht="15">
      <c r="A4" s="2246" t="s">
        <v>682</v>
      </c>
      <c r="B4" s="2246"/>
      <c r="C4" s="2246"/>
      <c r="D4" s="2246"/>
      <c r="E4" s="2246"/>
      <c r="F4" s="2246"/>
      <c r="G4" s="2246"/>
      <c r="H4" s="2246"/>
      <c r="I4" s="2246"/>
      <c r="J4" s="2246"/>
    </row>
    <row r="6" spans="1:10" ht="66">
      <c r="A6" s="815" t="s">
        <v>1662</v>
      </c>
      <c r="B6" s="816" t="s">
        <v>1363</v>
      </c>
      <c r="C6" s="816" t="s">
        <v>1506</v>
      </c>
      <c r="D6" s="816" t="s">
        <v>1364</v>
      </c>
      <c r="E6" s="815" t="s">
        <v>1507</v>
      </c>
      <c r="F6" s="815" t="s">
        <v>1508</v>
      </c>
      <c r="G6" s="817" t="s">
        <v>1509</v>
      </c>
      <c r="H6" s="818" t="s">
        <v>1510</v>
      </c>
      <c r="I6" s="818" t="s">
        <v>1511</v>
      </c>
      <c r="J6" s="818" t="s">
        <v>1512</v>
      </c>
    </row>
    <row r="7" spans="1:10" ht="15" customHeight="1">
      <c r="A7" s="819">
        <v>1</v>
      </c>
      <c r="B7" s="820">
        <v>2</v>
      </c>
      <c r="C7" s="820">
        <v>3</v>
      </c>
      <c r="D7" s="820"/>
      <c r="E7" s="820">
        <v>4</v>
      </c>
      <c r="F7" s="820">
        <v>5</v>
      </c>
      <c r="G7" s="820">
        <v>6</v>
      </c>
      <c r="H7" s="820">
        <v>7</v>
      </c>
      <c r="I7" s="820">
        <v>8</v>
      </c>
      <c r="J7" s="819">
        <v>9</v>
      </c>
    </row>
    <row r="8" spans="1:10" ht="15" customHeight="1">
      <c r="A8" s="2250" t="s">
        <v>404</v>
      </c>
      <c r="B8" s="2251"/>
      <c r="C8" s="2251"/>
      <c r="D8" s="2251"/>
      <c r="E8" s="2251"/>
      <c r="F8" s="2251"/>
      <c r="G8" s="2251"/>
      <c r="H8" s="2251"/>
      <c r="I8" s="2251"/>
      <c r="J8" s="2252"/>
    </row>
    <row r="9" spans="1:10" ht="12.75" customHeight="1">
      <c r="A9" s="1130" t="s">
        <v>1671</v>
      </c>
      <c r="B9" s="2253" t="s">
        <v>1365</v>
      </c>
      <c r="C9" s="2254"/>
      <c r="D9" s="2254"/>
      <c r="E9" s="2254"/>
      <c r="F9" s="2254"/>
      <c r="G9" s="2254"/>
      <c r="H9" s="2254"/>
      <c r="I9" s="2254"/>
      <c r="J9" s="2255"/>
    </row>
    <row r="10" spans="1:10" ht="38.25" customHeight="1">
      <c r="A10" s="821" t="s">
        <v>1663</v>
      </c>
      <c r="B10" s="1131" t="s">
        <v>1366</v>
      </c>
      <c r="C10" s="824" t="s">
        <v>1367</v>
      </c>
      <c r="D10" s="825" t="s">
        <v>1368</v>
      </c>
      <c r="E10" s="819">
        <v>1</v>
      </c>
      <c r="F10" s="826">
        <v>0.9</v>
      </c>
      <c r="G10" s="819">
        <v>24</v>
      </c>
      <c r="H10" s="819">
        <f>E10*F10*G10</f>
        <v>21.6</v>
      </c>
      <c r="I10" s="819">
        <v>273</v>
      </c>
      <c r="J10" s="827">
        <f>H10*I10</f>
        <v>5896.8</v>
      </c>
    </row>
    <row r="11" spans="1:10" ht="26.25">
      <c r="A11" s="821" t="s">
        <v>424</v>
      </c>
      <c r="B11" s="822"/>
      <c r="C11" s="822" t="s">
        <v>1369</v>
      </c>
      <c r="D11" s="825" t="s">
        <v>1368</v>
      </c>
      <c r="E11" s="825">
        <v>2</v>
      </c>
      <c r="F11" s="825">
        <v>0.23</v>
      </c>
      <c r="G11" s="819">
        <v>24</v>
      </c>
      <c r="H11" s="819">
        <f>E11*F11*G11</f>
        <v>11.040000000000001</v>
      </c>
      <c r="I11" s="819">
        <v>273</v>
      </c>
      <c r="J11" s="827">
        <f>H11*I11</f>
        <v>3013.92</v>
      </c>
    </row>
    <row r="12" spans="1:10" ht="15" customHeight="1">
      <c r="A12" s="821" t="s">
        <v>425</v>
      </c>
      <c r="B12" s="822" t="s">
        <v>1370</v>
      </c>
      <c r="C12" s="822" t="s">
        <v>1371</v>
      </c>
      <c r="D12" s="822"/>
      <c r="E12" s="825">
        <v>4</v>
      </c>
      <c r="F12" s="825">
        <v>0.06</v>
      </c>
      <c r="G12" s="819">
        <v>6</v>
      </c>
      <c r="H12" s="819">
        <f>E12*F12*G12</f>
        <v>1.44</v>
      </c>
      <c r="I12" s="819">
        <v>273</v>
      </c>
      <c r="J12" s="827">
        <f>H12*I12</f>
        <v>393.12</v>
      </c>
    </row>
    <row r="13" spans="1:10" ht="13.5">
      <c r="A13" s="821" t="s">
        <v>232</v>
      </c>
      <c r="B13" s="822" t="s">
        <v>1372</v>
      </c>
      <c r="C13" s="822"/>
      <c r="D13" s="828"/>
      <c r="E13" s="822"/>
      <c r="F13" s="822"/>
      <c r="G13" s="819"/>
      <c r="H13" s="819"/>
      <c r="I13" s="819"/>
      <c r="J13" s="827"/>
    </row>
    <row r="14" spans="1:10" ht="12.75">
      <c r="A14" s="821" t="s">
        <v>233</v>
      </c>
      <c r="B14" s="822" t="s">
        <v>1373</v>
      </c>
      <c r="C14" s="822"/>
      <c r="D14" s="822"/>
      <c r="E14" s="822"/>
      <c r="F14" s="822"/>
      <c r="G14" s="819"/>
      <c r="H14" s="819"/>
      <c r="I14" s="819"/>
      <c r="J14" s="827"/>
    </row>
    <row r="15" spans="1:10" ht="12.75">
      <c r="A15" s="821"/>
      <c r="B15" s="822" t="s">
        <v>211</v>
      </c>
      <c r="C15" s="822"/>
      <c r="D15" s="822"/>
      <c r="E15" s="822"/>
      <c r="F15" s="822"/>
      <c r="G15" s="819"/>
      <c r="H15" s="819"/>
      <c r="I15" s="819"/>
      <c r="J15" s="829">
        <f>SUM(J10:J14)</f>
        <v>9303.840000000002</v>
      </c>
    </row>
    <row r="16" spans="1:10" ht="12.75">
      <c r="A16" s="1130" t="s">
        <v>1664</v>
      </c>
      <c r="B16" s="2247" t="s">
        <v>1365</v>
      </c>
      <c r="C16" s="2248"/>
      <c r="D16" s="2248"/>
      <c r="E16" s="2248"/>
      <c r="F16" s="2248"/>
      <c r="G16" s="2248"/>
      <c r="H16" s="2248"/>
      <c r="I16" s="2248"/>
      <c r="J16" s="2249"/>
    </row>
    <row r="17" spans="1:10" ht="33.75" customHeight="1">
      <c r="A17" s="821" t="s">
        <v>1665</v>
      </c>
      <c r="B17" s="1131" t="s">
        <v>1374</v>
      </c>
      <c r="C17" s="824" t="s">
        <v>1367</v>
      </c>
      <c r="D17" s="825" t="s">
        <v>1368</v>
      </c>
      <c r="E17" s="819">
        <v>1</v>
      </c>
      <c r="F17" s="826">
        <v>0.9</v>
      </c>
      <c r="G17" s="819">
        <v>24</v>
      </c>
      <c r="H17" s="819">
        <f>E17*F17*G17</f>
        <v>21.6</v>
      </c>
      <c r="I17" s="819">
        <v>273</v>
      </c>
      <c r="J17" s="827">
        <f>H17*I17</f>
        <v>5896.8</v>
      </c>
    </row>
    <row r="18" spans="1:10" ht="26.25">
      <c r="A18" s="821" t="s">
        <v>1695</v>
      </c>
      <c r="B18" s="822"/>
      <c r="C18" s="822" t="s">
        <v>1369</v>
      </c>
      <c r="D18" s="825" t="s">
        <v>1368</v>
      </c>
      <c r="E18" s="825">
        <v>2</v>
      </c>
      <c r="F18" s="825">
        <v>0.23</v>
      </c>
      <c r="G18" s="819">
        <v>24</v>
      </c>
      <c r="H18" s="819">
        <f>E18*F18*G18</f>
        <v>11.040000000000001</v>
      </c>
      <c r="I18" s="819">
        <v>273</v>
      </c>
      <c r="J18" s="827">
        <f>H18*I18</f>
        <v>3013.92</v>
      </c>
    </row>
    <row r="19" spans="1:10" ht="12.75" customHeight="1">
      <c r="A19" s="821" t="s">
        <v>1657</v>
      </c>
      <c r="B19" s="822" t="s">
        <v>1370</v>
      </c>
      <c r="C19" s="822" t="s">
        <v>1371</v>
      </c>
      <c r="D19" s="828"/>
      <c r="E19" s="825">
        <v>4</v>
      </c>
      <c r="F19" s="825">
        <v>0.06</v>
      </c>
      <c r="G19" s="819">
        <v>6</v>
      </c>
      <c r="H19" s="819">
        <f>E19*F19*G19</f>
        <v>1.44</v>
      </c>
      <c r="I19" s="819">
        <v>273</v>
      </c>
      <c r="J19" s="827">
        <f>H19*I19</f>
        <v>393.12</v>
      </c>
    </row>
    <row r="20" spans="1:10" ht="13.5">
      <c r="A20" s="821" t="s">
        <v>79</v>
      </c>
      <c r="B20" s="822" t="s">
        <v>1372</v>
      </c>
      <c r="C20" s="828"/>
      <c r="D20" s="822"/>
      <c r="E20" s="822"/>
      <c r="F20" s="822"/>
      <c r="G20" s="819"/>
      <c r="H20" s="819"/>
      <c r="I20" s="819"/>
      <c r="J20" s="827"/>
    </row>
    <row r="21" spans="1:10" ht="12.75">
      <c r="A21" s="822" t="s">
        <v>1660</v>
      </c>
      <c r="B21" s="822" t="s">
        <v>1373</v>
      </c>
      <c r="C21" s="822"/>
      <c r="D21" s="822"/>
      <c r="E21" s="822"/>
      <c r="F21" s="822"/>
      <c r="G21" s="819"/>
      <c r="H21" s="819"/>
      <c r="I21" s="819"/>
      <c r="J21" s="827"/>
    </row>
    <row r="22" spans="1:10" ht="12.75">
      <c r="A22" s="821"/>
      <c r="B22" s="822" t="s">
        <v>211</v>
      </c>
      <c r="C22" s="822"/>
      <c r="D22" s="822"/>
      <c r="E22" s="822"/>
      <c r="F22" s="822"/>
      <c r="G22" s="819"/>
      <c r="H22" s="819"/>
      <c r="I22" s="819"/>
      <c r="J22" s="829">
        <f>SUM(J17:J21)</f>
        <v>9303.840000000002</v>
      </c>
    </row>
    <row r="23" spans="1:10" ht="12.75">
      <c r="A23" s="1130" t="s">
        <v>1666</v>
      </c>
      <c r="B23" s="2247" t="s">
        <v>1365</v>
      </c>
      <c r="C23" s="2248"/>
      <c r="D23" s="2248"/>
      <c r="E23" s="2248"/>
      <c r="F23" s="2248"/>
      <c r="G23" s="2248"/>
      <c r="H23" s="2248"/>
      <c r="I23" s="2248"/>
      <c r="J23" s="2249"/>
    </row>
    <row r="24" spans="1:10" ht="45.75" customHeight="1">
      <c r="A24" s="821" t="s">
        <v>1668</v>
      </c>
      <c r="B24" s="1131" t="s">
        <v>1375</v>
      </c>
      <c r="C24" s="824" t="s">
        <v>1376</v>
      </c>
      <c r="D24" s="825" t="s">
        <v>1368</v>
      </c>
      <c r="E24" s="819">
        <v>1</v>
      </c>
      <c r="F24" s="826">
        <v>1.5</v>
      </c>
      <c r="G24" s="819">
        <v>24</v>
      </c>
      <c r="H24" s="819">
        <f>E24*F24*G24</f>
        <v>36</v>
      </c>
      <c r="I24" s="819">
        <v>273</v>
      </c>
      <c r="J24" s="827">
        <f>H24*I24</f>
        <v>9828</v>
      </c>
    </row>
    <row r="25" spans="1:10" ht="26.25">
      <c r="A25" s="821" t="s">
        <v>1669</v>
      </c>
      <c r="B25" s="822"/>
      <c r="C25" s="822" t="s">
        <v>1377</v>
      </c>
      <c r="D25" s="825" t="s">
        <v>1368</v>
      </c>
      <c r="E25" s="825">
        <v>2</v>
      </c>
      <c r="F25" s="825">
        <v>0.23</v>
      </c>
      <c r="G25" s="819">
        <v>24</v>
      </c>
      <c r="H25" s="819">
        <f>E25*F25*G25</f>
        <v>11.040000000000001</v>
      </c>
      <c r="I25" s="819">
        <v>273</v>
      </c>
      <c r="J25" s="827">
        <f>H25*I25</f>
        <v>3013.92</v>
      </c>
    </row>
    <row r="26" spans="1:10" ht="12.75">
      <c r="A26" s="821" t="s">
        <v>426</v>
      </c>
      <c r="B26" s="822" t="s">
        <v>1370</v>
      </c>
      <c r="C26" s="822" t="s">
        <v>1371</v>
      </c>
      <c r="D26" s="822"/>
      <c r="E26" s="825">
        <v>4</v>
      </c>
      <c r="F26" s="825">
        <v>0.06</v>
      </c>
      <c r="G26" s="819">
        <v>6</v>
      </c>
      <c r="H26" s="819">
        <f>E26*F26*G26</f>
        <v>1.44</v>
      </c>
      <c r="I26" s="819">
        <v>273</v>
      </c>
      <c r="J26" s="827">
        <f>H26*I26</f>
        <v>393.12</v>
      </c>
    </row>
    <row r="27" spans="1:10" ht="13.5">
      <c r="A27" s="821" t="s">
        <v>237</v>
      </c>
      <c r="B27" s="822" t="s">
        <v>1372</v>
      </c>
      <c r="C27" s="828"/>
      <c r="D27" s="828"/>
      <c r="E27" s="822"/>
      <c r="F27" s="822"/>
      <c r="G27" s="819"/>
      <c r="H27" s="819"/>
      <c r="I27" s="819"/>
      <c r="J27" s="827"/>
    </row>
    <row r="28" spans="1:10" ht="12.75">
      <c r="A28" s="821" t="s">
        <v>247</v>
      </c>
      <c r="B28" s="822" t="s">
        <v>1373</v>
      </c>
      <c r="C28" s="822"/>
      <c r="D28" s="822"/>
      <c r="E28" s="822"/>
      <c r="F28" s="822"/>
      <c r="G28" s="819"/>
      <c r="H28" s="819"/>
      <c r="I28" s="819"/>
      <c r="J28" s="827"/>
    </row>
    <row r="29" spans="1:10" ht="12.75">
      <c r="A29" s="822" t="s">
        <v>1660</v>
      </c>
      <c r="B29" s="822"/>
      <c r="C29" s="822"/>
      <c r="D29" s="822"/>
      <c r="E29" s="822"/>
      <c r="F29" s="822"/>
      <c r="G29" s="819"/>
      <c r="H29" s="819"/>
      <c r="I29" s="819"/>
      <c r="J29" s="827"/>
    </row>
    <row r="30" spans="1:10" ht="12.75">
      <c r="A30" s="821"/>
      <c r="B30" s="822" t="s">
        <v>211</v>
      </c>
      <c r="C30" s="822"/>
      <c r="D30" s="822"/>
      <c r="E30" s="822"/>
      <c r="F30" s="822"/>
      <c r="G30" s="819"/>
      <c r="H30" s="819"/>
      <c r="I30" s="819"/>
      <c r="J30" s="829">
        <f>SUM(J24:J29)</f>
        <v>13235.04</v>
      </c>
    </row>
    <row r="31" spans="1:10" ht="12.75">
      <c r="A31" s="1130" t="s">
        <v>1672</v>
      </c>
      <c r="B31" s="2247" t="s">
        <v>1365</v>
      </c>
      <c r="C31" s="2248"/>
      <c r="D31" s="2248"/>
      <c r="E31" s="2248"/>
      <c r="F31" s="2248"/>
      <c r="G31" s="2248"/>
      <c r="H31" s="2248"/>
      <c r="I31" s="2248"/>
      <c r="J31" s="2249"/>
    </row>
    <row r="32" spans="1:10" ht="52.5">
      <c r="A32" s="821" t="s">
        <v>203</v>
      </c>
      <c r="B32" s="1132" t="s">
        <v>1378</v>
      </c>
      <c r="C32" s="824" t="s">
        <v>1376</v>
      </c>
      <c r="D32" s="825" t="s">
        <v>1368</v>
      </c>
      <c r="E32" s="819">
        <v>2</v>
      </c>
      <c r="F32" s="826">
        <v>1.5</v>
      </c>
      <c r="G32" s="819">
        <v>24</v>
      </c>
      <c r="H32" s="819">
        <f>E32*F32*G32</f>
        <v>72</v>
      </c>
      <c r="I32" s="819">
        <v>273</v>
      </c>
      <c r="J32" s="827">
        <f>H32*I32</f>
        <v>19656</v>
      </c>
    </row>
    <row r="33" spans="1:10" ht="26.25">
      <c r="A33" s="821" t="s">
        <v>205</v>
      </c>
      <c r="B33" s="822"/>
      <c r="C33" s="822" t="s">
        <v>1377</v>
      </c>
      <c r="D33" s="825" t="s">
        <v>1368</v>
      </c>
      <c r="E33" s="825">
        <v>2</v>
      </c>
      <c r="F33" s="825">
        <v>0.23</v>
      </c>
      <c r="G33" s="819">
        <v>24</v>
      </c>
      <c r="H33" s="819">
        <f>E33*F33*G33</f>
        <v>11.040000000000001</v>
      </c>
      <c r="I33" s="819">
        <v>273</v>
      </c>
      <c r="J33" s="827">
        <f>H33*I33</f>
        <v>3013.92</v>
      </c>
    </row>
    <row r="34" spans="1:10" ht="26.25">
      <c r="A34" s="821" t="s">
        <v>207</v>
      </c>
      <c r="B34" s="822" t="s">
        <v>1370</v>
      </c>
      <c r="C34" s="822" t="s">
        <v>1379</v>
      </c>
      <c r="D34" s="825" t="s">
        <v>1368</v>
      </c>
      <c r="E34" s="825">
        <v>1</v>
      </c>
      <c r="F34" s="825">
        <v>0.6</v>
      </c>
      <c r="G34" s="819">
        <v>24</v>
      </c>
      <c r="H34" s="819">
        <f>E34*F34*G34</f>
        <v>14.399999999999999</v>
      </c>
      <c r="I34" s="819">
        <v>273</v>
      </c>
      <c r="J34" s="827">
        <f>H34*I34</f>
        <v>3931.2</v>
      </c>
    </row>
    <row r="35" spans="1:10" ht="13.5">
      <c r="A35" s="821" t="s">
        <v>214</v>
      </c>
      <c r="B35" s="822" t="s">
        <v>1372</v>
      </c>
      <c r="C35" s="822" t="s">
        <v>1371</v>
      </c>
      <c r="D35" s="828"/>
      <c r="E35" s="825">
        <v>4</v>
      </c>
      <c r="F35" s="825">
        <v>0.06</v>
      </c>
      <c r="G35" s="819">
        <v>6</v>
      </c>
      <c r="H35" s="819">
        <f>E35*F35*G35</f>
        <v>1.44</v>
      </c>
      <c r="I35" s="819">
        <v>273</v>
      </c>
      <c r="J35" s="827">
        <f>H35*I35</f>
        <v>393.12</v>
      </c>
    </row>
    <row r="36" spans="1:10" ht="12.75">
      <c r="A36" s="821" t="s">
        <v>215</v>
      </c>
      <c r="B36" s="822" t="s">
        <v>1373</v>
      </c>
      <c r="C36" s="822"/>
      <c r="D36" s="825"/>
      <c r="E36" s="825"/>
      <c r="F36" s="825"/>
      <c r="G36" s="819"/>
      <c r="H36" s="819"/>
      <c r="I36" s="819"/>
      <c r="J36" s="827"/>
    </row>
    <row r="37" spans="1:10" ht="12.75">
      <c r="A37" s="821"/>
      <c r="B37" s="823" t="s">
        <v>211</v>
      </c>
      <c r="C37" s="822"/>
      <c r="D37" s="822"/>
      <c r="E37" s="822"/>
      <c r="F37" s="822"/>
      <c r="G37" s="819"/>
      <c r="H37" s="819"/>
      <c r="I37" s="819"/>
      <c r="J37" s="829">
        <f>SUM(J32:J36)</f>
        <v>26994.239999999998</v>
      </c>
    </row>
    <row r="38" spans="1:10" ht="12.75" hidden="1">
      <c r="A38" s="821" t="s">
        <v>1673</v>
      </c>
      <c r="B38" s="2259" t="s">
        <v>1660</v>
      </c>
      <c r="C38" s="2260"/>
      <c r="D38" s="2260"/>
      <c r="E38" s="2260"/>
      <c r="F38" s="2260"/>
      <c r="G38" s="2260"/>
      <c r="H38" s="2260"/>
      <c r="I38" s="2260"/>
      <c r="J38" s="2261"/>
    </row>
    <row r="39" spans="1:10" ht="12.75" hidden="1">
      <c r="A39" s="821" t="s">
        <v>428</v>
      </c>
      <c r="B39" s="822"/>
      <c r="C39" s="822" t="s">
        <v>1660</v>
      </c>
      <c r="D39" s="822"/>
      <c r="E39" s="830"/>
      <c r="F39" s="831"/>
      <c r="G39" s="819"/>
      <c r="H39" s="819"/>
      <c r="I39" s="819"/>
      <c r="J39" s="819"/>
    </row>
    <row r="40" spans="1:10" ht="12.75" hidden="1">
      <c r="A40" s="821" t="s">
        <v>429</v>
      </c>
      <c r="B40" s="822"/>
      <c r="C40" s="822" t="s">
        <v>1660</v>
      </c>
      <c r="D40" s="822"/>
      <c r="E40" s="822"/>
      <c r="F40" s="822"/>
      <c r="G40" s="819"/>
      <c r="H40" s="819"/>
      <c r="I40" s="819"/>
      <c r="J40" s="819"/>
    </row>
    <row r="41" spans="1:10" ht="12.75" hidden="1">
      <c r="A41" s="821" t="s">
        <v>430</v>
      </c>
      <c r="B41" s="822" t="s">
        <v>1370</v>
      </c>
      <c r="C41" s="822"/>
      <c r="D41" s="822"/>
      <c r="E41" s="822"/>
      <c r="F41" s="822"/>
      <c r="G41" s="819"/>
      <c r="H41" s="819"/>
      <c r="I41" s="819"/>
      <c r="J41" s="819"/>
    </row>
    <row r="42" spans="1:10" ht="13.5" hidden="1">
      <c r="A42" s="821" t="s">
        <v>997</v>
      </c>
      <c r="B42" s="822" t="s">
        <v>1372</v>
      </c>
      <c r="C42" s="828"/>
      <c r="D42" s="828"/>
      <c r="E42" s="822"/>
      <c r="F42" s="822"/>
      <c r="G42" s="819"/>
      <c r="H42" s="819"/>
      <c r="I42" s="819"/>
      <c r="J42" s="819"/>
    </row>
    <row r="43" spans="1:10" ht="12.75" hidden="1">
      <c r="A43" s="821" t="s">
        <v>998</v>
      </c>
      <c r="B43" s="822" t="s">
        <v>1373</v>
      </c>
      <c r="C43" s="822"/>
      <c r="D43" s="822"/>
      <c r="E43" s="822"/>
      <c r="F43" s="822"/>
      <c r="G43" s="819"/>
      <c r="H43" s="819"/>
      <c r="I43" s="819"/>
      <c r="J43" s="819"/>
    </row>
    <row r="44" spans="1:10" ht="12.75" hidden="1">
      <c r="A44" s="822" t="s">
        <v>1660</v>
      </c>
      <c r="B44" s="822"/>
      <c r="C44" s="822"/>
      <c r="D44" s="822"/>
      <c r="E44" s="822"/>
      <c r="F44" s="822"/>
      <c r="G44" s="819"/>
      <c r="H44" s="819"/>
      <c r="I44" s="819"/>
      <c r="J44" s="819"/>
    </row>
    <row r="45" spans="1:10" ht="12.75" hidden="1">
      <c r="A45" s="821"/>
      <c r="B45" s="822" t="s">
        <v>211</v>
      </c>
      <c r="C45" s="822"/>
      <c r="D45" s="822"/>
      <c r="E45" s="832"/>
      <c r="F45" s="822"/>
      <c r="G45" s="819"/>
      <c r="H45" s="819"/>
      <c r="I45" s="819"/>
      <c r="J45" s="819"/>
    </row>
    <row r="46" spans="1:11" ht="12.75">
      <c r="A46" s="833"/>
      <c r="B46" s="834" t="s">
        <v>1380</v>
      </c>
      <c r="C46" s="835"/>
      <c r="D46" s="835"/>
      <c r="E46" s="835"/>
      <c r="F46" s="835"/>
      <c r="G46" s="836"/>
      <c r="H46" s="836"/>
      <c r="I46" s="836"/>
      <c r="J46" s="837">
        <f>J15+J22+J30+J37</f>
        <v>58836.96000000001</v>
      </c>
      <c r="K46" s="1133"/>
    </row>
    <row r="47" spans="1:11" ht="12.75">
      <c r="A47" s="830"/>
      <c r="B47" s="830" t="s">
        <v>1381</v>
      </c>
      <c r="C47" s="830"/>
      <c r="D47" s="830"/>
      <c r="E47" s="830"/>
      <c r="F47" s="838"/>
      <c r="G47" s="838"/>
      <c r="H47" s="838"/>
      <c r="I47" s="838"/>
      <c r="J47" s="839">
        <f>J11+J12+J18+J19+J25+J26+J33+J35</f>
        <v>13628.160000000002</v>
      </c>
      <c r="K47" s="1133"/>
    </row>
    <row r="48" spans="1:11" ht="12.75">
      <c r="A48" s="830"/>
      <c r="B48" s="830" t="s">
        <v>1382</v>
      </c>
      <c r="C48" s="830"/>
      <c r="D48" s="830"/>
      <c r="E48" s="830"/>
      <c r="F48" s="838"/>
      <c r="G48" s="838"/>
      <c r="H48" s="838"/>
      <c r="I48" s="838"/>
      <c r="J48" s="839">
        <f>J46-J47</f>
        <v>45208.8</v>
      </c>
      <c r="K48" s="1133"/>
    </row>
    <row r="49" spans="1:10" ht="12.75">
      <c r="A49" s="830"/>
      <c r="B49" s="830" t="s">
        <v>1383</v>
      </c>
      <c r="C49" s="830"/>
      <c r="D49" s="830"/>
      <c r="E49" s="830"/>
      <c r="F49" s="838"/>
      <c r="G49" s="838"/>
      <c r="H49" s="838"/>
      <c r="I49" s="838"/>
      <c r="J49" s="830"/>
    </row>
    <row r="50" spans="1:10" ht="12.75">
      <c r="A50" s="830"/>
      <c r="B50" s="830" t="s">
        <v>1384</v>
      </c>
      <c r="C50" s="830"/>
      <c r="D50" s="830"/>
      <c r="E50" s="830"/>
      <c r="F50" s="838"/>
      <c r="G50" s="838"/>
      <c r="H50" s="838"/>
      <c r="I50" s="838"/>
      <c r="J50" s="830"/>
    </row>
    <row r="51" spans="6:9" ht="12.75">
      <c r="F51" s="840"/>
      <c r="G51" s="840"/>
      <c r="H51" s="840"/>
      <c r="I51" s="840"/>
    </row>
    <row r="52" spans="1:10" s="841" customFormat="1" ht="9.75">
      <c r="A52" s="2256"/>
      <c r="B52" s="2256"/>
      <c r="C52" s="2256"/>
      <c r="D52" s="2256"/>
      <c r="E52" s="2256"/>
      <c r="F52" s="2256"/>
      <c r="G52" s="2256"/>
      <c r="H52" s="2256"/>
      <c r="I52" s="2256"/>
      <c r="J52" s="2256"/>
    </row>
    <row r="53" spans="1:10" ht="12.75">
      <c r="A53" s="2256"/>
      <c r="B53" s="2256"/>
      <c r="C53" s="2256"/>
      <c r="D53" s="2256"/>
      <c r="E53" s="2256"/>
      <c r="F53" s="2256"/>
      <c r="G53" s="2256"/>
      <c r="H53" s="2256"/>
      <c r="I53" s="2256"/>
      <c r="J53" s="2256"/>
    </row>
    <row r="54" spans="2:7" ht="15">
      <c r="B54" s="842" t="s">
        <v>1362</v>
      </c>
      <c r="C54" s="842"/>
      <c r="D54" s="842" t="s">
        <v>1385</v>
      </c>
      <c r="E54" s="842"/>
      <c r="F54" s="842"/>
      <c r="G54" s="842"/>
    </row>
    <row r="57" spans="1:11" ht="14.25">
      <c r="A57" s="2257"/>
      <c r="B57" s="2258"/>
      <c r="C57" s="2258"/>
      <c r="D57" s="2258"/>
      <c r="E57" s="2258"/>
      <c r="F57" s="2258"/>
      <c r="G57" s="2258"/>
      <c r="H57" s="2258"/>
      <c r="I57" s="2258"/>
      <c r="J57" s="2258"/>
      <c r="K57" s="2258"/>
    </row>
  </sheetData>
  <sheetProtection/>
  <mergeCells count="9">
    <mergeCell ref="A52:J53"/>
    <mergeCell ref="A57:K57"/>
    <mergeCell ref="B31:J31"/>
    <mergeCell ref="B38:J38"/>
    <mergeCell ref="A4:J4"/>
    <mergeCell ref="B16:J16"/>
    <mergeCell ref="B23:J23"/>
    <mergeCell ref="A8:J8"/>
    <mergeCell ref="B9:J9"/>
  </mergeCells>
  <printOptions horizontalCentered="1"/>
  <pageMargins left="0.984251968503937" right="0.1968503937007874" top="0.2755905511811024" bottom="0.2362204724409449" header="0.31496062992125984" footer="0.31496062992125984"/>
  <pageSetup fitToHeight="3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9"/>
  <sheetViews>
    <sheetView zoomScaleSheetLayoutView="100" workbookViewId="0" topLeftCell="A30">
      <selection activeCell="V37" sqref="V37"/>
    </sheetView>
  </sheetViews>
  <sheetFormatPr defaultColWidth="9.140625" defaultRowHeight="15" outlineLevelRow="1"/>
  <cols>
    <col min="1" max="1" width="9.140625" style="1" customWidth="1"/>
    <col min="2" max="2" width="30.00390625" style="1" customWidth="1"/>
    <col min="3" max="3" width="10.8515625" style="1" customWidth="1"/>
    <col min="4" max="4" width="10.28125" style="1" customWidth="1"/>
    <col min="5" max="6" width="9.57421875" style="1" customWidth="1"/>
    <col min="7" max="7" width="10.28125" style="1" customWidth="1"/>
    <col min="8" max="8" width="9.421875" style="1" customWidth="1"/>
    <col min="9" max="9" width="9.57421875" style="1" customWidth="1"/>
    <col min="10" max="10" width="10.7109375" style="1" customWidth="1"/>
    <col min="11" max="11" width="10.8515625" style="1" customWidth="1"/>
    <col min="12" max="12" width="9.57421875" style="1" customWidth="1"/>
    <col min="13" max="13" width="10.28125" style="1" customWidth="1"/>
    <col min="14" max="14" width="9.57421875" style="1" customWidth="1"/>
    <col min="15" max="16384" width="9.140625" style="1" customWidth="1"/>
  </cols>
  <sheetData>
    <row r="1" spans="1:11" ht="15" customHeight="1">
      <c r="A1" s="52" t="s">
        <v>701</v>
      </c>
      <c r="B1" s="52"/>
      <c r="C1" s="52"/>
      <c r="D1" s="52"/>
      <c r="E1" s="52"/>
      <c r="K1" s="2" t="s">
        <v>311</v>
      </c>
    </row>
    <row r="2" spans="1:11" ht="14.25">
      <c r="A2" s="52" t="s">
        <v>408</v>
      </c>
      <c r="B2" s="52"/>
      <c r="C2" s="52"/>
      <c r="D2" s="52"/>
      <c r="E2" s="52"/>
      <c r="K2" s="514">
        <v>41903</v>
      </c>
    </row>
    <row r="4" spans="1:12" ht="16.5">
      <c r="A4" s="33" t="s">
        <v>73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18"/>
    </row>
    <row r="5" ht="13.5">
      <c r="A5" s="179" t="s">
        <v>312</v>
      </c>
    </row>
    <row r="6" spans="1:14" ht="12.75" customHeight="1" hidden="1">
      <c r="A6" s="2069" t="s">
        <v>1662</v>
      </c>
      <c r="B6" s="2270" t="s">
        <v>313</v>
      </c>
      <c r="C6" s="2144" t="s">
        <v>1659</v>
      </c>
      <c r="D6" s="2145"/>
      <c r="E6" s="2145"/>
      <c r="F6" s="2145"/>
      <c r="G6" s="2145"/>
      <c r="H6" s="2145"/>
      <c r="I6" s="2145"/>
      <c r="J6" s="2145"/>
      <c r="K6" s="2145"/>
      <c r="L6" s="2145"/>
      <c r="M6" s="2145"/>
      <c r="N6" s="2146"/>
    </row>
    <row r="7" spans="1:14" ht="12.75" customHeight="1" hidden="1">
      <c r="A7" s="2070"/>
      <c r="B7" s="2064"/>
      <c r="C7" s="2269" t="s">
        <v>944</v>
      </c>
      <c r="D7" s="2269"/>
      <c r="E7" s="2269"/>
      <c r="F7" s="2269" t="s">
        <v>1643</v>
      </c>
      <c r="G7" s="2269"/>
      <c r="H7" s="2269"/>
      <c r="I7" s="2269" t="s">
        <v>1226</v>
      </c>
      <c r="J7" s="2269"/>
      <c r="K7" s="2269"/>
      <c r="L7" s="2269" t="s">
        <v>1140</v>
      </c>
      <c r="M7" s="2269"/>
      <c r="N7" s="2269"/>
    </row>
    <row r="8" spans="1:14" s="596" customFormat="1" ht="12.75" customHeight="1" hidden="1">
      <c r="A8" s="2070"/>
      <c r="B8" s="2064"/>
      <c r="C8" s="2057"/>
      <c r="D8" s="2057"/>
      <c r="E8" s="2057"/>
      <c r="F8" s="2057"/>
      <c r="G8" s="2057"/>
      <c r="H8" s="2057"/>
      <c r="I8" s="2057"/>
      <c r="J8" s="2057"/>
      <c r="K8" s="2057"/>
      <c r="L8" s="2057"/>
      <c r="M8" s="2057"/>
      <c r="N8" s="2057"/>
    </row>
    <row r="9" spans="1:14" s="596" customFormat="1" ht="44.25" customHeight="1" hidden="1">
      <c r="A9" s="2070"/>
      <c r="B9" s="2064"/>
      <c r="C9" s="66" t="s">
        <v>315</v>
      </c>
      <c r="D9" s="698" t="s">
        <v>533</v>
      </c>
      <c r="E9" s="66" t="s">
        <v>534</v>
      </c>
      <c r="F9" s="66" t="s">
        <v>315</v>
      </c>
      <c r="G9" s="698" t="s">
        <v>533</v>
      </c>
      <c r="H9" s="66" t="s">
        <v>534</v>
      </c>
      <c r="I9" s="66" t="s">
        <v>315</v>
      </c>
      <c r="J9" s="698" t="s">
        <v>533</v>
      </c>
      <c r="K9" s="66" t="s">
        <v>534</v>
      </c>
      <c r="L9" s="66" t="s">
        <v>315</v>
      </c>
      <c r="M9" s="698" t="s">
        <v>533</v>
      </c>
      <c r="N9" s="66" t="s">
        <v>534</v>
      </c>
    </row>
    <row r="10" spans="1:14" s="596" customFormat="1" ht="15" hidden="1">
      <c r="A10" s="2072"/>
      <c r="B10" s="2065"/>
      <c r="C10" s="609" t="s">
        <v>1572</v>
      </c>
      <c r="D10" s="609" t="s">
        <v>1573</v>
      </c>
      <c r="E10" s="609" t="s">
        <v>1675</v>
      </c>
      <c r="F10" s="609" t="s">
        <v>1572</v>
      </c>
      <c r="G10" s="609" t="s">
        <v>1573</v>
      </c>
      <c r="H10" s="609" t="s">
        <v>1675</v>
      </c>
      <c r="I10" s="609" t="s">
        <v>1572</v>
      </c>
      <c r="J10" s="609" t="s">
        <v>1573</v>
      </c>
      <c r="K10" s="609" t="s">
        <v>1675</v>
      </c>
      <c r="L10" s="609" t="s">
        <v>1572</v>
      </c>
      <c r="M10" s="609" t="s">
        <v>1573</v>
      </c>
      <c r="N10" s="609" t="s">
        <v>1675</v>
      </c>
    </row>
    <row r="11" spans="1:14" s="596" customFormat="1" ht="12.75" hidden="1">
      <c r="A11" s="537">
        <v>1</v>
      </c>
      <c r="B11" s="610">
        <v>2</v>
      </c>
      <c r="C11" s="29">
        <v>3</v>
      </c>
      <c r="D11" s="29">
        <v>4</v>
      </c>
      <c r="E11" s="13">
        <v>5</v>
      </c>
      <c r="F11" s="29">
        <v>3</v>
      </c>
      <c r="G11" s="29">
        <v>4</v>
      </c>
      <c r="H11" s="13">
        <v>5</v>
      </c>
      <c r="I11" s="29">
        <v>9</v>
      </c>
      <c r="J11" s="29">
        <v>10</v>
      </c>
      <c r="K11" s="13">
        <v>11</v>
      </c>
      <c r="L11" s="29">
        <v>9</v>
      </c>
      <c r="M11" s="29">
        <v>10</v>
      </c>
      <c r="N11" s="13">
        <v>11</v>
      </c>
    </row>
    <row r="12" spans="1:14" ht="26.25" hidden="1">
      <c r="A12" s="86" t="s">
        <v>1671</v>
      </c>
      <c r="B12" s="26" t="s">
        <v>1574</v>
      </c>
      <c r="C12" s="611" t="e">
        <f>#REF!*1000</f>
        <v>#REF!</v>
      </c>
      <c r="D12" s="612">
        <v>0.04556</v>
      </c>
      <c r="E12" s="597" t="e">
        <f>C12*D12</f>
        <v>#REF!</v>
      </c>
      <c r="F12" s="611" t="e">
        <f>#REF!*1000</f>
        <v>#REF!</v>
      </c>
      <c r="G12" s="612">
        <v>0.04556</v>
      </c>
      <c r="H12" s="597" t="e">
        <f>F12*G12</f>
        <v>#REF!</v>
      </c>
      <c r="I12" s="611" t="e">
        <f>#REF!*1000</f>
        <v>#REF!</v>
      </c>
      <c r="J12" s="613">
        <f>J14</f>
        <v>0.04802</v>
      </c>
      <c r="K12" s="598" t="e">
        <f>I12*J12</f>
        <v>#REF!</v>
      </c>
      <c r="L12" s="611" t="e">
        <f>#REF!*1000</f>
        <v>#REF!</v>
      </c>
      <c r="M12" s="613">
        <f>M14</f>
        <v>0.04802</v>
      </c>
      <c r="N12" s="598" t="e">
        <f>L12*M12</f>
        <v>#REF!</v>
      </c>
    </row>
    <row r="13" spans="1:14" ht="26.25" hidden="1">
      <c r="A13" s="14" t="s">
        <v>1663</v>
      </c>
      <c r="B13" s="77" t="s">
        <v>70</v>
      </c>
      <c r="C13" s="614">
        <v>0</v>
      </c>
      <c r="D13" s="615"/>
      <c r="E13" s="598"/>
      <c r="F13" s="614">
        <v>0</v>
      </c>
      <c r="G13" s="615"/>
      <c r="H13" s="598"/>
      <c r="I13" s="614">
        <v>0</v>
      </c>
      <c r="J13" s="616"/>
      <c r="K13" s="598"/>
      <c r="L13" s="614">
        <v>0</v>
      </c>
      <c r="M13" s="616"/>
      <c r="N13" s="598"/>
    </row>
    <row r="14" spans="1:14" ht="26.25" hidden="1">
      <c r="A14" s="14" t="s">
        <v>424</v>
      </c>
      <c r="B14" s="77" t="s">
        <v>422</v>
      </c>
      <c r="C14" s="598" t="e">
        <f>C12-C15</f>
        <v>#REF!</v>
      </c>
      <c r="D14" s="617">
        <v>0.04556</v>
      </c>
      <c r="E14" s="597" t="e">
        <f>C14*D14</f>
        <v>#REF!</v>
      </c>
      <c r="F14" s="598" t="e">
        <f>F12-F15</f>
        <v>#REF!</v>
      </c>
      <c r="G14" s="617">
        <v>0.04556</v>
      </c>
      <c r="H14" s="598" t="e">
        <f>F14*G14</f>
        <v>#REF!</v>
      </c>
      <c r="I14" s="598" t="e">
        <f>I12-I15</f>
        <v>#REF!</v>
      </c>
      <c r="J14" s="618">
        <v>0.04802</v>
      </c>
      <c r="K14" s="598" t="e">
        <f>I14*J14</f>
        <v>#REF!</v>
      </c>
      <c r="L14" s="598" t="e">
        <f>L12-L15</f>
        <v>#REF!</v>
      </c>
      <c r="M14" s="618">
        <v>0.04802</v>
      </c>
      <c r="N14" s="598" t="e">
        <f>L14*M14</f>
        <v>#REF!</v>
      </c>
    </row>
    <row r="15" spans="1:14" ht="12.75" hidden="1">
      <c r="A15" s="14" t="s">
        <v>425</v>
      </c>
      <c r="B15" s="77" t="s">
        <v>1108</v>
      </c>
      <c r="C15" s="598" t="e">
        <f>#REF!*1000</f>
        <v>#REF!</v>
      </c>
      <c r="D15" s="617">
        <v>0.04556</v>
      </c>
      <c r="E15" s="597" t="e">
        <f>C15*D15</f>
        <v>#REF!</v>
      </c>
      <c r="F15" s="598" t="e">
        <f>#REF!*1000</f>
        <v>#REF!</v>
      </c>
      <c r="G15" s="617">
        <v>0.04556</v>
      </c>
      <c r="H15" s="598" t="e">
        <f>F15*G15</f>
        <v>#REF!</v>
      </c>
      <c r="I15" s="598" t="e">
        <f>#REF!*1000</f>
        <v>#REF!</v>
      </c>
      <c r="J15" s="618">
        <v>0.04802</v>
      </c>
      <c r="K15" s="598">
        <v>124</v>
      </c>
      <c r="L15" s="598" t="e">
        <f>#REF!*1000</f>
        <v>#REF!</v>
      </c>
      <c r="M15" s="618">
        <v>0.04802</v>
      </c>
      <c r="N15" s="598" t="e">
        <f>L15*M15</f>
        <v>#REF!</v>
      </c>
    </row>
    <row r="16" spans="1:14" ht="12.75" hidden="1">
      <c r="A16" s="14" t="s">
        <v>232</v>
      </c>
      <c r="B16" s="77" t="s">
        <v>71</v>
      </c>
      <c r="C16" s="699"/>
      <c r="D16" s="615"/>
      <c r="E16" s="598"/>
      <c r="F16" s="614"/>
      <c r="G16" s="615"/>
      <c r="H16" s="598"/>
      <c r="I16" s="614"/>
      <c r="J16" s="615"/>
      <c r="K16" s="598"/>
      <c r="L16" s="614"/>
      <c r="M16" s="615"/>
      <c r="N16" s="598"/>
    </row>
    <row r="17" spans="1:14" ht="18.75" customHeight="1" hidden="1">
      <c r="A17" s="86" t="s">
        <v>1664</v>
      </c>
      <c r="B17" s="26" t="s">
        <v>498</v>
      </c>
      <c r="C17" s="699"/>
      <c r="D17" s="615"/>
      <c r="E17" s="597"/>
      <c r="F17" s="614"/>
      <c r="G17" s="615"/>
      <c r="H17" s="597"/>
      <c r="I17" s="614"/>
      <c r="J17" s="615"/>
      <c r="K17" s="597"/>
      <c r="L17" s="614"/>
      <c r="M17" s="615"/>
      <c r="N17" s="597"/>
    </row>
    <row r="19" spans="1:14" ht="12.75">
      <c r="A19" s="2069" t="s">
        <v>1662</v>
      </c>
      <c r="B19" s="2073" t="s">
        <v>313</v>
      </c>
      <c r="C19" s="2144" t="s">
        <v>1659</v>
      </c>
      <c r="D19" s="2145"/>
      <c r="E19" s="2145"/>
      <c r="F19" s="2145"/>
      <c r="G19" s="2145"/>
      <c r="H19" s="2146"/>
      <c r="I19" s="1435"/>
      <c r="J19" s="1435"/>
      <c r="K19" s="1435"/>
      <c r="L19" s="1435"/>
      <c r="M19" s="1435"/>
      <c r="N19" s="1435"/>
    </row>
    <row r="20" spans="1:14" ht="18.75" customHeight="1">
      <c r="A20" s="2070"/>
      <c r="B20" s="2064"/>
      <c r="C20" s="2269" t="s">
        <v>16</v>
      </c>
      <c r="D20" s="2269"/>
      <c r="E20" s="2269"/>
      <c r="F20" s="2269" t="s">
        <v>17</v>
      </c>
      <c r="G20" s="2269"/>
      <c r="H20" s="2269"/>
      <c r="I20" s="2271"/>
      <c r="J20" s="2271"/>
      <c r="K20" s="2271"/>
      <c r="L20" s="2271"/>
      <c r="M20" s="2271"/>
      <c r="N20" s="2271"/>
    </row>
    <row r="21" spans="1:14" ht="12.75" customHeight="1">
      <c r="A21" s="2070"/>
      <c r="B21" s="2064"/>
      <c r="C21" s="2057"/>
      <c r="D21" s="2057"/>
      <c r="E21" s="2057"/>
      <c r="F21" s="2057"/>
      <c r="G21" s="2057"/>
      <c r="H21" s="2057"/>
      <c r="I21" s="2271"/>
      <c r="J21" s="2271"/>
      <c r="K21" s="2271"/>
      <c r="L21" s="2271"/>
      <c r="M21" s="2271"/>
      <c r="N21" s="2271"/>
    </row>
    <row r="22" spans="1:14" ht="52.5">
      <c r="A22" s="2070"/>
      <c r="B22" s="2064"/>
      <c r="C22" s="66" t="s">
        <v>315</v>
      </c>
      <c r="D22" s="698" t="s">
        <v>533</v>
      </c>
      <c r="E22" s="66" t="s">
        <v>534</v>
      </c>
      <c r="F22" s="66" t="s">
        <v>315</v>
      </c>
      <c r="G22" s="698" t="s">
        <v>533</v>
      </c>
      <c r="H22" s="66" t="s">
        <v>534</v>
      </c>
      <c r="I22" s="1436"/>
      <c r="J22" s="1437"/>
      <c r="K22" s="1436"/>
      <c r="L22" s="1436"/>
      <c r="M22" s="1437"/>
      <c r="N22" s="1436"/>
    </row>
    <row r="23" spans="1:14" ht="15">
      <c r="A23" s="2072"/>
      <c r="B23" s="2065"/>
      <c r="C23" s="609" t="s">
        <v>1572</v>
      </c>
      <c r="D23" s="609" t="s">
        <v>1573</v>
      </c>
      <c r="E23" s="609" t="s">
        <v>1675</v>
      </c>
      <c r="F23" s="609" t="s">
        <v>1572</v>
      </c>
      <c r="G23" s="609" t="s">
        <v>1573</v>
      </c>
      <c r="H23" s="609" t="s">
        <v>1675</v>
      </c>
      <c r="I23" s="1438"/>
      <c r="J23" s="1438"/>
      <c r="K23" s="1438"/>
      <c r="L23" s="1438"/>
      <c r="M23" s="1438"/>
      <c r="N23" s="1438"/>
    </row>
    <row r="24" spans="1:14" ht="12.75">
      <c r="A24" s="537">
        <v>1</v>
      </c>
      <c r="B24" s="610">
        <v>2</v>
      </c>
      <c r="C24" s="29">
        <v>3</v>
      </c>
      <c r="D24" s="29">
        <v>4</v>
      </c>
      <c r="E24" s="13">
        <v>5</v>
      </c>
      <c r="F24" s="29">
        <v>3</v>
      </c>
      <c r="G24" s="29">
        <v>4</v>
      </c>
      <c r="H24" s="13">
        <v>5</v>
      </c>
      <c r="I24" s="1439"/>
      <c r="J24" s="1439"/>
      <c r="K24" s="1440"/>
      <c r="L24" s="1439"/>
      <c r="M24" s="1439"/>
      <c r="N24" s="1440"/>
    </row>
    <row r="25" spans="1:14" ht="26.25">
      <c r="A25" s="86" t="s">
        <v>1671</v>
      </c>
      <c r="B25" s="26" t="s">
        <v>1574</v>
      </c>
      <c r="C25" s="611">
        <f>C27+C28+C29</f>
        <v>4025.8</v>
      </c>
      <c r="D25" s="612">
        <v>0.05366</v>
      </c>
      <c r="E25" s="597">
        <f>SUM(E26:E29)</f>
        <v>216.258</v>
      </c>
      <c r="F25" s="611">
        <f>F27+F28+F29</f>
        <v>2123.85</v>
      </c>
      <c r="G25" s="612">
        <v>0.05366</v>
      </c>
      <c r="H25" s="597">
        <f>F25*G25</f>
        <v>113.965791</v>
      </c>
      <c r="I25" s="1441"/>
      <c r="J25" s="1442"/>
      <c r="K25" s="1443"/>
      <c r="L25" s="1441"/>
      <c r="M25" s="1442"/>
      <c r="N25" s="1443"/>
    </row>
    <row r="26" spans="1:14" ht="12.75">
      <c r="A26" s="14" t="s">
        <v>1663</v>
      </c>
      <c r="B26" s="1449" t="s">
        <v>70</v>
      </c>
      <c r="C26" s="614"/>
      <c r="D26" s="615"/>
      <c r="E26" s="598"/>
      <c r="F26" s="614"/>
      <c r="G26" s="615"/>
      <c r="H26" s="598"/>
      <c r="I26" s="1444"/>
      <c r="J26" s="1445"/>
      <c r="K26" s="1443"/>
      <c r="L26" s="1444"/>
      <c r="M26" s="1445"/>
      <c r="N26" s="1443"/>
    </row>
    <row r="27" spans="1:14" ht="12.75">
      <c r="A27" s="14" t="s">
        <v>424</v>
      </c>
      <c r="B27" s="1449" t="s">
        <v>411</v>
      </c>
      <c r="C27" s="598">
        <v>4.8</v>
      </c>
      <c r="D27" s="617">
        <v>0.05381</v>
      </c>
      <c r="E27" s="18">
        <v>0.258</v>
      </c>
      <c r="F27" s="598">
        <v>4.8</v>
      </c>
      <c r="G27" s="617">
        <v>0.05381</v>
      </c>
      <c r="H27" s="18">
        <f>F27*G27</f>
        <v>0.25828799999999996</v>
      </c>
      <c r="I27" s="1443"/>
      <c r="J27" s="1446"/>
      <c r="K27" s="1443"/>
      <c r="L27" s="1443"/>
      <c r="M27" s="1446"/>
      <c r="N27" s="1443"/>
    </row>
    <row r="28" spans="1:14" ht="36">
      <c r="A28" s="14" t="s">
        <v>425</v>
      </c>
      <c r="B28" s="1449" t="s">
        <v>409</v>
      </c>
      <c r="C28" s="598">
        <v>2414</v>
      </c>
      <c r="D28" s="617">
        <v>0.05345</v>
      </c>
      <c r="E28" s="598">
        <v>129</v>
      </c>
      <c r="F28" s="598">
        <v>1206.81</v>
      </c>
      <c r="G28" s="617">
        <v>0.05345</v>
      </c>
      <c r="H28" s="598">
        <f>F28*G28</f>
        <v>64.50399449999999</v>
      </c>
      <c r="I28" s="1443"/>
      <c r="J28" s="1446"/>
      <c r="K28" s="1443"/>
      <c r="L28" s="1443"/>
      <c r="M28" s="1446"/>
      <c r="N28" s="1443"/>
    </row>
    <row r="29" spans="1:14" ht="36">
      <c r="A29" s="14" t="s">
        <v>232</v>
      </c>
      <c r="B29" s="1449" t="s">
        <v>410</v>
      </c>
      <c r="C29" s="614">
        <v>1607</v>
      </c>
      <c r="D29" s="615">
        <v>0.05413</v>
      </c>
      <c r="E29" s="598">
        <v>87</v>
      </c>
      <c r="F29" s="614">
        <v>912.24</v>
      </c>
      <c r="G29" s="615">
        <v>0.05413</v>
      </c>
      <c r="H29" s="598">
        <f>F29*G29</f>
        <v>49.3795512</v>
      </c>
      <c r="I29" s="1444"/>
      <c r="J29" s="1447"/>
      <c r="K29" s="1443"/>
      <c r="L29" s="1444"/>
      <c r="M29" s="1447"/>
      <c r="N29" s="1443"/>
    </row>
    <row r="30" spans="1:14" ht="12.75">
      <c r="A30" s="86" t="s">
        <v>1664</v>
      </c>
      <c r="B30" s="26" t="s">
        <v>498</v>
      </c>
      <c r="C30" s="699"/>
      <c r="D30" s="615"/>
      <c r="E30" s="597"/>
      <c r="F30" s="614"/>
      <c r="G30" s="615"/>
      <c r="H30" s="597"/>
      <c r="I30" s="1444"/>
      <c r="J30" s="1447"/>
      <c r="K30" s="1448"/>
      <c r="L30" s="1444"/>
      <c r="M30" s="1447"/>
      <c r="N30" s="1448"/>
    </row>
    <row r="32" spans="1:11" ht="12.75" outlineLevel="1">
      <c r="A32" s="2057" t="s">
        <v>1662</v>
      </c>
      <c r="B32" s="2263" t="s">
        <v>313</v>
      </c>
      <c r="C32" s="2268" t="s">
        <v>1661</v>
      </c>
      <c r="D32" s="2268"/>
      <c r="E32" s="2268"/>
      <c r="F32" s="2268"/>
      <c r="G32" s="2268"/>
      <c r="H32" s="2268"/>
      <c r="I32" s="2268"/>
      <c r="J32" s="2268"/>
      <c r="K32" s="2268"/>
    </row>
    <row r="33" spans="1:11" ht="18" customHeight="1" outlineLevel="1">
      <c r="A33" s="2057"/>
      <c r="B33" s="2263"/>
      <c r="C33" s="2267" t="s">
        <v>1143</v>
      </c>
      <c r="D33" s="2267"/>
      <c r="E33" s="2267"/>
      <c r="F33" s="2267"/>
      <c r="G33" s="2267"/>
      <c r="H33" s="2267"/>
      <c r="I33" s="2267"/>
      <c r="J33" s="2267"/>
      <c r="K33" s="2267"/>
    </row>
    <row r="34" spans="1:11" ht="12.75" customHeight="1" outlineLevel="1">
      <c r="A34" s="2057"/>
      <c r="B34" s="2263"/>
      <c r="C34" s="2263" t="s">
        <v>421</v>
      </c>
      <c r="D34" s="2263"/>
      <c r="E34" s="2263"/>
      <c r="F34" s="2263" t="s">
        <v>271</v>
      </c>
      <c r="G34" s="2263"/>
      <c r="H34" s="2263"/>
      <c r="I34" s="2263" t="s">
        <v>272</v>
      </c>
      <c r="J34" s="2263"/>
      <c r="K34" s="2263"/>
    </row>
    <row r="35" spans="1:11" ht="52.5" outlineLevel="1">
      <c r="A35" s="2057"/>
      <c r="B35" s="2263"/>
      <c r="C35" s="66" t="s">
        <v>315</v>
      </c>
      <c r="D35" s="698" t="s">
        <v>533</v>
      </c>
      <c r="E35" s="66" t="s">
        <v>534</v>
      </c>
      <c r="F35" s="66" t="s">
        <v>315</v>
      </c>
      <c r="G35" s="698" t="s">
        <v>533</v>
      </c>
      <c r="H35" s="66" t="s">
        <v>534</v>
      </c>
      <c r="I35" s="66" t="s">
        <v>315</v>
      </c>
      <c r="J35" s="698" t="s">
        <v>533</v>
      </c>
      <c r="K35" s="66" t="s">
        <v>534</v>
      </c>
    </row>
    <row r="36" spans="1:11" ht="15" outlineLevel="1">
      <c r="A36" s="2262"/>
      <c r="B36" s="2263"/>
      <c r="C36" s="619" t="s">
        <v>1572</v>
      </c>
      <c r="D36" s="619" t="s">
        <v>1573</v>
      </c>
      <c r="E36" s="619" t="s">
        <v>1675</v>
      </c>
      <c r="F36" s="619" t="s">
        <v>1572</v>
      </c>
      <c r="G36" s="619" t="s">
        <v>1573</v>
      </c>
      <c r="H36" s="619" t="s">
        <v>1675</v>
      </c>
      <c r="I36" s="619" t="s">
        <v>1572</v>
      </c>
      <c r="J36" s="619" t="s">
        <v>1573</v>
      </c>
      <c r="K36" s="619" t="s">
        <v>1675</v>
      </c>
    </row>
    <row r="37" spans="1:11" ht="12.75" outlineLevel="1">
      <c r="A37" s="29">
        <v>1</v>
      </c>
      <c r="B37" s="119">
        <v>2</v>
      </c>
      <c r="C37" s="620">
        <v>12</v>
      </c>
      <c r="D37" s="620">
        <v>13</v>
      </c>
      <c r="E37" s="119">
        <v>14</v>
      </c>
      <c r="F37" s="620">
        <v>15</v>
      </c>
      <c r="G37" s="620">
        <v>16</v>
      </c>
      <c r="H37" s="119">
        <v>17</v>
      </c>
      <c r="I37" s="620">
        <v>18</v>
      </c>
      <c r="J37" s="620">
        <v>19</v>
      </c>
      <c r="K37" s="119">
        <v>20</v>
      </c>
    </row>
    <row r="38" spans="1:11" ht="26.25" outlineLevel="1">
      <c r="A38" s="86" t="s">
        <v>1671</v>
      </c>
      <c r="B38" s="621" t="s">
        <v>1574</v>
      </c>
      <c r="C38" s="622">
        <f>I38+F38</f>
        <v>2123.85</v>
      </c>
      <c r="D38" s="613">
        <f>E38/C38</f>
        <v>0.0574085383515785</v>
      </c>
      <c r="E38" s="605">
        <f>H38+K38</f>
        <v>121.92712417799999</v>
      </c>
      <c r="F38" s="622">
        <f>F40+F41+F42</f>
        <v>1196.215</v>
      </c>
      <c r="G38" s="613">
        <f>H38/F38</f>
        <v>0.0558</v>
      </c>
      <c r="H38" s="605">
        <f>H40+H41+H42</f>
        <v>66.748797</v>
      </c>
      <c r="I38" s="622">
        <f>I40+I41+I42</f>
        <v>927.635</v>
      </c>
      <c r="J38" s="613">
        <f>K38/I38</f>
        <v>0.059482799999999995</v>
      </c>
      <c r="K38" s="605">
        <f>K40+K41+K42</f>
        <v>55.178327177999996</v>
      </c>
    </row>
    <row r="39" spans="1:11" ht="12.75" outlineLevel="1">
      <c r="A39" s="14" t="s">
        <v>1663</v>
      </c>
      <c r="B39" s="1449" t="s">
        <v>70</v>
      </c>
      <c r="C39" s="624"/>
      <c r="D39" s="616"/>
      <c r="E39" s="607"/>
      <c r="F39" s="624"/>
      <c r="G39" s="616"/>
      <c r="H39" s="607"/>
      <c r="I39" s="624"/>
      <c r="J39" s="616"/>
      <c r="K39" s="607"/>
    </row>
    <row r="40" spans="1:12" ht="12.75" outlineLevel="1">
      <c r="A40" s="14" t="s">
        <v>424</v>
      </c>
      <c r="B40" s="1449" t="s">
        <v>411</v>
      </c>
      <c r="C40" s="624">
        <f>('4.2'!S22+'4.2'!S24)*1000</f>
        <v>4.8</v>
      </c>
      <c r="D40" s="618">
        <f>E40/C40</f>
        <v>0.05748795</v>
      </c>
      <c r="E40" s="91">
        <f>H40+K40</f>
        <v>0.27594216</v>
      </c>
      <c r="F40" s="624">
        <f>('4.2'!V22+'4.2'!V24)*1000</f>
        <v>2.6</v>
      </c>
      <c r="G40" s="618">
        <v>0.0558</v>
      </c>
      <c r="H40" s="91">
        <f>F40*G40</f>
        <v>0.14508000000000001</v>
      </c>
      <c r="I40" s="607">
        <f>C40-F40</f>
        <v>2.1999999999999997</v>
      </c>
      <c r="J40" s="618">
        <f>G40*1.066</f>
        <v>0.0594828</v>
      </c>
      <c r="K40" s="91">
        <f>I40*J40</f>
        <v>0.13086215999999998</v>
      </c>
      <c r="L40" s="549"/>
    </row>
    <row r="41" spans="1:11" ht="36" outlineLevel="1">
      <c r="A41" s="14" t="s">
        <v>425</v>
      </c>
      <c r="B41" s="1449" t="s">
        <v>869</v>
      </c>
      <c r="C41" s="624">
        <f>F41+I41</f>
        <v>1206.81</v>
      </c>
      <c r="D41" s="618">
        <f>E41/C41</f>
        <v>0.0572322</v>
      </c>
      <c r="E41" s="607">
        <f>H41+K41</f>
        <v>69.068391282</v>
      </c>
      <c r="F41" s="607">
        <f>'перечень строений'!I8</f>
        <v>737.4949999999999</v>
      </c>
      <c r="G41" s="618">
        <v>0.0558</v>
      </c>
      <c r="H41" s="607">
        <f>F41*G41</f>
        <v>41.152221</v>
      </c>
      <c r="I41" s="607">
        <f>'перечень строений'!J8</f>
        <v>469.31499999999994</v>
      </c>
      <c r="J41" s="618">
        <f>G41*1.066</f>
        <v>0.0594828</v>
      </c>
      <c r="K41" s="607">
        <f>I41*J41</f>
        <v>27.916170281999996</v>
      </c>
    </row>
    <row r="42" spans="1:11" ht="36" outlineLevel="1">
      <c r="A42" s="14" t="s">
        <v>232</v>
      </c>
      <c r="B42" s="1449" t="s">
        <v>870</v>
      </c>
      <c r="C42" s="625">
        <f>F42+I42</f>
        <v>912.24</v>
      </c>
      <c r="D42" s="618">
        <f>E42/C42</f>
        <v>0.05764140000000001</v>
      </c>
      <c r="E42" s="607">
        <f>H42+K42</f>
        <v>52.58279073600001</v>
      </c>
      <c r="F42" s="625">
        <f>'перечень строений'!I12</f>
        <v>456.12</v>
      </c>
      <c r="G42" s="1451">
        <v>0.0558</v>
      </c>
      <c r="H42" s="607">
        <f>F42*G42</f>
        <v>25.451496000000002</v>
      </c>
      <c r="I42" s="625">
        <f>'перечень строений'!J12</f>
        <v>456.12</v>
      </c>
      <c r="J42" s="618">
        <f>G42*1.066</f>
        <v>0.0594828</v>
      </c>
      <c r="K42" s="607">
        <f>I42*J42</f>
        <v>27.131294736</v>
      </c>
    </row>
    <row r="43" spans="1:11" ht="12.75" outlineLevel="1">
      <c r="A43" s="86" t="s">
        <v>1664</v>
      </c>
      <c r="B43" s="621" t="s">
        <v>498</v>
      </c>
      <c r="C43" s="625">
        <f>F43+I43</f>
        <v>0</v>
      </c>
      <c r="D43" s="618"/>
      <c r="E43" s="607">
        <f>H43+K43</f>
        <v>0</v>
      </c>
      <c r="F43" s="625"/>
      <c r="G43" s="626"/>
      <c r="H43" s="607">
        <f>F43*G43</f>
        <v>0</v>
      </c>
      <c r="I43" s="625"/>
      <c r="J43" s="626"/>
      <c r="K43" s="607">
        <f>I43*J43</f>
        <v>0</v>
      </c>
    </row>
    <row r="44" spans="1:11" ht="12.75">
      <c r="A44" s="2057" t="s">
        <v>1662</v>
      </c>
      <c r="B44" s="2263" t="s">
        <v>313</v>
      </c>
      <c r="C44" s="2268"/>
      <c r="D44" s="2268"/>
      <c r="E44" s="2268"/>
      <c r="F44" s="2268"/>
      <c r="G44" s="2268"/>
      <c r="H44" s="2268"/>
      <c r="I44" s="2268"/>
      <c r="J44" s="2268"/>
      <c r="K44" s="2268"/>
    </row>
    <row r="45" spans="1:11" ht="13.5">
      <c r="A45" s="2057"/>
      <c r="B45" s="2263"/>
      <c r="C45" s="2267" t="s">
        <v>1148</v>
      </c>
      <c r="D45" s="2267"/>
      <c r="E45" s="2267"/>
      <c r="F45" s="2267"/>
      <c r="G45" s="2267"/>
      <c r="H45" s="2267"/>
      <c r="I45" s="2267"/>
      <c r="J45" s="2267"/>
      <c r="K45" s="2267"/>
    </row>
    <row r="46" spans="1:11" ht="12.75">
      <c r="A46" s="2057"/>
      <c r="B46" s="2263"/>
      <c r="C46" s="2263" t="s">
        <v>421</v>
      </c>
      <c r="D46" s="2263"/>
      <c r="E46" s="2263"/>
      <c r="F46" s="2263" t="s">
        <v>271</v>
      </c>
      <c r="G46" s="2263"/>
      <c r="H46" s="2263"/>
      <c r="I46" s="2263" t="s">
        <v>272</v>
      </c>
      <c r="J46" s="2263"/>
      <c r="K46" s="2263"/>
    </row>
    <row r="47" spans="1:11" ht="52.5">
      <c r="A47" s="2057"/>
      <c r="B47" s="2263"/>
      <c r="C47" s="66" t="s">
        <v>315</v>
      </c>
      <c r="D47" s="698" t="s">
        <v>533</v>
      </c>
      <c r="E47" s="66" t="s">
        <v>534</v>
      </c>
      <c r="F47" s="66" t="s">
        <v>315</v>
      </c>
      <c r="G47" s="698" t="s">
        <v>533</v>
      </c>
      <c r="H47" s="66" t="s">
        <v>534</v>
      </c>
      <c r="I47" s="66" t="s">
        <v>315</v>
      </c>
      <c r="J47" s="698" t="s">
        <v>533</v>
      </c>
      <c r="K47" s="66" t="s">
        <v>534</v>
      </c>
    </row>
    <row r="48" spans="1:11" ht="15">
      <c r="A48" s="2262"/>
      <c r="B48" s="2263"/>
      <c r="C48" s="619" t="s">
        <v>1572</v>
      </c>
      <c r="D48" s="619" t="s">
        <v>1573</v>
      </c>
      <c r="E48" s="619" t="s">
        <v>1675</v>
      </c>
      <c r="F48" s="619" t="s">
        <v>1572</v>
      </c>
      <c r="G48" s="619" t="s">
        <v>1573</v>
      </c>
      <c r="H48" s="619" t="s">
        <v>1675</v>
      </c>
      <c r="I48" s="619" t="s">
        <v>1572</v>
      </c>
      <c r="J48" s="619" t="s">
        <v>1573</v>
      </c>
      <c r="K48" s="619" t="s">
        <v>1675</v>
      </c>
    </row>
    <row r="49" spans="1:11" ht="12.75">
      <c r="A49" s="29">
        <v>1</v>
      </c>
      <c r="B49" s="119">
        <v>2</v>
      </c>
      <c r="C49" s="620">
        <v>12</v>
      </c>
      <c r="D49" s="620">
        <v>13</v>
      </c>
      <c r="E49" s="119">
        <v>14</v>
      </c>
      <c r="F49" s="620">
        <v>15</v>
      </c>
      <c r="G49" s="620">
        <v>16</v>
      </c>
      <c r="H49" s="119">
        <v>17</v>
      </c>
      <c r="I49" s="620">
        <v>18</v>
      </c>
      <c r="J49" s="620">
        <v>19</v>
      </c>
      <c r="K49" s="119">
        <v>20</v>
      </c>
    </row>
    <row r="50" spans="1:11" ht="26.25">
      <c r="A50" s="86" t="s">
        <v>1671</v>
      </c>
      <c r="B50" s="621" t="s">
        <v>1574</v>
      </c>
      <c r="C50" s="622">
        <f aca="true" t="shared" si="0" ref="C50:C55">F50+I50</f>
        <v>2124.0499999999997</v>
      </c>
      <c r="D50" s="613">
        <f>E50/C50</f>
        <v>0.06122305342323286</v>
      </c>
      <c r="E50" s="605">
        <f>E52+E53+E54</f>
        <v>130.04082662361773</v>
      </c>
      <c r="F50" s="622">
        <f>F52+F53+F54</f>
        <v>1196.556176470588</v>
      </c>
      <c r="G50" s="613">
        <f>G52</f>
        <v>0.059482799999999995</v>
      </c>
      <c r="H50" s="605">
        <f>H52+H53+H54</f>
        <v>71.17451173376469</v>
      </c>
      <c r="I50" s="622">
        <f>I52+I53+I54</f>
        <v>927.4938235294117</v>
      </c>
      <c r="J50" s="613">
        <f>K50/I50</f>
        <v>0.06346814760000001</v>
      </c>
      <c r="K50" s="605">
        <f>K52+K53+K54</f>
        <v>58.86631488985306</v>
      </c>
    </row>
    <row r="51" spans="1:11" ht="12.75">
      <c r="A51" s="14" t="s">
        <v>1663</v>
      </c>
      <c r="B51" s="1449" t="s">
        <v>70</v>
      </c>
      <c r="C51" s="624"/>
      <c r="D51" s="616"/>
      <c r="E51" s="607"/>
      <c r="F51" s="624"/>
      <c r="G51" s="616"/>
      <c r="H51" s="607"/>
      <c r="I51" s="624"/>
      <c r="J51" s="616"/>
      <c r="K51" s="607"/>
    </row>
    <row r="52" spans="1:11" ht="12.75">
      <c r="A52" s="14" t="s">
        <v>424</v>
      </c>
      <c r="B52" s="1449" t="s">
        <v>411</v>
      </c>
      <c r="C52" s="624">
        <f>('4.2'!AB22+'4.2'!AB24)*1000</f>
        <v>5</v>
      </c>
      <c r="D52" s="618">
        <f>E52/C52</f>
        <v>0.061123825482352935</v>
      </c>
      <c r="E52" s="91">
        <f>H52+K52</f>
        <v>0.30561912741176467</v>
      </c>
      <c r="F52" s="624">
        <f>('4.2'!AE22+'4.2'!AE24)*1000</f>
        <v>2.941176470588235</v>
      </c>
      <c r="G52" s="618">
        <f>J38</f>
        <v>0.059482799999999995</v>
      </c>
      <c r="H52" s="91">
        <f>F52*G52</f>
        <v>0.17494941176470585</v>
      </c>
      <c r="I52" s="607">
        <f>C52-F52</f>
        <v>2.058823529411765</v>
      </c>
      <c r="J52" s="618">
        <f>G52*1.067</f>
        <v>0.0634681476</v>
      </c>
      <c r="K52" s="91">
        <f>I52*J52</f>
        <v>0.13066971564705884</v>
      </c>
    </row>
    <row r="53" spans="1:11" ht="36">
      <c r="A53" s="14" t="s">
        <v>425</v>
      </c>
      <c r="B53" s="1449" t="s">
        <v>868</v>
      </c>
      <c r="C53" s="624">
        <f t="shared" si="0"/>
        <v>1206.81</v>
      </c>
      <c r="D53" s="618">
        <f>E53/C53</f>
        <v>0.06103265739999999</v>
      </c>
      <c r="E53" s="607">
        <f>H53+K53</f>
        <v>73.65482127689398</v>
      </c>
      <c r="F53" s="607">
        <f>'4.2'!AE26*1000</f>
        <v>737.4949999999999</v>
      </c>
      <c r="G53" s="618">
        <f>G52</f>
        <v>0.059482799999999995</v>
      </c>
      <c r="H53" s="607">
        <f>F53*G53</f>
        <v>43.86826758599999</v>
      </c>
      <c r="I53" s="607">
        <f>'4.2'!AH26*1000</f>
        <v>469.31499999999994</v>
      </c>
      <c r="J53" s="618">
        <f>G53*1.067</f>
        <v>0.0634681476</v>
      </c>
      <c r="K53" s="607">
        <f>I53*J53</f>
        <v>29.786553690893996</v>
      </c>
    </row>
    <row r="54" spans="1:11" ht="36">
      <c r="A54" s="14" t="s">
        <v>232</v>
      </c>
      <c r="B54" s="1449" t="s">
        <v>870</v>
      </c>
      <c r="C54" s="625">
        <f t="shared" si="0"/>
        <v>912.24</v>
      </c>
      <c r="D54" s="618">
        <f>E54/C54</f>
        <v>0.06147547379999999</v>
      </c>
      <c r="E54" s="607">
        <f>H54+K54</f>
        <v>56.080386219312</v>
      </c>
      <c r="F54" s="625">
        <f>'перечень строений'!I12</f>
        <v>456.12</v>
      </c>
      <c r="G54" s="1451">
        <f>G52</f>
        <v>0.059482799999999995</v>
      </c>
      <c r="H54" s="607">
        <f>F54*G54</f>
        <v>27.131294735999997</v>
      </c>
      <c r="I54" s="625">
        <f>'перечень строений'!J12</f>
        <v>456.12</v>
      </c>
      <c r="J54" s="618">
        <f>G54*1.067</f>
        <v>0.0634681476</v>
      </c>
      <c r="K54" s="607">
        <f>I54*J54</f>
        <v>28.949091483312</v>
      </c>
    </row>
    <row r="55" spans="1:11" ht="12.75">
      <c r="A55" s="86" t="s">
        <v>1664</v>
      </c>
      <c r="B55" s="621" t="s">
        <v>498</v>
      </c>
      <c r="C55" s="625">
        <f t="shared" si="0"/>
        <v>0</v>
      </c>
      <c r="D55" s="618"/>
      <c r="E55" s="607">
        <f>H55+K55</f>
        <v>0</v>
      </c>
      <c r="F55" s="625"/>
      <c r="G55" s="626"/>
      <c r="H55" s="607">
        <f>F55*G55</f>
        <v>0</v>
      </c>
      <c r="I55" s="625"/>
      <c r="J55" s="626"/>
      <c r="K55" s="607">
        <f>I55*J55</f>
        <v>0</v>
      </c>
    </row>
    <row r="56" spans="1:11" ht="12.75">
      <c r="A56" s="2057" t="s">
        <v>1662</v>
      </c>
      <c r="B56" s="2263" t="s">
        <v>313</v>
      </c>
      <c r="C56" s="2264"/>
      <c r="D56" s="2265"/>
      <c r="E56" s="2265"/>
      <c r="F56" s="2265"/>
      <c r="G56" s="2265"/>
      <c r="H56" s="2265"/>
      <c r="I56" s="2265"/>
      <c r="J56" s="2265"/>
      <c r="K56" s="2266"/>
    </row>
    <row r="57" spans="1:11" ht="13.5">
      <c r="A57" s="2057"/>
      <c r="B57" s="2263"/>
      <c r="C57" s="2267" t="s">
        <v>18</v>
      </c>
      <c r="D57" s="2267"/>
      <c r="E57" s="2267"/>
      <c r="F57" s="2267"/>
      <c r="G57" s="2267"/>
      <c r="H57" s="2267"/>
      <c r="I57" s="2267"/>
      <c r="J57" s="2267"/>
      <c r="K57" s="2267"/>
    </row>
    <row r="58" spans="1:11" ht="12.75">
      <c r="A58" s="2057"/>
      <c r="B58" s="2263"/>
      <c r="C58" s="2263" t="s">
        <v>421</v>
      </c>
      <c r="D58" s="2263"/>
      <c r="E58" s="2263"/>
      <c r="F58" s="2263" t="s">
        <v>271</v>
      </c>
      <c r="G58" s="2263"/>
      <c r="H58" s="2263"/>
      <c r="I58" s="2263" t="s">
        <v>272</v>
      </c>
      <c r="J58" s="2263"/>
      <c r="K58" s="2263"/>
    </row>
    <row r="59" spans="1:11" ht="52.5">
      <c r="A59" s="2057"/>
      <c r="B59" s="2263"/>
      <c r="C59" s="66" t="s">
        <v>315</v>
      </c>
      <c r="D59" s="698" t="s">
        <v>533</v>
      </c>
      <c r="E59" s="66" t="s">
        <v>534</v>
      </c>
      <c r="F59" s="66" t="s">
        <v>315</v>
      </c>
      <c r="G59" s="698" t="s">
        <v>533</v>
      </c>
      <c r="H59" s="66" t="s">
        <v>534</v>
      </c>
      <c r="I59" s="66" t="s">
        <v>315</v>
      </c>
      <c r="J59" s="698" t="s">
        <v>533</v>
      </c>
      <c r="K59" s="66" t="s">
        <v>534</v>
      </c>
    </row>
    <row r="60" spans="1:11" ht="15">
      <c r="A60" s="2262"/>
      <c r="B60" s="2263"/>
      <c r="C60" s="619" t="s">
        <v>1572</v>
      </c>
      <c r="D60" s="619" t="s">
        <v>1573</v>
      </c>
      <c r="E60" s="619" t="s">
        <v>1675</v>
      </c>
      <c r="F60" s="619" t="s">
        <v>1572</v>
      </c>
      <c r="G60" s="619" t="s">
        <v>1573</v>
      </c>
      <c r="H60" s="619" t="s">
        <v>1675</v>
      </c>
      <c r="I60" s="619" t="s">
        <v>1572</v>
      </c>
      <c r="J60" s="619" t="s">
        <v>1573</v>
      </c>
      <c r="K60" s="619" t="s">
        <v>1675</v>
      </c>
    </row>
    <row r="61" spans="1:11" ht="12.75">
      <c r="A61" s="29">
        <v>1</v>
      </c>
      <c r="B61" s="119">
        <v>2</v>
      </c>
      <c r="C61" s="620">
        <v>12</v>
      </c>
      <c r="D61" s="620">
        <v>13</v>
      </c>
      <c r="E61" s="119">
        <v>14</v>
      </c>
      <c r="F61" s="620">
        <v>15</v>
      </c>
      <c r="G61" s="620">
        <v>16</v>
      </c>
      <c r="H61" s="119">
        <v>17</v>
      </c>
      <c r="I61" s="620">
        <v>18</v>
      </c>
      <c r="J61" s="620">
        <v>19</v>
      </c>
      <c r="K61" s="119">
        <v>20</v>
      </c>
    </row>
    <row r="62" spans="1:11" ht="26.25">
      <c r="A62" s="86" t="s">
        <v>1671</v>
      </c>
      <c r="B62" s="621" t="s">
        <v>1574</v>
      </c>
      <c r="C62" s="622">
        <f aca="true" t="shared" si="1" ref="C62:C67">F62+I62</f>
        <v>2124.0499999999997</v>
      </c>
      <c r="D62" s="613">
        <f>E62/C62</f>
        <v>0.06532499800258948</v>
      </c>
      <c r="E62" s="605">
        <f>H62+K62</f>
        <v>138.75356200740018</v>
      </c>
      <c r="F62" s="622">
        <f>F64+F65+F66</f>
        <v>1196.556176470588</v>
      </c>
      <c r="G62" s="613">
        <f>G64</f>
        <v>0.06346814760000001</v>
      </c>
      <c r="H62" s="605">
        <f>H64+H65+H66</f>
        <v>75.94320401992695</v>
      </c>
      <c r="I62" s="622">
        <f>I64+I65+I66</f>
        <v>927.4938235294117</v>
      </c>
      <c r="J62" s="613">
        <f>K62/I62</f>
        <v>0.06772051348920001</v>
      </c>
      <c r="K62" s="605">
        <f>K64+K65+K66</f>
        <v>62.81035798747322</v>
      </c>
    </row>
    <row r="63" spans="1:11" ht="12.75">
      <c r="A63" s="14" t="s">
        <v>1663</v>
      </c>
      <c r="B63" s="1449" t="s">
        <v>70</v>
      </c>
      <c r="C63" s="624"/>
      <c r="D63" s="616"/>
      <c r="E63" s="607"/>
      <c r="F63" s="624"/>
      <c r="G63" s="616"/>
      <c r="H63" s="607"/>
      <c r="I63" s="624"/>
      <c r="J63" s="616"/>
      <c r="K63" s="607"/>
    </row>
    <row r="64" spans="1:11" ht="12.75">
      <c r="A64" s="14" t="s">
        <v>424</v>
      </c>
      <c r="B64" s="1449" t="s">
        <v>411</v>
      </c>
      <c r="C64" s="624">
        <f>('4.2'!AK22+'4.2'!AK24)*1000</f>
        <v>5</v>
      </c>
      <c r="D64" s="618">
        <f>E64/C64</f>
        <v>0.0652191217896706</v>
      </c>
      <c r="E64" s="91">
        <f>H64+K64</f>
        <v>0.326095608948353</v>
      </c>
      <c r="F64" s="624">
        <f>('4.2'!AN22+'4.2'!AN24)*1000</f>
        <v>2.941176470588235</v>
      </c>
      <c r="G64" s="618">
        <f>J50</f>
        <v>0.06346814760000001</v>
      </c>
      <c r="H64" s="91">
        <f>F64*G64</f>
        <v>0.1866710223529412</v>
      </c>
      <c r="I64" s="607">
        <f>C64-F64</f>
        <v>2.058823529411765</v>
      </c>
      <c r="J64" s="618">
        <f>G64*1.067</f>
        <v>0.06772051348920001</v>
      </c>
      <c r="K64" s="91">
        <f>I64*J64</f>
        <v>0.1394245865954118</v>
      </c>
    </row>
    <row r="65" spans="1:11" ht="36">
      <c r="A65" s="14" t="s">
        <v>425</v>
      </c>
      <c r="B65" s="1449" t="s">
        <v>409</v>
      </c>
      <c r="C65" s="624">
        <f>F65+I65</f>
        <v>1206.81</v>
      </c>
      <c r="D65" s="618">
        <f>E65/C65</f>
        <v>0.0651218454458</v>
      </c>
      <c r="E65" s="607">
        <f>H65+K65</f>
        <v>78.5896943024459</v>
      </c>
      <c r="F65" s="607">
        <f>'4.2'!AN26*1000</f>
        <v>737.4949999999999</v>
      </c>
      <c r="G65" s="618">
        <f>G64</f>
        <v>0.06346814760000001</v>
      </c>
      <c r="H65" s="607">
        <f>F65*G65</f>
        <v>46.807441514262</v>
      </c>
      <c r="I65" s="607">
        <f>'4.2'!AQ26*1000</f>
        <v>469.31499999999994</v>
      </c>
      <c r="J65" s="618">
        <f>G65*1.067</f>
        <v>0.06772051348920001</v>
      </c>
      <c r="K65" s="607">
        <f>I65*J65</f>
        <v>31.7822527881839</v>
      </c>
    </row>
    <row r="66" spans="1:11" ht="36">
      <c r="A66" s="14" t="s">
        <v>232</v>
      </c>
      <c r="B66" s="1449" t="s">
        <v>410</v>
      </c>
      <c r="C66" s="625">
        <f t="shared" si="1"/>
        <v>912.24</v>
      </c>
      <c r="D66" s="618">
        <f>E66/C66</f>
        <v>0.06559433054460001</v>
      </c>
      <c r="E66" s="607">
        <f>H66+K66</f>
        <v>59.837772096005914</v>
      </c>
      <c r="F66" s="625">
        <f>'перечень строений'!I12</f>
        <v>456.12</v>
      </c>
      <c r="G66" s="1451">
        <f>G64</f>
        <v>0.06346814760000001</v>
      </c>
      <c r="H66" s="607">
        <f>F66*G66</f>
        <v>28.949091483312007</v>
      </c>
      <c r="I66" s="625">
        <f>'перечень строений'!J12</f>
        <v>456.12</v>
      </c>
      <c r="J66" s="618">
        <f>G66*1.067</f>
        <v>0.06772051348920001</v>
      </c>
      <c r="K66" s="607">
        <f>I66*J66</f>
        <v>30.888680612693907</v>
      </c>
    </row>
    <row r="67" spans="1:11" ht="12.75">
      <c r="A67" s="86" t="s">
        <v>1664</v>
      </c>
      <c r="B67" s="621" t="s">
        <v>498</v>
      </c>
      <c r="C67" s="625">
        <f t="shared" si="1"/>
        <v>0</v>
      </c>
      <c r="D67" s="618"/>
      <c r="E67" s="607">
        <f>H67+K67</f>
        <v>0</v>
      </c>
      <c r="F67" s="625"/>
      <c r="G67" s="626"/>
      <c r="H67" s="607">
        <f>F67*G67</f>
        <v>0</v>
      </c>
      <c r="I67" s="625"/>
      <c r="J67" s="626"/>
      <c r="K67" s="607">
        <f>I67*J67</f>
        <v>0</v>
      </c>
    </row>
    <row r="69" ht="34.5" customHeight="1">
      <c r="A69" s="1" t="s">
        <v>1644</v>
      </c>
    </row>
  </sheetData>
  <sheetProtection/>
  <protectedRanges>
    <protectedRange password="CC01" sqref="K2" name="Диапазон1"/>
  </protectedRanges>
  <mergeCells count="35">
    <mergeCell ref="L7:N8"/>
    <mergeCell ref="C6:N6"/>
    <mergeCell ref="F7:H8"/>
    <mergeCell ref="I34:K34"/>
    <mergeCell ref="C32:K32"/>
    <mergeCell ref="F20:H21"/>
    <mergeCell ref="I20:K21"/>
    <mergeCell ref="L20:N21"/>
    <mergeCell ref="C19:H19"/>
    <mergeCell ref="A6:A10"/>
    <mergeCell ref="B6:B10"/>
    <mergeCell ref="C7:E8"/>
    <mergeCell ref="I7:K8"/>
    <mergeCell ref="A19:A23"/>
    <mergeCell ref="B19:B23"/>
    <mergeCell ref="C20:E21"/>
    <mergeCell ref="A32:A36"/>
    <mergeCell ref="B32:B36"/>
    <mergeCell ref="C33:K33"/>
    <mergeCell ref="C34:E34"/>
    <mergeCell ref="F34:H34"/>
    <mergeCell ref="A44:A48"/>
    <mergeCell ref="B44:B48"/>
    <mergeCell ref="C44:K44"/>
    <mergeCell ref="C45:K45"/>
    <mergeCell ref="C46:E46"/>
    <mergeCell ref="F46:H46"/>
    <mergeCell ref="I46:K46"/>
    <mergeCell ref="A56:A60"/>
    <mergeCell ref="B56:B60"/>
    <mergeCell ref="C56:K56"/>
    <mergeCell ref="C57:K57"/>
    <mergeCell ref="C58:E58"/>
    <mergeCell ref="F58:H58"/>
    <mergeCell ref="I58:K58"/>
  </mergeCells>
  <printOptions/>
  <pageMargins left="0.7874015748031497" right="0.1968503937007874" top="0.4330708661417323" bottom="0.4330708661417323" header="0.31496062992125984" footer="0.31496062992125984"/>
  <pageSetup fitToHeight="2" horizontalDpi="600" verticalDpi="600" orientation="portrait" paperSize="9" scale="64" r:id="rId1"/>
  <rowBreaks count="1" manualBreakCount="1">
    <brk id="69" max="10" man="1"/>
  </rowBreaks>
  <colBreaks count="1" manualBreakCount="1">
    <brk id="11" max="9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N88"/>
  <sheetViews>
    <sheetView view="pageBreakPreview" zoomScaleSheetLayoutView="100" workbookViewId="0" topLeftCell="A1">
      <pane xSplit="4" ySplit="18" topLeftCell="G19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/>
  <cols>
    <col min="1" max="1" width="6.7109375" style="500" hidden="1" customWidth="1"/>
    <col min="2" max="2" width="6.8515625" style="1" customWidth="1"/>
    <col min="3" max="3" width="32.00390625" style="1" customWidth="1"/>
    <col min="4" max="4" width="10.7109375" style="1" customWidth="1"/>
    <col min="5" max="6" width="12.00390625" style="1" hidden="1" customWidth="1"/>
    <col min="7" max="7" width="11.140625" style="518" customWidth="1"/>
    <col min="8" max="8" width="11.8515625" style="518" customWidth="1"/>
    <col min="9" max="9" width="11.00390625" style="518" customWidth="1"/>
    <col min="10" max="11" width="10.8515625" style="518" customWidth="1"/>
    <col min="12" max="12" width="9.140625" style="518" customWidth="1"/>
    <col min="13" max="13" width="10.00390625" style="1" customWidth="1"/>
    <col min="14" max="14" width="9.8515625" style="1" customWidth="1"/>
    <col min="15" max="16384" width="9.140625" style="1" customWidth="1"/>
  </cols>
  <sheetData>
    <row r="1" spans="2:14" ht="15" customHeight="1">
      <c r="B1" s="52" t="s">
        <v>978</v>
      </c>
      <c r="C1" s="52"/>
      <c r="D1" s="52"/>
      <c r="E1" s="52"/>
      <c r="F1" s="52"/>
      <c r="K1" s="1724" t="s">
        <v>1575</v>
      </c>
      <c r="N1" s="2"/>
    </row>
    <row r="2" spans="2:6" ht="12.75">
      <c r="B2" s="52" t="s">
        <v>962</v>
      </c>
      <c r="C2" s="52"/>
      <c r="D2" s="52"/>
      <c r="E2" s="52"/>
      <c r="F2" s="52"/>
    </row>
    <row r="3" ht="12.75"/>
    <row r="4" spans="2:14" ht="16.5">
      <c r="B4" s="33" t="s">
        <v>1355</v>
      </c>
      <c r="C4" s="33"/>
      <c r="D4" s="33"/>
      <c r="E4" s="33"/>
      <c r="F4" s="33"/>
      <c r="G4" s="1725"/>
      <c r="H4" s="1725"/>
      <c r="I4" s="1725"/>
      <c r="J4" s="1725"/>
      <c r="K4" s="1725"/>
      <c r="L4" s="1725"/>
      <c r="M4" s="33"/>
      <c r="N4" s="33"/>
    </row>
    <row r="5" spans="2:4" ht="15.75">
      <c r="B5" s="306" t="str">
        <f>'[5]4.1'!B6</f>
        <v>Усть-Камчатское муниципальное образование</v>
      </c>
      <c r="C5" s="627"/>
      <c r="D5" s="627"/>
    </row>
    <row r="6" spans="2:17" ht="14.25" customHeight="1" thickBot="1">
      <c r="B6" s="2069" t="s">
        <v>1662</v>
      </c>
      <c r="C6" s="2073" t="s">
        <v>1670</v>
      </c>
      <c r="D6" s="2057" t="s">
        <v>908</v>
      </c>
      <c r="E6" s="2214" t="s">
        <v>1659</v>
      </c>
      <c r="F6" s="2215"/>
      <c r="G6" s="2215"/>
      <c r="H6" s="2272"/>
      <c r="I6" s="2280" t="s">
        <v>1661</v>
      </c>
      <c r="J6" s="2281"/>
      <c r="K6" s="2281"/>
      <c r="L6" s="2281"/>
      <c r="M6" s="2281"/>
      <c r="N6" s="2281"/>
      <c r="O6" s="2281"/>
      <c r="P6" s="2281"/>
      <c r="Q6" s="2282"/>
    </row>
    <row r="7" spans="2:17" ht="12.75" customHeight="1">
      <c r="B7" s="2070"/>
      <c r="C7" s="2064"/>
      <c r="D7" s="2057"/>
      <c r="E7" s="2273" t="s">
        <v>944</v>
      </c>
      <c r="F7" s="2273" t="s">
        <v>1139</v>
      </c>
      <c r="G7" s="2273" t="s">
        <v>16</v>
      </c>
      <c r="H7" s="2275" t="s">
        <v>17</v>
      </c>
      <c r="I7" s="2284" t="s">
        <v>1143</v>
      </c>
      <c r="J7" s="2278"/>
      <c r="K7" s="2285"/>
      <c r="L7" s="2284" t="s">
        <v>1148</v>
      </c>
      <c r="M7" s="2278"/>
      <c r="N7" s="2279"/>
      <c r="O7" s="2277" t="s">
        <v>18</v>
      </c>
      <c r="P7" s="2278"/>
      <c r="Q7" s="2279"/>
    </row>
    <row r="8" spans="2:17" ht="27" customHeight="1">
      <c r="B8" s="2048"/>
      <c r="C8" s="2065"/>
      <c r="D8" s="2057"/>
      <c r="E8" s="2274"/>
      <c r="F8" s="2274"/>
      <c r="G8" s="2274"/>
      <c r="H8" s="2276"/>
      <c r="I8" s="1988" t="s">
        <v>421</v>
      </c>
      <c r="J8" s="66" t="s">
        <v>271</v>
      </c>
      <c r="K8" s="1872" t="s">
        <v>272</v>
      </c>
      <c r="L8" s="1953" t="s">
        <v>421</v>
      </c>
      <c r="M8" s="1776" t="s">
        <v>271</v>
      </c>
      <c r="N8" s="1779" t="s">
        <v>272</v>
      </c>
      <c r="O8" s="1986" t="s">
        <v>421</v>
      </c>
      <c r="P8" s="1776" t="s">
        <v>271</v>
      </c>
      <c r="Q8" s="1779" t="s">
        <v>272</v>
      </c>
    </row>
    <row r="9" spans="2:17" ht="13.5" thickBot="1">
      <c r="B9" s="43">
        <v>1</v>
      </c>
      <c r="C9" s="49">
        <v>2</v>
      </c>
      <c r="D9" s="43">
        <v>3</v>
      </c>
      <c r="E9" s="49">
        <v>4</v>
      </c>
      <c r="F9" s="43">
        <v>5</v>
      </c>
      <c r="G9" s="1450">
        <v>6</v>
      </c>
      <c r="H9" s="1975">
        <v>7</v>
      </c>
      <c r="I9" s="1989">
        <v>8</v>
      </c>
      <c r="J9" s="66">
        <v>9</v>
      </c>
      <c r="K9" s="1872">
        <v>10</v>
      </c>
      <c r="L9" s="1953">
        <v>11</v>
      </c>
      <c r="M9" s="1776">
        <v>12</v>
      </c>
      <c r="N9" s="1779">
        <v>13</v>
      </c>
      <c r="O9" s="1986">
        <v>11</v>
      </c>
      <c r="P9" s="1776">
        <v>12</v>
      </c>
      <c r="Q9" s="1779">
        <v>13</v>
      </c>
    </row>
    <row r="10" spans="1:17" ht="12.75" hidden="1" outlineLevel="1">
      <c r="A10" s="1726">
        <v>1</v>
      </c>
      <c r="B10" s="67">
        <v>1</v>
      </c>
      <c r="C10" s="628" t="s">
        <v>1576</v>
      </c>
      <c r="D10" s="621"/>
      <c r="E10" s="604"/>
      <c r="F10" s="604"/>
      <c r="G10" s="604"/>
      <c r="H10" s="1452"/>
      <c r="I10" s="1727"/>
      <c r="J10" s="604"/>
      <c r="K10" s="1452"/>
      <c r="L10" s="1954"/>
      <c r="M10" s="1955"/>
      <c r="N10" s="1956"/>
      <c r="O10" s="1901"/>
      <c r="P10" s="1955"/>
      <c r="Q10" s="1956"/>
    </row>
    <row r="11" spans="1:17" ht="12.75" hidden="1" outlineLevel="1">
      <c r="A11" s="663" t="s">
        <v>1663</v>
      </c>
      <c r="B11" s="68" t="s">
        <v>1663</v>
      </c>
      <c r="C11" s="629" t="s">
        <v>1577</v>
      </c>
      <c r="D11" s="66" t="s">
        <v>1578</v>
      </c>
      <c r="E11" s="32"/>
      <c r="F11" s="32"/>
      <c r="G11" s="32"/>
      <c r="H11" s="1976">
        <f>'[5]Расшиф. 4.9'!S10</f>
        <v>0</v>
      </c>
      <c r="I11" s="1728">
        <f>'[5]Расшиф. 4.9'!AC10</f>
        <v>0</v>
      </c>
      <c r="J11" s="1453">
        <f>'[5]Расшиф. 4.9'!AD10</f>
        <v>0</v>
      </c>
      <c r="K11" s="1976">
        <f>'[5]Расшиф. 4.9'!AE10</f>
        <v>0</v>
      </c>
      <c r="L11" s="1957"/>
      <c r="M11" s="520"/>
      <c r="N11" s="1958"/>
      <c r="O11" s="1897"/>
      <c r="P11" s="520"/>
      <c r="Q11" s="1958"/>
    </row>
    <row r="12" spans="1:17" ht="12.75" hidden="1" outlineLevel="1">
      <c r="A12" s="1726"/>
      <c r="B12" s="67"/>
      <c r="C12" s="629" t="s">
        <v>1579</v>
      </c>
      <c r="D12" s="66" t="s">
        <v>1578</v>
      </c>
      <c r="E12" s="604"/>
      <c r="F12" s="604"/>
      <c r="G12" s="604"/>
      <c r="H12" s="1977"/>
      <c r="I12" s="1729"/>
      <c r="J12" s="1730"/>
      <c r="K12" s="1977"/>
      <c r="L12" s="1954"/>
      <c r="M12" s="1955"/>
      <c r="N12" s="1956"/>
      <c r="O12" s="1901"/>
      <c r="P12" s="1955"/>
      <c r="Q12" s="1956"/>
    </row>
    <row r="13" spans="1:17" ht="12.75" hidden="1" outlineLevel="1">
      <c r="A13" s="663" t="s">
        <v>424</v>
      </c>
      <c r="B13" s="68" t="s">
        <v>424</v>
      </c>
      <c r="C13" s="629" t="s">
        <v>1580</v>
      </c>
      <c r="D13" s="66" t="s">
        <v>1578</v>
      </c>
      <c r="E13" s="4"/>
      <c r="F13" s="4"/>
      <c r="G13" s="32"/>
      <c r="H13" s="1976">
        <f>H11</f>
        <v>0</v>
      </c>
      <c r="I13" s="1728">
        <f>I11</f>
        <v>0</v>
      </c>
      <c r="J13" s="1453">
        <f>J11</f>
        <v>0</v>
      </c>
      <c r="K13" s="1976">
        <f>K11</f>
        <v>0</v>
      </c>
      <c r="L13" s="1957"/>
      <c r="M13" s="520"/>
      <c r="N13" s="1958"/>
      <c r="O13" s="1897"/>
      <c r="P13" s="520"/>
      <c r="Q13" s="1958"/>
    </row>
    <row r="14" spans="1:17" ht="12.75" hidden="1" outlineLevel="1">
      <c r="A14" s="663"/>
      <c r="B14" s="68"/>
      <c r="C14" s="629" t="s">
        <v>1581</v>
      </c>
      <c r="D14" s="66" t="s">
        <v>1578</v>
      </c>
      <c r="E14" s="4"/>
      <c r="F14" s="4"/>
      <c r="G14" s="32"/>
      <c r="H14" s="1877"/>
      <c r="I14" s="1585"/>
      <c r="J14" s="32"/>
      <c r="K14" s="1877"/>
      <c r="L14" s="1957"/>
      <c r="M14" s="520"/>
      <c r="N14" s="1958"/>
      <c r="O14" s="1897"/>
      <c r="P14" s="520"/>
      <c r="Q14" s="1958"/>
    </row>
    <row r="15" spans="1:17" ht="12.75" hidden="1" outlineLevel="1">
      <c r="A15" s="663" t="s">
        <v>425</v>
      </c>
      <c r="B15" s="68" t="s">
        <v>425</v>
      </c>
      <c r="C15" s="629" t="s">
        <v>1582</v>
      </c>
      <c r="D15" s="66" t="s">
        <v>1578</v>
      </c>
      <c r="E15" s="630"/>
      <c r="F15" s="630"/>
      <c r="G15" s="32"/>
      <c r="H15" s="1978">
        <f>H18</f>
        <v>8.5</v>
      </c>
      <c r="I15" s="1731">
        <f>I18</f>
        <v>8.5</v>
      </c>
      <c r="J15" s="643">
        <f>J18</f>
        <v>8.5</v>
      </c>
      <c r="K15" s="1978">
        <f>K18</f>
        <v>8.5</v>
      </c>
      <c r="L15" s="1957"/>
      <c r="M15" s="520"/>
      <c r="N15" s="1958"/>
      <c r="O15" s="1897"/>
      <c r="P15" s="520"/>
      <c r="Q15" s="1958"/>
    </row>
    <row r="16" spans="1:17" ht="12.75" hidden="1" outlineLevel="1">
      <c r="A16" s="663"/>
      <c r="B16" s="68"/>
      <c r="C16" s="629" t="s">
        <v>1583</v>
      </c>
      <c r="D16" s="66" t="s">
        <v>427</v>
      </c>
      <c r="E16" s="4"/>
      <c r="F16" s="4"/>
      <c r="G16" s="32"/>
      <c r="H16" s="1979" t="e">
        <f>H15/H13</f>
        <v>#DIV/0!</v>
      </c>
      <c r="I16" s="1732" t="e">
        <f>I15/I13</f>
        <v>#DIV/0!</v>
      </c>
      <c r="J16" s="1733" t="e">
        <f>J15/J13</f>
        <v>#DIV/0!</v>
      </c>
      <c r="K16" s="1979" t="e">
        <f>K15/K13</f>
        <v>#DIV/0!</v>
      </c>
      <c r="L16" s="1957"/>
      <c r="M16" s="520"/>
      <c r="N16" s="1958"/>
      <c r="O16" s="1897"/>
      <c r="P16" s="520"/>
      <c r="Q16" s="1958"/>
    </row>
    <row r="17" spans="1:17" ht="12.75" hidden="1" outlineLevel="1">
      <c r="A17" s="663" t="s">
        <v>232</v>
      </c>
      <c r="B17" s="68" t="s">
        <v>232</v>
      </c>
      <c r="C17" s="629" t="s">
        <v>1584</v>
      </c>
      <c r="D17" s="66" t="s">
        <v>1578</v>
      </c>
      <c r="E17" s="631"/>
      <c r="F17" s="631"/>
      <c r="G17" s="632"/>
      <c r="H17" s="1875"/>
      <c r="I17" s="1572"/>
      <c r="J17" s="632"/>
      <c r="K17" s="1875"/>
      <c r="L17" s="1959"/>
      <c r="M17" s="1828"/>
      <c r="N17" s="1960"/>
      <c r="O17" s="2004"/>
      <c r="P17" s="2005"/>
      <c r="Q17" s="2006"/>
    </row>
    <row r="18" spans="1:17" s="1522" customFormat="1" ht="25.5" collapsed="1">
      <c r="A18" s="1726" t="s">
        <v>233</v>
      </c>
      <c r="B18" s="67" t="s">
        <v>233</v>
      </c>
      <c r="C18" s="628" t="s">
        <v>1585</v>
      </c>
      <c r="D18" s="645" t="s">
        <v>1578</v>
      </c>
      <c r="E18" s="1734">
        <f>'[5]Расшиф. 4.9'!K11</f>
        <v>8.5</v>
      </c>
      <c r="F18" s="1734">
        <f>'[5]Расшиф. 4.9'!K11</f>
        <v>8.5</v>
      </c>
      <c r="G18" s="1735">
        <f>'Расшиф. 4.9'!O11</f>
        <v>8</v>
      </c>
      <c r="H18" s="1980">
        <f>'[5]Расшиф. 4.9'!S11</f>
        <v>8.5</v>
      </c>
      <c r="I18" s="1736">
        <f>'Расшиф. 4.9'!AC11</f>
        <v>8.5</v>
      </c>
      <c r="J18" s="1735">
        <f>'Расшиф. 4.9'!AD11</f>
        <v>8.5</v>
      </c>
      <c r="K18" s="1980">
        <f>'Расшиф. 4.9'!AE11</f>
        <v>8.5</v>
      </c>
      <c r="L18" s="1736">
        <f>I18</f>
        <v>8.5</v>
      </c>
      <c r="M18" s="1735">
        <f>J18</f>
        <v>8.5</v>
      </c>
      <c r="N18" s="1980">
        <f>K18</f>
        <v>8.5</v>
      </c>
      <c r="O18" s="2007">
        <v>8.5</v>
      </c>
      <c r="P18" s="2008">
        <v>8.5</v>
      </c>
      <c r="Q18" s="2009">
        <v>8.5</v>
      </c>
    </row>
    <row r="19" spans="1:17" ht="16.5" customHeight="1" hidden="1">
      <c r="A19" s="1737" t="s">
        <v>887</v>
      </c>
      <c r="B19" s="67" t="s">
        <v>887</v>
      </c>
      <c r="C19" s="1738" t="s">
        <v>888</v>
      </c>
      <c r="D19" s="1487"/>
      <c r="E19" s="660"/>
      <c r="F19" s="660"/>
      <c r="G19" s="661"/>
      <c r="H19" s="1981">
        <f>'[5]Расшиф. 4.9'!S12</f>
        <v>0</v>
      </c>
      <c r="I19" s="1739">
        <f>'[5]Расшиф. 4.9'!AC12</f>
        <v>0</v>
      </c>
      <c r="J19" s="1740">
        <f>'[5]Расшиф. 4.9'!AD12</f>
        <v>0</v>
      </c>
      <c r="K19" s="1981">
        <f>'[5]Расшиф. 4.9'!AE12</f>
        <v>0</v>
      </c>
      <c r="L19" s="1961"/>
      <c r="M19" s="1962"/>
      <c r="N19" s="1994"/>
      <c r="O19" s="1961"/>
      <c r="P19" s="1962"/>
      <c r="Q19" s="1963"/>
    </row>
    <row r="20" spans="1:17" ht="12.75">
      <c r="A20" s="1726" t="s">
        <v>1664</v>
      </c>
      <c r="B20" s="67" t="s">
        <v>1664</v>
      </c>
      <c r="C20" s="628" t="s">
        <v>1586</v>
      </c>
      <c r="D20" s="531"/>
      <c r="E20" s="631"/>
      <c r="F20" s="631"/>
      <c r="G20" s="632"/>
      <c r="H20" s="1875"/>
      <c r="I20" s="1572"/>
      <c r="J20" s="632"/>
      <c r="K20" s="1875"/>
      <c r="L20" s="1959"/>
      <c r="M20" s="1828"/>
      <c r="N20" s="1993"/>
      <c r="O20" s="1959"/>
      <c r="P20" s="1828"/>
      <c r="Q20" s="1960"/>
    </row>
    <row r="21" spans="1:17" ht="25.5">
      <c r="A21" s="663" t="s">
        <v>1665</v>
      </c>
      <c r="B21" s="68" t="s">
        <v>1665</v>
      </c>
      <c r="C21" s="629" t="s">
        <v>560</v>
      </c>
      <c r="D21" s="531" t="s">
        <v>561</v>
      </c>
      <c r="E21" s="607">
        <f>'[5]Расшиф. 4.9'!M14</f>
        <v>4590</v>
      </c>
      <c r="F21" s="607">
        <f>'[5]Расшиф. 4.9'!N14</f>
        <v>4590</v>
      </c>
      <c r="G21" s="607">
        <f>'Расшиф. 4.9'!O14</f>
        <v>7860</v>
      </c>
      <c r="H21" s="1660">
        <v>7860</v>
      </c>
      <c r="I21" s="1741">
        <f>'Расшиф. 4.9'!AC14</f>
        <v>7860</v>
      </c>
      <c r="J21" s="607">
        <f>'Расшиф. 4.9'!AD14</f>
        <v>7860</v>
      </c>
      <c r="K21" s="1660">
        <f>'Расшиф. 4.9'!AE14</f>
        <v>7860</v>
      </c>
      <c r="L21" s="1964"/>
      <c r="M21" s="1965"/>
      <c r="N21" s="1995"/>
      <c r="O21" s="1964"/>
      <c r="P21" s="1965"/>
      <c r="Q21" s="1966"/>
    </row>
    <row r="22" spans="1:17" ht="12.75">
      <c r="A22" s="663" t="s">
        <v>1665</v>
      </c>
      <c r="B22" s="68" t="s">
        <v>1665</v>
      </c>
      <c r="C22" s="629" t="s">
        <v>562</v>
      </c>
      <c r="D22" s="531"/>
      <c r="E22" s="91">
        <f>'[5]Расшиф. 4.9'!M15</f>
        <v>1.056</v>
      </c>
      <c r="F22" s="91">
        <f>'[5]Расшиф. 4.9'!N15</f>
        <v>1.056</v>
      </c>
      <c r="G22" s="91">
        <f>'Расшиф. 4.9'!O15</f>
        <v>1.074</v>
      </c>
      <c r="H22" s="1924">
        <v>1.074</v>
      </c>
      <c r="I22" s="1742">
        <f>'Расшиф. 4.9'!AC15</f>
        <v>1.058</v>
      </c>
      <c r="J22" s="91">
        <f>'Расшиф. 4.9'!AD15</f>
        <v>1.058</v>
      </c>
      <c r="K22" s="1924">
        <f>'Расшиф. 4.9'!AE15</f>
        <v>1.058</v>
      </c>
      <c r="L22" s="1974"/>
      <c r="M22" s="524"/>
      <c r="N22" s="1996"/>
      <c r="O22" s="1964"/>
      <c r="P22" s="1965"/>
      <c r="Q22" s="1966"/>
    </row>
    <row r="23" spans="1:17" s="1522" customFormat="1" ht="25.5">
      <c r="A23" s="663" t="s">
        <v>1695</v>
      </c>
      <c r="B23" s="68" t="s">
        <v>1695</v>
      </c>
      <c r="C23" s="629" t="s">
        <v>563</v>
      </c>
      <c r="D23" s="531" t="s">
        <v>561</v>
      </c>
      <c r="E23" s="607">
        <f aca="true" t="shared" si="0" ref="E23:J23">E21*E22</f>
        <v>4847.04</v>
      </c>
      <c r="F23" s="607">
        <f t="shared" si="0"/>
        <v>4847.04</v>
      </c>
      <c r="G23" s="607">
        <f>G21*G22</f>
        <v>8441.640000000001</v>
      </c>
      <c r="H23" s="1660">
        <f t="shared" si="0"/>
        <v>8441.640000000001</v>
      </c>
      <c r="I23" s="1741">
        <f t="shared" si="0"/>
        <v>8315.880000000001</v>
      </c>
      <c r="J23" s="607">
        <f t="shared" si="0"/>
        <v>8315.880000000001</v>
      </c>
      <c r="K23" s="1660">
        <f>K21*K22</f>
        <v>8315.880000000001</v>
      </c>
      <c r="L23" s="1964"/>
      <c r="M23" s="1965"/>
      <c r="N23" s="1995"/>
      <c r="O23" s="1964"/>
      <c r="P23" s="1965"/>
      <c r="Q23" s="1966"/>
    </row>
    <row r="24" spans="1:17" ht="25.5">
      <c r="A24" s="663" t="s">
        <v>1657</v>
      </c>
      <c r="B24" s="68" t="s">
        <v>1657</v>
      </c>
      <c r="C24" s="629" t="s">
        <v>564</v>
      </c>
      <c r="D24" s="531"/>
      <c r="E24" s="1743">
        <f>'[5]Расшиф. 4.9'!G17</f>
        <v>6.18</v>
      </c>
      <c r="F24" s="1743">
        <f>'[5]Расшиф. 4.9'!H17</f>
        <v>0</v>
      </c>
      <c r="G24" s="1744"/>
      <c r="H24" s="1982">
        <v>6.18</v>
      </c>
      <c r="I24" s="1745">
        <f>'Расшиф. 4.9'!AC17</f>
        <v>6.411764705882353</v>
      </c>
      <c r="J24" s="1744">
        <f>'Расшиф. 4.9'!AD17</f>
        <v>6.411764705882353</v>
      </c>
      <c r="K24" s="1982">
        <f>J24</f>
        <v>6.411764705882353</v>
      </c>
      <c r="L24" s="1972"/>
      <c r="M24" s="1973"/>
      <c r="N24" s="1997"/>
      <c r="O24" s="1964"/>
      <c r="P24" s="1965"/>
      <c r="Q24" s="1966"/>
    </row>
    <row r="25" spans="1:17" ht="25.5">
      <c r="A25" s="663"/>
      <c r="B25" s="68"/>
      <c r="C25" s="629" t="s">
        <v>1614</v>
      </c>
      <c r="D25" s="531"/>
      <c r="E25" s="1743">
        <f>'[5]Расшиф. 4.9'!G19</f>
        <v>1.2</v>
      </c>
      <c r="F25" s="1743">
        <f>'[5]Расшиф. 4.9'!H19</f>
        <v>0</v>
      </c>
      <c r="G25" s="1744"/>
      <c r="H25" s="1982">
        <f>'[5]Расшиф. 4.9'!S19</f>
        <v>1</v>
      </c>
      <c r="I25" s="1745">
        <f>'Расшиф. 4.9'!AC19</f>
        <v>1</v>
      </c>
      <c r="J25" s="1744">
        <f>'Расшиф. 4.9'!AD19</f>
        <v>1</v>
      </c>
      <c r="K25" s="1982">
        <f>'Расшиф. 4.9'!AE19</f>
        <v>1</v>
      </c>
      <c r="L25" s="1972"/>
      <c r="M25" s="1973"/>
      <c r="N25" s="1997"/>
      <c r="O25" s="1964"/>
      <c r="P25" s="1965"/>
      <c r="Q25" s="1966"/>
    </row>
    <row r="26" spans="1:17" ht="38.25">
      <c r="A26" s="663" t="s">
        <v>79</v>
      </c>
      <c r="B26" s="68" t="s">
        <v>79</v>
      </c>
      <c r="C26" s="629" t="s">
        <v>565</v>
      </c>
      <c r="D26" s="531"/>
      <c r="E26" s="1743">
        <f>'[5]Расшиф. 4.9'!G18</f>
        <v>1.74</v>
      </c>
      <c r="F26" s="1743">
        <f>'[5]Расшиф. 4.9'!K18</f>
        <v>1.74</v>
      </c>
      <c r="G26" s="1744"/>
      <c r="H26" s="1982">
        <v>1.74</v>
      </c>
      <c r="I26" s="1745">
        <f>'Расшиф. 4.9'!AC18</f>
        <v>1.8182352941176472</v>
      </c>
      <c r="J26" s="1744">
        <f>'Расшиф. 4.9'!AD18</f>
        <v>1.8182352941176472</v>
      </c>
      <c r="K26" s="1982">
        <f>'Расшиф. 4.9'!AE18</f>
        <v>1.8182352941176472</v>
      </c>
      <c r="L26" s="1964"/>
      <c r="M26" s="1965"/>
      <c r="N26" s="1995"/>
      <c r="O26" s="1964"/>
      <c r="P26" s="1965"/>
      <c r="Q26" s="1966"/>
    </row>
    <row r="27" spans="1:17" s="1747" customFormat="1" ht="14.25" customHeight="1">
      <c r="A27" s="1746" t="s">
        <v>81</v>
      </c>
      <c r="B27" s="602" t="s">
        <v>81</v>
      </c>
      <c r="C27" s="629" t="s">
        <v>1615</v>
      </c>
      <c r="D27" s="1502" t="s">
        <v>561</v>
      </c>
      <c r="E27" s="607">
        <f>'[5]Расшиф. 4.9'!G20</f>
        <v>10138</v>
      </c>
      <c r="F27" s="607">
        <f>'[5]Расшиф. 4.9'!K20</f>
        <v>10120.536</v>
      </c>
      <c r="G27" s="607"/>
      <c r="H27" s="1660">
        <f>H23*H25*H26</f>
        <v>14688.453600000003</v>
      </c>
      <c r="I27" s="1741">
        <f>'Расшиф. 4.9'!AC20</f>
        <v>14469.63</v>
      </c>
      <c r="J27" s="607">
        <f>'Расшиф. 4.9'!AD20</f>
        <v>14469.63</v>
      </c>
      <c r="K27" s="1660">
        <f>'Расшиф. 4.9'!AE20</f>
        <v>14469.63</v>
      </c>
      <c r="L27" s="1964"/>
      <c r="M27" s="1965"/>
      <c r="N27" s="1995"/>
      <c r="O27" s="1964"/>
      <c r="P27" s="1965"/>
      <c r="Q27" s="1966"/>
    </row>
    <row r="28" spans="1:17" ht="38.25">
      <c r="A28" s="663" t="s">
        <v>83</v>
      </c>
      <c r="B28" s="68" t="s">
        <v>83</v>
      </c>
      <c r="C28" s="629" t="s">
        <v>1616</v>
      </c>
      <c r="D28" s="66"/>
      <c r="E28" s="4"/>
      <c r="F28" s="4"/>
      <c r="G28" s="32"/>
      <c r="H28" s="1877"/>
      <c r="I28" s="1585"/>
      <c r="J28" s="32"/>
      <c r="K28" s="1877"/>
      <c r="L28" s="1964"/>
      <c r="M28" s="1965"/>
      <c r="N28" s="1995"/>
      <c r="O28" s="1964"/>
      <c r="P28" s="1965"/>
      <c r="Q28" s="1966"/>
    </row>
    <row r="29" spans="1:17" ht="12.75">
      <c r="A29" s="663" t="s">
        <v>966</v>
      </c>
      <c r="B29" s="68"/>
      <c r="C29" s="642" t="s">
        <v>1617</v>
      </c>
      <c r="D29" s="66" t="s">
        <v>427</v>
      </c>
      <c r="E29" s="630">
        <f>'[5]Расшиф. 4.9'!K22</f>
        <v>21</v>
      </c>
      <c r="F29" s="630">
        <f>'[5]Расшиф. 4.9'!K22</f>
        <v>21</v>
      </c>
      <c r="G29" s="643"/>
      <c r="H29" s="1978">
        <v>21</v>
      </c>
      <c r="I29" s="1731">
        <f>'[5]Расшиф. 4.9'!AC22</f>
        <v>22.005518512099677</v>
      </c>
      <c r="J29" s="643">
        <f>I29</f>
        <v>22.005518512099677</v>
      </c>
      <c r="K29" s="1978">
        <f>J29</f>
        <v>22.005518512099677</v>
      </c>
      <c r="L29" s="1964"/>
      <c r="M29" s="1965"/>
      <c r="N29" s="1995"/>
      <c r="O29" s="1964"/>
      <c r="P29" s="1965"/>
      <c r="Q29" s="1966"/>
    </row>
    <row r="30" spans="1:17" ht="12.75">
      <c r="A30" s="663"/>
      <c r="B30" s="68"/>
      <c r="C30" s="642" t="s">
        <v>1618</v>
      </c>
      <c r="D30" s="66" t="s">
        <v>561</v>
      </c>
      <c r="E30" s="598">
        <f>'[5]Расшиф. 4.9'!G23</f>
        <v>2081</v>
      </c>
      <c r="F30" s="598">
        <f>'[5]Расшиф. 4.9'!K23</f>
        <v>2125.31256</v>
      </c>
      <c r="G30" s="607"/>
      <c r="H30" s="1660">
        <f>(H27*H29)/100</f>
        <v>3084.5752560000005</v>
      </c>
      <c r="I30" s="1741">
        <f>'Расшиф. 4.9'!AC23</f>
        <v>2975.0794454117654</v>
      </c>
      <c r="J30" s="607">
        <f>'Расшиф. 4.9'!AD23</f>
        <v>2975.0794454117654</v>
      </c>
      <c r="K30" s="1660">
        <f>'Расшиф. 4.9'!AE23</f>
        <v>2975.0794454117654</v>
      </c>
      <c r="L30" s="1964"/>
      <c r="M30" s="1965"/>
      <c r="N30" s="1995"/>
      <c r="O30" s="1964"/>
      <c r="P30" s="1965"/>
      <c r="Q30" s="1966"/>
    </row>
    <row r="31" spans="1:17" ht="12.75">
      <c r="A31" s="663" t="s">
        <v>85</v>
      </c>
      <c r="B31" s="68" t="s">
        <v>85</v>
      </c>
      <c r="C31" s="629" t="s">
        <v>1619</v>
      </c>
      <c r="D31" s="66"/>
      <c r="E31" s="4"/>
      <c r="F31" s="4"/>
      <c r="G31" s="32"/>
      <c r="H31" s="1877"/>
      <c r="I31" s="1585"/>
      <c r="J31" s="32"/>
      <c r="K31" s="1877"/>
      <c r="L31" s="1964"/>
      <c r="M31" s="1965"/>
      <c r="N31" s="1995"/>
      <c r="O31" s="1964"/>
      <c r="P31" s="1965"/>
      <c r="Q31" s="1966"/>
    </row>
    <row r="32" spans="1:17" ht="12.75">
      <c r="A32" s="663" t="s">
        <v>967</v>
      </c>
      <c r="B32" s="68"/>
      <c r="C32" s="642" t="s">
        <v>1617</v>
      </c>
      <c r="D32" s="66" t="s">
        <v>427</v>
      </c>
      <c r="E32" s="598">
        <f>'[5]Расшиф. 4.9'!K25</f>
        <v>30</v>
      </c>
      <c r="F32" s="598">
        <f>'[5]Расшиф. 4.9'!L25</f>
        <v>30</v>
      </c>
      <c r="G32" s="607"/>
      <c r="H32" s="1660">
        <f>'[5]Расшиф. 4.9'!S25</f>
        <v>30</v>
      </c>
      <c r="I32" s="1731">
        <f>'Расшиф. 4.9'!AC25</f>
        <v>30</v>
      </c>
      <c r="J32" s="643">
        <f>'Расшиф. 4.9'!AD25</f>
        <v>30</v>
      </c>
      <c r="K32" s="1978">
        <f>'Расшиф. 4.9'!AE25</f>
        <v>30</v>
      </c>
      <c r="L32" s="1964"/>
      <c r="M32" s="1965"/>
      <c r="N32" s="1995"/>
      <c r="O32" s="1964"/>
      <c r="P32" s="1965"/>
      <c r="Q32" s="1966"/>
    </row>
    <row r="33" spans="1:17" ht="12.75">
      <c r="A33" s="663"/>
      <c r="B33" s="68"/>
      <c r="C33" s="642" t="s">
        <v>1618</v>
      </c>
      <c r="D33" s="66" t="s">
        <v>561</v>
      </c>
      <c r="E33" s="598">
        <f aca="true" t="shared" si="1" ref="E33:K33">(E27+E30)*E32/100</f>
        <v>3665.7</v>
      </c>
      <c r="F33" s="598">
        <f t="shared" si="1"/>
        <v>3673.754568</v>
      </c>
      <c r="G33" s="607"/>
      <c r="H33" s="1660">
        <f>(H27+H30)*H32/100</f>
        <v>5331.908656800002</v>
      </c>
      <c r="I33" s="1741">
        <f t="shared" si="1"/>
        <v>5233.412833623529</v>
      </c>
      <c r="J33" s="607">
        <f t="shared" si="1"/>
        <v>5233.412833623529</v>
      </c>
      <c r="K33" s="1660">
        <f t="shared" si="1"/>
        <v>5233.412833623529</v>
      </c>
      <c r="L33" s="1964"/>
      <c r="M33" s="1965"/>
      <c r="N33" s="1995"/>
      <c r="O33" s="1964"/>
      <c r="P33" s="1965"/>
      <c r="Q33" s="1966"/>
    </row>
    <row r="34" spans="1:17" ht="25.5">
      <c r="A34" s="663" t="s">
        <v>415</v>
      </c>
      <c r="B34" s="68" t="s">
        <v>415</v>
      </c>
      <c r="C34" s="629" t="s">
        <v>1620</v>
      </c>
      <c r="D34" s="66"/>
      <c r="E34" s="4"/>
      <c r="F34" s="4"/>
      <c r="G34" s="32"/>
      <c r="H34" s="1877"/>
      <c r="I34" s="1585"/>
      <c r="J34" s="32"/>
      <c r="K34" s="1877"/>
      <c r="L34" s="1964"/>
      <c r="M34" s="1965"/>
      <c r="N34" s="1995"/>
      <c r="O34" s="1964"/>
      <c r="P34" s="1965"/>
      <c r="Q34" s="1966"/>
    </row>
    <row r="35" spans="1:17" ht="12.75">
      <c r="A35" s="663" t="s">
        <v>968</v>
      </c>
      <c r="B35" s="68"/>
      <c r="C35" s="642" t="s">
        <v>1617</v>
      </c>
      <c r="D35" s="66" t="s">
        <v>427</v>
      </c>
      <c r="E35" s="598">
        <f>'[5]Расшиф. 4.9'!K28</f>
        <v>0</v>
      </c>
      <c r="F35" s="598">
        <v>0</v>
      </c>
      <c r="G35" s="607"/>
      <c r="H35" s="1660">
        <f>'[5]Расшиф. 4.9'!S28</f>
        <v>0</v>
      </c>
      <c r="I35" s="1731">
        <f>'[5]Расшиф. 4.9'!AC28</f>
        <v>0</v>
      </c>
      <c r="J35" s="643">
        <f>'[5]Расшиф. 4.9'!AD28</f>
        <v>0</v>
      </c>
      <c r="K35" s="1978">
        <f>'[5]Расшиф. 4.9'!AE28</f>
        <v>0</v>
      </c>
      <c r="L35" s="1964"/>
      <c r="M35" s="1965"/>
      <c r="N35" s="1995"/>
      <c r="O35" s="1964"/>
      <c r="P35" s="1965"/>
      <c r="Q35" s="1966"/>
    </row>
    <row r="36" spans="1:17" ht="12.75">
      <c r="A36" s="663"/>
      <c r="B36" s="68"/>
      <c r="C36" s="642" t="s">
        <v>1618</v>
      </c>
      <c r="D36" s="66" t="s">
        <v>561</v>
      </c>
      <c r="E36" s="598">
        <f>(E27+E30)*E35/100</f>
        <v>0</v>
      </c>
      <c r="F36" s="598">
        <v>0</v>
      </c>
      <c r="G36" s="607"/>
      <c r="H36" s="1660">
        <f>(H27+H30)*H35/100</f>
        <v>0</v>
      </c>
      <c r="I36" s="1741">
        <f>(I27+I30)*I35/100</f>
        <v>0</v>
      </c>
      <c r="J36" s="607">
        <f>(J27+J30)*J35/100</f>
        <v>0</v>
      </c>
      <c r="K36" s="1660">
        <f>(K27+K30)*K35/100</f>
        <v>0</v>
      </c>
      <c r="L36" s="1964"/>
      <c r="M36" s="1965"/>
      <c r="N36" s="1995"/>
      <c r="O36" s="1964"/>
      <c r="P36" s="1965"/>
      <c r="Q36" s="1966"/>
    </row>
    <row r="37" spans="1:17" ht="12.75">
      <c r="A37" s="663" t="s">
        <v>417</v>
      </c>
      <c r="B37" s="68" t="s">
        <v>417</v>
      </c>
      <c r="C37" s="629" t="s">
        <v>1621</v>
      </c>
      <c r="D37" s="645"/>
      <c r="E37" s="649"/>
      <c r="F37" s="649"/>
      <c r="G37" s="650"/>
      <c r="H37" s="1878"/>
      <c r="I37" s="1748"/>
      <c r="J37" s="650"/>
      <c r="K37" s="1878"/>
      <c r="L37" s="1964"/>
      <c r="M37" s="1965"/>
      <c r="N37" s="1995"/>
      <c r="O37" s="1964"/>
      <c r="P37" s="1965"/>
      <c r="Q37" s="1966"/>
    </row>
    <row r="38" spans="1:17" ht="12.75">
      <c r="A38" s="663" t="s">
        <v>969</v>
      </c>
      <c r="B38" s="68"/>
      <c r="C38" s="642" t="s">
        <v>1617</v>
      </c>
      <c r="D38" s="66" t="s">
        <v>427</v>
      </c>
      <c r="E38" s="4"/>
      <c r="F38" s="4"/>
      <c r="G38" s="32"/>
      <c r="H38" s="1877"/>
      <c r="I38" s="1585"/>
      <c r="J38" s="32"/>
      <c r="K38" s="1877"/>
      <c r="L38" s="1964"/>
      <c r="M38" s="1965"/>
      <c r="N38" s="1995"/>
      <c r="O38" s="1964"/>
      <c r="P38" s="1965"/>
      <c r="Q38" s="1966"/>
    </row>
    <row r="39" spans="1:17" ht="12.75">
      <c r="A39" s="663"/>
      <c r="B39" s="68"/>
      <c r="C39" s="642" t="s">
        <v>1618</v>
      </c>
      <c r="D39" s="66" t="s">
        <v>561</v>
      </c>
      <c r="E39" s="4"/>
      <c r="F39" s="4"/>
      <c r="G39" s="32"/>
      <c r="H39" s="1877"/>
      <c r="I39" s="1585"/>
      <c r="J39" s="32"/>
      <c r="K39" s="1877"/>
      <c r="L39" s="1964"/>
      <c r="M39" s="1965"/>
      <c r="N39" s="1995"/>
      <c r="O39" s="1964"/>
      <c r="P39" s="1965"/>
      <c r="Q39" s="1966"/>
    </row>
    <row r="40" spans="1:17" ht="25.5">
      <c r="A40" s="663" t="s">
        <v>213</v>
      </c>
      <c r="B40" s="68" t="s">
        <v>213</v>
      </c>
      <c r="C40" s="629" t="s">
        <v>1622</v>
      </c>
      <c r="D40" s="66"/>
      <c r="E40" s="4"/>
      <c r="F40" s="4"/>
      <c r="G40" s="32"/>
      <c r="H40" s="1877"/>
      <c r="I40" s="1585"/>
      <c r="J40" s="32"/>
      <c r="K40" s="1877"/>
      <c r="L40" s="1964"/>
      <c r="M40" s="1965"/>
      <c r="N40" s="1995"/>
      <c r="O40" s="1964"/>
      <c r="P40" s="1965"/>
      <c r="Q40" s="1966"/>
    </row>
    <row r="41" spans="1:17" ht="13.5" customHeight="1">
      <c r="A41" s="663" t="s">
        <v>970</v>
      </c>
      <c r="B41" s="68"/>
      <c r="C41" s="642" t="s">
        <v>1617</v>
      </c>
      <c r="D41" s="66" t="s">
        <v>427</v>
      </c>
      <c r="E41" s="651">
        <f>'[5]Расшиф. 4.9'!K34</f>
        <v>160</v>
      </c>
      <c r="F41" s="651">
        <f>'[5]Расшиф. 4.9'!O34</f>
        <v>160</v>
      </c>
      <c r="G41" s="1749"/>
      <c r="H41" s="1983">
        <f>'[5]Расшиф. 4.9'!S34</f>
        <v>160</v>
      </c>
      <c r="I41" s="1750">
        <f>'Расшиф. 4.9'!AC34</f>
        <v>160</v>
      </c>
      <c r="J41" s="1749">
        <f>'Расшиф. 4.9'!AD34</f>
        <v>160</v>
      </c>
      <c r="K41" s="1983">
        <f>'Расшиф. 4.9'!AE34</f>
        <v>160</v>
      </c>
      <c r="L41" s="1964"/>
      <c r="M41" s="1965"/>
      <c r="N41" s="1995"/>
      <c r="O41" s="1964"/>
      <c r="P41" s="1965"/>
      <c r="Q41" s="1966"/>
    </row>
    <row r="42" spans="1:17" ht="12.75">
      <c r="A42" s="663"/>
      <c r="B42" s="68"/>
      <c r="C42" s="642" t="s">
        <v>1618</v>
      </c>
      <c r="D42" s="66" t="s">
        <v>561</v>
      </c>
      <c r="E42" s="598">
        <f aca="true" t="shared" si="2" ref="E42:K42">(E27+E30+E33+E36)*E41/100</f>
        <v>25415.52</v>
      </c>
      <c r="F42" s="598">
        <f t="shared" si="2"/>
        <v>25471.365004799998</v>
      </c>
      <c r="G42" s="607"/>
      <c r="H42" s="1660">
        <f>(H27+H30+H33+H36)*H41/100</f>
        <v>36967.90002048001</v>
      </c>
      <c r="I42" s="1741">
        <f t="shared" si="2"/>
        <v>36284.99564645647</v>
      </c>
      <c r="J42" s="607">
        <f t="shared" si="2"/>
        <v>36284.99564645647</v>
      </c>
      <c r="K42" s="1660">
        <f t="shared" si="2"/>
        <v>36284.99564645647</v>
      </c>
      <c r="L42" s="1964"/>
      <c r="M42" s="1965"/>
      <c r="N42" s="1995"/>
      <c r="O42" s="1964"/>
      <c r="P42" s="1965"/>
      <c r="Q42" s="1966"/>
    </row>
    <row r="43" spans="1:17" ht="25.5">
      <c r="A43" s="1726" t="s">
        <v>1666</v>
      </c>
      <c r="B43" s="67" t="s">
        <v>1666</v>
      </c>
      <c r="C43" s="628" t="s">
        <v>1623</v>
      </c>
      <c r="D43" s="66" t="s">
        <v>561</v>
      </c>
      <c r="E43" s="598">
        <f aca="true" t="shared" si="3" ref="E43:K43">E27+E30+E33+E36+E42</f>
        <v>41300.22</v>
      </c>
      <c r="F43" s="598">
        <f t="shared" si="3"/>
        <v>41390.9681328</v>
      </c>
      <c r="G43" s="607">
        <f>'Расшиф. 4.9'!O36</f>
        <v>55691</v>
      </c>
      <c r="H43" s="1660">
        <f>H27+H30+H33+H36+H42</f>
        <v>60072.83753328002</v>
      </c>
      <c r="I43" s="1741">
        <f t="shared" si="3"/>
        <v>58963.117925491766</v>
      </c>
      <c r="J43" s="607">
        <f t="shared" si="3"/>
        <v>58963.117925491766</v>
      </c>
      <c r="K43" s="1660">
        <f t="shared" si="3"/>
        <v>58963.117925491766</v>
      </c>
      <c r="L43" s="1964"/>
      <c r="M43" s="1965"/>
      <c r="N43" s="1995"/>
      <c r="O43" s="1964"/>
      <c r="P43" s="1965"/>
      <c r="Q43" s="1966"/>
    </row>
    <row r="44" spans="1:17" ht="38.25">
      <c r="A44" s="1751" t="s">
        <v>1672</v>
      </c>
      <c r="B44" s="316" t="s">
        <v>1672</v>
      </c>
      <c r="C44" s="317" t="s">
        <v>1624</v>
      </c>
      <c r="D44" s="1752"/>
      <c r="E44" s="1482">
        <f>E18*E43*E48/1000</f>
        <v>4212.622439999999</v>
      </c>
      <c r="F44" s="1482">
        <f>'[5]Расшиф. 4.9'!K37</f>
        <v>4205</v>
      </c>
      <c r="G44" s="1482">
        <f>G18*G43*G48/1000</f>
        <v>5346.336</v>
      </c>
      <c r="H44" s="1984">
        <f>H18*H43*H48/1000</f>
        <v>6127.429428394562</v>
      </c>
      <c r="I44" s="1753">
        <f>I18*I43*I48/1000</f>
        <v>6014.23802840016</v>
      </c>
      <c r="J44" s="2012">
        <f>J18*J43*J48/1000</f>
        <v>3007.11901420008</v>
      </c>
      <c r="K44" s="1984">
        <f>K18*K43*K48/1000</f>
        <v>3007.11901420008</v>
      </c>
      <c r="L44" s="2000">
        <f aca="true" t="shared" si="4" ref="L44:Q44">I44*1.055</f>
        <v>6345.021119962169</v>
      </c>
      <c r="M44" s="2001">
        <f t="shared" si="4"/>
        <v>3172.5105599810845</v>
      </c>
      <c r="N44" s="2002">
        <f t="shared" si="4"/>
        <v>3172.5105599810845</v>
      </c>
      <c r="O44" s="2000">
        <f t="shared" si="4"/>
        <v>6693.997281560088</v>
      </c>
      <c r="P44" s="2001">
        <f t="shared" si="4"/>
        <v>3346.998640780044</v>
      </c>
      <c r="Q44" s="2003">
        <f t="shared" si="4"/>
        <v>3346.998640780044</v>
      </c>
    </row>
    <row r="45" spans="1:17" ht="25.5">
      <c r="A45" s="663" t="s">
        <v>203</v>
      </c>
      <c r="B45" s="68" t="s">
        <v>203</v>
      </c>
      <c r="C45" s="629" t="s">
        <v>1625</v>
      </c>
      <c r="D45" s="66" t="s">
        <v>239</v>
      </c>
      <c r="E45" s="598">
        <f>'[5]Расшиф. 4.9'!G38</f>
        <v>73</v>
      </c>
      <c r="F45" s="598"/>
      <c r="G45" s="607">
        <f>'[5]Расшиф. 4.9'!O38</f>
        <v>78</v>
      </c>
      <c r="H45" s="1660"/>
      <c r="I45" s="2010">
        <f>K45+J45</f>
        <v>82.914</v>
      </c>
      <c r="J45" s="607">
        <f>'Расшиф. 4.9'!AD38</f>
        <v>0</v>
      </c>
      <c r="K45" s="2011">
        <f>78*1.063</f>
        <v>82.914</v>
      </c>
      <c r="L45" s="1964">
        <f>M45+N45</f>
        <v>87.805926</v>
      </c>
      <c r="M45" s="1965">
        <v>0</v>
      </c>
      <c r="N45" s="1995">
        <f>K45*1.059</f>
        <v>87.805926</v>
      </c>
      <c r="O45" s="1964">
        <f>P45+Q45</f>
        <v>92.986475634</v>
      </c>
      <c r="P45" s="1965">
        <v>0</v>
      </c>
      <c r="Q45" s="1966">
        <f>N45*1.059</f>
        <v>92.986475634</v>
      </c>
    </row>
    <row r="46" spans="1:17" ht="63.75">
      <c r="A46" s="663" t="s">
        <v>205</v>
      </c>
      <c r="B46" s="68" t="s">
        <v>205</v>
      </c>
      <c r="C46" s="629" t="s">
        <v>1626</v>
      </c>
      <c r="D46" s="66" t="s">
        <v>239</v>
      </c>
      <c r="E46" s="631"/>
      <c r="F46" s="631"/>
      <c r="G46" s="632"/>
      <c r="H46" s="1875"/>
      <c r="I46" s="1572"/>
      <c r="J46" s="2013"/>
      <c r="K46" s="1875"/>
      <c r="L46" s="1964"/>
      <c r="M46" s="1965"/>
      <c r="N46" s="1995"/>
      <c r="O46" s="1964"/>
      <c r="P46" s="1965"/>
      <c r="Q46" s="1966"/>
    </row>
    <row r="47" spans="1:17" ht="12.75">
      <c r="A47" s="663" t="s">
        <v>207</v>
      </c>
      <c r="B47" s="68" t="s">
        <v>207</v>
      </c>
      <c r="C47" s="629" t="s">
        <v>971</v>
      </c>
      <c r="D47" s="66" t="s">
        <v>239</v>
      </c>
      <c r="E47" s="597">
        <f>'[5]Расшиф. 4.9'!G40</f>
        <v>1272</v>
      </c>
      <c r="F47" s="597">
        <f>'[5]Расшиф. 4.9'!K40</f>
        <v>1269</v>
      </c>
      <c r="G47" s="605">
        <f>'Расшиф. 4.9'!O40</f>
        <v>1587</v>
      </c>
      <c r="H47" s="1985">
        <f>H44*30.2%</f>
        <v>1850.4836873751576</v>
      </c>
      <c r="I47" s="1608">
        <f>'Расшиф. 4.9'!AC40</f>
        <v>1816.2998845768484</v>
      </c>
      <c r="J47" s="605">
        <f>'Расшиф. 4.9'!AD40</f>
        <v>908.1499422884242</v>
      </c>
      <c r="K47" s="1665">
        <f>'Расшиф. 4.9'!AE40</f>
        <v>908.1499422884242</v>
      </c>
      <c r="L47" s="1967">
        <f aca="true" t="shared" si="5" ref="L47:Q47">L44*30.2%</f>
        <v>1916.196378228575</v>
      </c>
      <c r="M47" s="1865">
        <f t="shared" si="5"/>
        <v>958.0981891142875</v>
      </c>
      <c r="N47" s="1998">
        <f t="shared" si="5"/>
        <v>958.0981891142875</v>
      </c>
      <c r="O47" s="1967">
        <f t="shared" si="5"/>
        <v>2021.5871790311464</v>
      </c>
      <c r="P47" s="1865">
        <f t="shared" si="5"/>
        <v>1010.7935895155732</v>
      </c>
      <c r="Q47" s="1968">
        <f t="shared" si="5"/>
        <v>1010.7935895155732</v>
      </c>
    </row>
    <row r="48" spans="1:17" ht="25.5">
      <c r="A48" s="663"/>
      <c r="B48" s="68"/>
      <c r="C48" s="629" t="s">
        <v>1627</v>
      </c>
      <c r="D48" s="66"/>
      <c r="E48" s="4">
        <v>12</v>
      </c>
      <c r="F48" s="4">
        <v>12</v>
      </c>
      <c r="G48" s="32">
        <v>12</v>
      </c>
      <c r="H48" s="1877">
        <v>12</v>
      </c>
      <c r="I48" s="1585">
        <v>12</v>
      </c>
      <c r="J48" s="32">
        <v>6</v>
      </c>
      <c r="K48" s="1877">
        <v>6</v>
      </c>
      <c r="L48" s="1585">
        <v>12</v>
      </c>
      <c r="M48" s="32">
        <v>6</v>
      </c>
      <c r="N48" s="1877">
        <v>6</v>
      </c>
      <c r="O48" s="1585">
        <v>12</v>
      </c>
      <c r="P48" s="32">
        <v>6</v>
      </c>
      <c r="Q48" s="1586">
        <v>6</v>
      </c>
    </row>
    <row r="49" spans="1:17" ht="25.5">
      <c r="A49" s="1726" t="s">
        <v>214</v>
      </c>
      <c r="B49" s="67" t="s">
        <v>214</v>
      </c>
      <c r="C49" s="628" t="s">
        <v>1628</v>
      </c>
      <c r="D49" s="645" t="s">
        <v>239</v>
      </c>
      <c r="E49" s="597">
        <f aca="true" t="shared" si="6" ref="E49:J49">SUM(E44:E47)</f>
        <v>5557.622439999999</v>
      </c>
      <c r="F49" s="597">
        <f t="shared" si="6"/>
        <v>5474</v>
      </c>
      <c r="G49" s="605">
        <f>G44+G45</f>
        <v>5424.336</v>
      </c>
      <c r="H49" s="1665">
        <f>SUM(H44:H47)</f>
        <v>7977.913115769719</v>
      </c>
      <c r="I49" s="1608">
        <f t="shared" si="6"/>
        <v>7913.451912977009</v>
      </c>
      <c r="J49" s="605">
        <f t="shared" si="6"/>
        <v>3915.268956488504</v>
      </c>
      <c r="K49" s="1665">
        <f aca="true" t="shared" si="7" ref="K49:Q49">SUM(K44:K47)</f>
        <v>3998.1829564885047</v>
      </c>
      <c r="L49" s="1608">
        <f t="shared" si="7"/>
        <v>8349.023424190744</v>
      </c>
      <c r="M49" s="605">
        <f t="shared" si="7"/>
        <v>4130.608749095372</v>
      </c>
      <c r="N49" s="1665">
        <f t="shared" si="7"/>
        <v>4218.414675095372</v>
      </c>
      <c r="O49" s="1608">
        <f t="shared" si="7"/>
        <v>8808.570936225235</v>
      </c>
      <c r="P49" s="605">
        <f t="shared" si="7"/>
        <v>4357.792230295617</v>
      </c>
      <c r="Q49" s="1609">
        <f t="shared" si="7"/>
        <v>4450.778705929617</v>
      </c>
    </row>
    <row r="50" spans="1:17" ht="25.5">
      <c r="A50" s="663" t="s">
        <v>1629</v>
      </c>
      <c r="B50" s="68" t="s">
        <v>1629</v>
      </c>
      <c r="C50" s="642" t="s">
        <v>70</v>
      </c>
      <c r="D50" s="66"/>
      <c r="E50" s="4"/>
      <c r="F50" s="4"/>
      <c r="G50" s="32"/>
      <c r="H50" s="1877"/>
      <c r="I50" s="1585"/>
      <c r="J50" s="32"/>
      <c r="K50" s="1877"/>
      <c r="L50" s="1964"/>
      <c r="M50" s="1965"/>
      <c r="N50" s="1995"/>
      <c r="O50" s="1964"/>
      <c r="P50" s="1965"/>
      <c r="Q50" s="1966"/>
    </row>
    <row r="51" spans="1:17" ht="25.5">
      <c r="A51" s="663" t="s">
        <v>1630</v>
      </c>
      <c r="B51" s="68" t="s">
        <v>1630</v>
      </c>
      <c r="C51" s="642" t="s">
        <v>422</v>
      </c>
      <c r="D51" s="66" t="s">
        <v>239</v>
      </c>
      <c r="E51" s="598">
        <f aca="true" t="shared" si="8" ref="E51:K51">E49</f>
        <v>5557.622439999999</v>
      </c>
      <c r="F51" s="598">
        <f t="shared" si="8"/>
        <v>5474</v>
      </c>
      <c r="G51" s="607">
        <f t="shared" si="8"/>
        <v>5424.336</v>
      </c>
      <c r="H51" s="1660">
        <f t="shared" si="8"/>
        <v>7977.913115769719</v>
      </c>
      <c r="I51" s="1741">
        <f t="shared" si="8"/>
        <v>7913.451912977009</v>
      </c>
      <c r="J51" s="607">
        <f t="shared" si="8"/>
        <v>3915.268956488504</v>
      </c>
      <c r="K51" s="1660">
        <f t="shared" si="8"/>
        <v>3998.1829564885047</v>
      </c>
      <c r="L51" s="1741">
        <f aca="true" t="shared" si="9" ref="L51:Q51">L49</f>
        <v>8349.023424190744</v>
      </c>
      <c r="M51" s="607">
        <f t="shared" si="9"/>
        <v>4130.608749095372</v>
      </c>
      <c r="N51" s="1660">
        <f t="shared" si="9"/>
        <v>4218.414675095372</v>
      </c>
      <c r="O51" s="1741">
        <f t="shared" si="9"/>
        <v>8808.570936225235</v>
      </c>
      <c r="P51" s="607">
        <f t="shared" si="9"/>
        <v>4357.792230295617</v>
      </c>
      <c r="Q51" s="1903">
        <f t="shared" si="9"/>
        <v>4450.778705929617</v>
      </c>
    </row>
    <row r="52" spans="1:17" ht="25.5">
      <c r="A52" s="663" t="s">
        <v>1631</v>
      </c>
      <c r="B52" s="68" t="s">
        <v>1631</v>
      </c>
      <c r="C52" s="642" t="s">
        <v>1108</v>
      </c>
      <c r="D52" s="66"/>
      <c r="E52" s="4"/>
      <c r="F52" s="4"/>
      <c r="G52" s="32"/>
      <c r="H52" s="1877"/>
      <c r="I52" s="1585"/>
      <c r="J52" s="32"/>
      <c r="K52" s="1877"/>
      <c r="L52" s="1957"/>
      <c r="M52" s="520"/>
      <c r="N52" s="1992"/>
      <c r="O52" s="1957"/>
      <c r="P52" s="520"/>
      <c r="Q52" s="1958"/>
    </row>
    <row r="53" spans="1:17" ht="13.5" thickBot="1">
      <c r="A53" s="663" t="s">
        <v>1632</v>
      </c>
      <c r="B53" s="68" t="s">
        <v>1632</v>
      </c>
      <c r="C53" s="642" t="s">
        <v>71</v>
      </c>
      <c r="D53" s="66"/>
      <c r="E53" s="4"/>
      <c r="F53" s="4"/>
      <c r="G53" s="32"/>
      <c r="H53" s="1877"/>
      <c r="I53" s="1754"/>
      <c r="J53" s="1755"/>
      <c r="K53" s="1990"/>
      <c r="L53" s="1969"/>
      <c r="M53" s="1970"/>
      <c r="N53" s="1999"/>
      <c r="O53" s="1969"/>
      <c r="P53" s="1970"/>
      <c r="Q53" s="1971"/>
    </row>
    <row r="54" spans="1:14" ht="39" hidden="1" outlineLevel="1">
      <c r="A54" s="500" t="s">
        <v>1673</v>
      </c>
      <c r="B54" s="633" t="s">
        <v>1673</v>
      </c>
      <c r="C54" s="634" t="s">
        <v>1633</v>
      </c>
      <c r="D54" s="66"/>
      <c r="E54" s="4"/>
      <c r="F54" s="4"/>
      <c r="G54" s="32"/>
      <c r="H54" s="32"/>
      <c r="I54" s="1987"/>
      <c r="J54" s="1987"/>
      <c r="K54" s="1987"/>
      <c r="L54" s="1987"/>
      <c r="M54" s="1991"/>
      <c r="N54" s="1991"/>
    </row>
    <row r="55" spans="1:14" ht="12.75" hidden="1" outlineLevel="1">
      <c r="A55" s="500" t="s">
        <v>428</v>
      </c>
      <c r="B55" s="68" t="s">
        <v>428</v>
      </c>
      <c r="C55" s="629" t="s">
        <v>1582</v>
      </c>
      <c r="D55" s="66" t="s">
        <v>1578</v>
      </c>
      <c r="E55" s="4"/>
      <c r="F55" s="4"/>
      <c r="G55" s="32"/>
      <c r="H55" s="32"/>
      <c r="I55" s="32"/>
      <c r="J55" s="32"/>
      <c r="K55" s="32"/>
      <c r="L55" s="32"/>
      <c r="M55" s="4"/>
      <c r="N55" s="4"/>
    </row>
    <row r="56" spans="1:14" ht="12.75" hidden="1" outlineLevel="1">
      <c r="A56" s="500" t="s">
        <v>429</v>
      </c>
      <c r="B56" s="68" t="s">
        <v>429</v>
      </c>
      <c r="C56" s="629" t="s">
        <v>1634</v>
      </c>
      <c r="D56" s="66" t="s">
        <v>1578</v>
      </c>
      <c r="E56" s="4"/>
      <c r="F56" s="4"/>
      <c r="G56" s="32"/>
      <c r="H56" s="32"/>
      <c r="I56" s="32"/>
      <c r="J56" s="32"/>
      <c r="K56" s="32"/>
      <c r="L56" s="32"/>
      <c r="M56" s="4"/>
      <c r="N56" s="4"/>
    </row>
    <row r="57" spans="1:14" ht="12.75" hidden="1" outlineLevel="1">
      <c r="A57" s="500" t="s">
        <v>430</v>
      </c>
      <c r="B57" s="68" t="s">
        <v>430</v>
      </c>
      <c r="C57" s="629" t="s">
        <v>1635</v>
      </c>
      <c r="D57" s="66" t="s">
        <v>561</v>
      </c>
      <c r="E57" s="4"/>
      <c r="F57" s="4"/>
      <c r="G57" s="32"/>
      <c r="H57" s="32"/>
      <c r="I57" s="32"/>
      <c r="J57" s="32"/>
      <c r="K57" s="32"/>
      <c r="L57" s="32"/>
      <c r="M57" s="4"/>
      <c r="N57" s="4"/>
    </row>
    <row r="58" spans="1:14" ht="12.75" hidden="1" outlineLevel="1">
      <c r="A58" s="500" t="s">
        <v>997</v>
      </c>
      <c r="B58" s="68" t="s">
        <v>997</v>
      </c>
      <c r="C58" s="629" t="s">
        <v>1625</v>
      </c>
      <c r="D58" s="66" t="s">
        <v>239</v>
      </c>
      <c r="E58" s="4"/>
      <c r="F58" s="4"/>
      <c r="G58" s="32"/>
      <c r="H58" s="32"/>
      <c r="I58" s="32"/>
      <c r="J58" s="32"/>
      <c r="K58" s="32"/>
      <c r="L58" s="32"/>
      <c r="M58" s="4"/>
      <c r="N58" s="4"/>
    </row>
    <row r="59" spans="1:14" ht="12.75" hidden="1" outlineLevel="1">
      <c r="A59" s="500" t="s">
        <v>998</v>
      </c>
      <c r="B59" s="68" t="s">
        <v>998</v>
      </c>
      <c r="C59" s="629" t="s">
        <v>1636</v>
      </c>
      <c r="D59" s="66" t="s">
        <v>239</v>
      </c>
      <c r="E59" s="4"/>
      <c r="F59" s="4"/>
      <c r="G59" s="32"/>
      <c r="H59" s="32"/>
      <c r="I59" s="32"/>
      <c r="J59" s="32"/>
      <c r="K59" s="32"/>
      <c r="L59" s="32"/>
      <c r="M59" s="4"/>
      <c r="N59" s="4"/>
    </row>
    <row r="60" spans="1:14" ht="12.75" hidden="1" outlineLevel="1">
      <c r="A60" s="500" t="s">
        <v>1250</v>
      </c>
      <c r="B60" s="68" t="s">
        <v>1250</v>
      </c>
      <c r="C60" s="629" t="s">
        <v>1637</v>
      </c>
      <c r="D60" s="66" t="s">
        <v>239</v>
      </c>
      <c r="E60" s="4"/>
      <c r="F60" s="4"/>
      <c r="G60" s="32"/>
      <c r="H60" s="32"/>
      <c r="I60" s="32"/>
      <c r="J60" s="32"/>
      <c r="K60" s="32"/>
      <c r="L60" s="32"/>
      <c r="M60" s="4"/>
      <c r="N60" s="4"/>
    </row>
    <row r="61" spans="1:14" ht="26.25" hidden="1" outlineLevel="1">
      <c r="A61" s="500" t="s">
        <v>1638</v>
      </c>
      <c r="B61" s="68" t="s">
        <v>1638</v>
      </c>
      <c r="C61" s="69" t="s">
        <v>70</v>
      </c>
      <c r="D61" s="66" t="s">
        <v>239</v>
      </c>
      <c r="E61" s="4"/>
      <c r="F61" s="4"/>
      <c r="G61" s="32"/>
      <c r="H61" s="32"/>
      <c r="I61" s="32"/>
      <c r="J61" s="32"/>
      <c r="K61" s="32"/>
      <c r="L61" s="32"/>
      <c r="M61" s="4"/>
      <c r="N61" s="4"/>
    </row>
    <row r="62" spans="1:14" ht="12.75" hidden="1" outlineLevel="1">
      <c r="A62" s="500" t="s">
        <v>1639</v>
      </c>
      <c r="B62" s="68" t="s">
        <v>1639</v>
      </c>
      <c r="C62" s="69" t="s">
        <v>422</v>
      </c>
      <c r="D62" s="66" t="s">
        <v>239</v>
      </c>
      <c r="E62" s="4"/>
      <c r="F62" s="4"/>
      <c r="G62" s="32"/>
      <c r="H62" s="32"/>
      <c r="I62" s="32"/>
      <c r="J62" s="32"/>
      <c r="K62" s="32"/>
      <c r="L62" s="32"/>
      <c r="M62" s="4"/>
      <c r="N62" s="4"/>
    </row>
    <row r="63" spans="1:14" ht="12.75" hidden="1" outlineLevel="1">
      <c r="A63" s="500" t="s">
        <v>1640</v>
      </c>
      <c r="B63" s="68" t="s">
        <v>1640</v>
      </c>
      <c r="C63" s="69" t="s">
        <v>1108</v>
      </c>
      <c r="D63" s="66" t="s">
        <v>239</v>
      </c>
      <c r="E63" s="4"/>
      <c r="F63" s="4"/>
      <c r="G63" s="32"/>
      <c r="H63" s="32"/>
      <c r="I63" s="32"/>
      <c r="J63" s="32"/>
      <c r="K63" s="32"/>
      <c r="L63" s="32"/>
      <c r="M63" s="4"/>
      <c r="N63" s="4"/>
    </row>
    <row r="64" spans="1:14" ht="12.75" hidden="1" outlineLevel="1">
      <c r="A64" s="500" t="s">
        <v>1641</v>
      </c>
      <c r="B64" s="68" t="s">
        <v>1641</v>
      </c>
      <c r="C64" s="69" t="s">
        <v>71</v>
      </c>
      <c r="D64" s="66" t="s">
        <v>239</v>
      </c>
      <c r="E64" s="4"/>
      <c r="F64" s="4"/>
      <c r="G64" s="32"/>
      <c r="H64" s="32"/>
      <c r="I64" s="32"/>
      <c r="J64" s="32"/>
      <c r="K64" s="32"/>
      <c r="L64" s="32"/>
      <c r="M64" s="4"/>
      <c r="N64" s="4"/>
    </row>
    <row r="65" spans="1:14" ht="26.25" hidden="1" outlineLevel="1">
      <c r="A65" s="500" t="s">
        <v>1642</v>
      </c>
      <c r="B65" s="68" t="s">
        <v>1642</v>
      </c>
      <c r="C65" s="21" t="s">
        <v>186</v>
      </c>
      <c r="D65" s="645" t="s">
        <v>427</v>
      </c>
      <c r="E65" s="4"/>
      <c r="F65" s="4"/>
      <c r="G65" s="604"/>
      <c r="H65" s="604"/>
      <c r="I65" s="604"/>
      <c r="J65" s="604"/>
      <c r="K65" s="604"/>
      <c r="L65" s="604"/>
      <c r="M65" s="539"/>
      <c r="N65" s="539"/>
    </row>
    <row r="66" spans="2:14" ht="12.75" collapsed="1">
      <c r="B66" s="663"/>
      <c r="C66" s="664"/>
      <c r="D66" s="665"/>
      <c r="E66" s="500"/>
      <c r="F66" s="500"/>
      <c r="G66" s="1756"/>
      <c r="H66" s="1756"/>
      <c r="I66" s="1756"/>
      <c r="J66" s="1756"/>
      <c r="K66" s="1756"/>
      <c r="L66" s="1756"/>
      <c r="M66" s="666"/>
      <c r="N66" s="666"/>
    </row>
    <row r="67" spans="1:7" ht="13.5" hidden="1" outlineLevel="1">
      <c r="A67" s="500" t="s">
        <v>304</v>
      </c>
      <c r="B67" s="113" t="s">
        <v>304</v>
      </c>
      <c r="D67" s="7"/>
      <c r="E67" s="7"/>
      <c r="F67" s="7"/>
      <c r="G67" s="1757"/>
    </row>
    <row r="68" spans="1:92" ht="47.25" customHeight="1" hidden="1" outlineLevel="1">
      <c r="A68" s="500" t="s">
        <v>238</v>
      </c>
      <c r="B68" s="116" t="s">
        <v>238</v>
      </c>
      <c r="C68" s="2140" t="s">
        <v>1089</v>
      </c>
      <c r="D68" s="2140"/>
      <c r="E68" s="2140"/>
      <c r="F68" s="2140"/>
      <c r="G68" s="2140"/>
      <c r="H68" s="2140"/>
      <c r="I68" s="2140"/>
      <c r="J68" s="2140"/>
      <c r="K68" s="2140"/>
      <c r="L68" s="2140"/>
      <c r="M68" s="2140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</row>
    <row r="69" spans="1:92" ht="47.25" customHeight="1" hidden="1" outlineLevel="1">
      <c r="A69" s="500" t="s">
        <v>240</v>
      </c>
      <c r="B69" s="116" t="s">
        <v>240</v>
      </c>
      <c r="C69" s="2140" t="s">
        <v>187</v>
      </c>
      <c r="D69" s="2140"/>
      <c r="E69" s="2140"/>
      <c r="F69" s="2140"/>
      <c r="G69" s="2140"/>
      <c r="H69" s="2140"/>
      <c r="I69" s="2140"/>
      <c r="J69" s="2140"/>
      <c r="K69" s="2140"/>
      <c r="L69" s="2140"/>
      <c r="M69" s="214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</row>
    <row r="70" spans="1:14" ht="29.25" customHeight="1" hidden="1" outlineLevel="1">
      <c r="A70" s="500" t="s">
        <v>1278</v>
      </c>
      <c r="B70" s="551" t="s">
        <v>1278</v>
      </c>
      <c r="C70" s="2283" t="s">
        <v>1205</v>
      </c>
      <c r="D70" s="2283"/>
      <c r="E70" s="2283"/>
      <c r="F70" s="2283"/>
      <c r="G70" s="2283"/>
      <c r="H70" s="2283"/>
      <c r="I70" s="2283"/>
      <c r="J70" s="2283"/>
      <c r="K70" s="2283"/>
      <c r="L70" s="2283"/>
      <c r="M70" s="2283"/>
      <c r="N70" s="2283"/>
    </row>
    <row r="71" spans="2:14" ht="18" customHeight="1" collapsed="1">
      <c r="B71" s="551"/>
      <c r="C71" s="1372"/>
      <c r="D71" s="1372"/>
      <c r="E71" s="1372"/>
      <c r="F71" s="1372"/>
      <c r="G71" s="1758"/>
      <c r="H71" s="1758"/>
      <c r="I71" s="1758"/>
      <c r="J71" s="1758"/>
      <c r="K71" s="1758"/>
      <c r="L71" s="1758"/>
      <c r="M71" s="1372"/>
      <c r="N71" s="1372"/>
    </row>
    <row r="72" ht="12.75" hidden="1" outlineLevel="1">
      <c r="B72" s="667" t="s">
        <v>972</v>
      </c>
    </row>
    <row r="73" spans="1:14" ht="12.75" hidden="1" outlineLevel="1">
      <c r="A73" s="500">
        <v>11</v>
      </c>
      <c r="B73" s="14">
        <v>1</v>
      </c>
      <c r="C73" s="1759" t="s">
        <v>973</v>
      </c>
      <c r="D73" s="539" t="s">
        <v>239</v>
      </c>
      <c r="E73" s="605">
        <f>'[5]Расшиф. 4.9'!K48</f>
        <v>0</v>
      </c>
      <c r="F73" s="605">
        <f>'[5]Расшиф. 4.9'!L48</f>
        <v>0</v>
      </c>
      <c r="G73" s="605">
        <f>'[5]Расшиф. 4.9'!O48</f>
        <v>0</v>
      </c>
      <c r="H73" s="605">
        <f>'[5]Расшиф. 4.9'!S48</f>
        <v>0</v>
      </c>
      <c r="I73" s="605">
        <f>'[5]Расшиф. 4.9'!AC48</f>
        <v>0</v>
      </c>
      <c r="J73" s="605">
        <f>'[5]Расшиф. 4.9'!AD48</f>
        <v>0</v>
      </c>
      <c r="K73" s="605" t="str">
        <f>'[5]Расшиф. 4.9'!AE48</f>
        <v>Расчет отчислений на социальные нужды на 2016 год</v>
      </c>
      <c r="L73" s="605">
        <f aca="true" t="shared" si="10" ref="L73:N74">I73</f>
        <v>0</v>
      </c>
      <c r="M73" s="605">
        <f t="shared" si="10"/>
        <v>0</v>
      </c>
      <c r="N73" s="605" t="str">
        <f t="shared" si="10"/>
        <v>Расчет отчислений на социальные нужды на 2016 год</v>
      </c>
    </row>
    <row r="74" spans="1:14" ht="12.75" hidden="1" outlineLevel="1">
      <c r="A74" s="500">
        <v>2</v>
      </c>
      <c r="B74" s="14" t="s">
        <v>1663</v>
      </c>
      <c r="C74" s="36" t="s">
        <v>974</v>
      </c>
      <c r="D74" s="4" t="s">
        <v>427</v>
      </c>
      <c r="E74" s="1760">
        <f>'[5]Расшиф. 4.9'!K49</f>
        <v>0</v>
      </c>
      <c r="F74" s="1760">
        <f>'[5]Расшиф. 4.9'!L49</f>
        <v>0</v>
      </c>
      <c r="G74" s="1760">
        <f>'[5]Расшиф. 4.9'!O49</f>
        <v>0</v>
      </c>
      <c r="H74" s="1760">
        <f>'[5]Расшиф. 4.9'!S49</f>
        <v>0</v>
      </c>
      <c r="I74" s="1760">
        <f>'[5]Расшиф. 4.9'!AC49</f>
        <v>0</v>
      </c>
      <c r="J74" s="1760">
        <f>'[5]Расшиф. 4.9'!AD49</f>
        <v>0</v>
      </c>
      <c r="K74" s="1760">
        <f>'[5]Расшиф. 4.9'!AE49</f>
        <v>0</v>
      </c>
      <c r="L74" s="1760">
        <f t="shared" si="10"/>
        <v>0</v>
      </c>
      <c r="M74" s="1760">
        <f t="shared" si="10"/>
        <v>0</v>
      </c>
      <c r="N74" s="1760">
        <f t="shared" si="10"/>
        <v>0</v>
      </c>
    </row>
    <row r="75" spans="2:14" ht="26.25" hidden="1" outlineLevel="1">
      <c r="B75" s="14" t="s">
        <v>1671</v>
      </c>
      <c r="C75" s="1759" t="s">
        <v>975</v>
      </c>
      <c r="D75" s="4"/>
      <c r="E75" s="1761"/>
      <c r="F75" s="1761"/>
      <c r="G75" s="1761"/>
      <c r="H75" s="1761"/>
      <c r="I75" s="1761"/>
      <c r="J75" s="1761"/>
      <c r="K75" s="1761"/>
      <c r="L75" s="1761"/>
      <c r="M75" s="1761"/>
      <c r="N75" s="1761"/>
    </row>
    <row r="76" spans="1:14" ht="12.75" hidden="1" outlineLevel="1">
      <c r="A76" s="500">
        <v>3</v>
      </c>
      <c r="B76" s="14" t="s">
        <v>1663</v>
      </c>
      <c r="C76" s="36" t="s">
        <v>976</v>
      </c>
      <c r="D76" s="539" t="s">
        <v>561</v>
      </c>
      <c r="E76" s="643">
        <v>0</v>
      </c>
      <c r="F76" s="643">
        <v>0</v>
      </c>
      <c r="G76" s="643">
        <v>0</v>
      </c>
      <c r="H76" s="643">
        <f>H77/H48/H18*1000</f>
        <v>0</v>
      </c>
      <c r="I76" s="643">
        <v>0</v>
      </c>
      <c r="J76" s="643">
        <f>$I$76</f>
        <v>0</v>
      </c>
      <c r="K76" s="643">
        <f>$I$76</f>
        <v>0</v>
      </c>
      <c r="L76" s="643">
        <v>0</v>
      </c>
      <c r="M76" s="643">
        <f>L76</f>
        <v>0</v>
      </c>
      <c r="N76" s="643">
        <f>L76</f>
        <v>0</v>
      </c>
    </row>
    <row r="77" spans="1:14" ht="12.75" hidden="1" outlineLevel="1">
      <c r="A77" s="500">
        <v>4</v>
      </c>
      <c r="B77" s="14" t="s">
        <v>424</v>
      </c>
      <c r="C77" s="693" t="s">
        <v>977</v>
      </c>
      <c r="D77" s="539" t="s">
        <v>239</v>
      </c>
      <c r="E77" s="605">
        <f>E18*E76*E48/1000</f>
        <v>0</v>
      </c>
      <c r="F77" s="605">
        <f>F18*F76*F48/1000</f>
        <v>0</v>
      </c>
      <c r="G77" s="605">
        <f>G18*G76*G48/1000</f>
        <v>0</v>
      </c>
      <c r="H77" s="605">
        <f>G77</f>
        <v>0</v>
      </c>
      <c r="I77" s="605">
        <f aca="true" t="shared" si="11" ref="I77:N77">I18*I76*I48/1000</f>
        <v>0</v>
      </c>
      <c r="J77" s="605">
        <f t="shared" si="11"/>
        <v>0</v>
      </c>
      <c r="K77" s="605">
        <f t="shared" si="11"/>
        <v>0</v>
      </c>
      <c r="L77" s="605">
        <f t="shared" si="11"/>
        <v>0</v>
      </c>
      <c r="M77" s="605">
        <f t="shared" si="11"/>
        <v>0</v>
      </c>
      <c r="N77" s="605">
        <f t="shared" si="11"/>
        <v>0</v>
      </c>
    </row>
    <row r="78" ht="12.75" collapsed="1"/>
    <row r="79" spans="3:14" ht="15.75">
      <c r="C79" s="10" t="s">
        <v>1362</v>
      </c>
      <c r="D79" s="10"/>
      <c r="E79" s="10" t="s">
        <v>1385</v>
      </c>
      <c r="F79" s="10"/>
      <c r="G79" s="97"/>
      <c r="L79" s="1762"/>
      <c r="M79" s="1763"/>
      <c r="N79" s="1763"/>
    </row>
    <row r="80" spans="12:14" ht="12.75">
      <c r="L80" s="1762"/>
      <c r="M80" s="1763"/>
      <c r="N80" s="1763"/>
    </row>
    <row r="81" spans="2:14" ht="12.75">
      <c r="B81" s="52"/>
      <c r="C81" s="52"/>
      <c r="D81" s="52"/>
      <c r="E81" s="52"/>
      <c r="F81" s="52"/>
      <c r="G81" s="517"/>
      <c r="H81" s="517"/>
      <c r="I81" s="517"/>
      <c r="J81" s="517"/>
      <c r="K81" s="517"/>
      <c r="L81" s="1764"/>
      <c r="M81" s="1765"/>
      <c r="N81" s="1765"/>
    </row>
    <row r="82" spans="1:14" ht="12.75">
      <c r="A82" s="1766"/>
      <c r="L82" s="1762"/>
      <c r="M82" s="1763"/>
      <c r="N82" s="1763"/>
    </row>
    <row r="86" ht="12.75">
      <c r="L86" s="1767"/>
    </row>
    <row r="87" ht="12.75">
      <c r="L87" s="1767"/>
    </row>
    <row r="88" ht="12.75">
      <c r="L88" s="1767"/>
    </row>
  </sheetData>
  <sheetProtection/>
  <mergeCells count="15">
    <mergeCell ref="O7:Q7"/>
    <mergeCell ref="I6:Q6"/>
    <mergeCell ref="C69:M69"/>
    <mergeCell ref="C70:N70"/>
    <mergeCell ref="D6:D8"/>
    <mergeCell ref="I7:K7"/>
    <mergeCell ref="L7:N7"/>
    <mergeCell ref="C68:M68"/>
    <mergeCell ref="F7:F8"/>
    <mergeCell ref="B6:B8"/>
    <mergeCell ref="C6:C8"/>
    <mergeCell ref="E6:H6"/>
    <mergeCell ref="E7:E8"/>
    <mergeCell ref="G7:G8"/>
    <mergeCell ref="H7:H8"/>
  </mergeCells>
  <printOptions horizontalCentered="1"/>
  <pageMargins left="0.7480314960629921" right="0.1968503937007874" top="0.5905511811023623" bottom="0.3937007874015748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S56"/>
  <sheetViews>
    <sheetView zoomScale="75" zoomScaleNormal="75" zoomScaleSheetLayoutView="75" workbookViewId="0" topLeftCell="A1">
      <pane xSplit="3" ySplit="11" topLeftCell="D27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Col="1"/>
  <cols>
    <col min="1" max="1" width="6.8515625" style="1" customWidth="1"/>
    <col min="2" max="2" width="31.7109375" style="1" customWidth="1"/>
    <col min="3" max="3" width="10.7109375" style="1" customWidth="1"/>
    <col min="4" max="6" width="10.7109375" style="1" hidden="1" customWidth="1"/>
    <col min="7" max="7" width="11.57421875" style="1" hidden="1" customWidth="1"/>
    <col min="8" max="8" width="12.00390625" style="1" hidden="1" customWidth="1" outlineLevel="1"/>
    <col min="9" max="9" width="11.140625" style="1" hidden="1" customWidth="1" outlineLevel="1"/>
    <col min="10" max="10" width="11.8515625" style="1" hidden="1" customWidth="1" outlineLevel="1"/>
    <col min="11" max="11" width="11.8515625" style="1" hidden="1" customWidth="1" collapsed="1"/>
    <col min="12" max="12" width="12.00390625" style="1" hidden="1" customWidth="1" outlineLevel="1"/>
    <col min="13" max="13" width="11.140625" style="1" hidden="1" customWidth="1" outlineLevel="1"/>
    <col min="14" max="14" width="11.8515625" style="1" hidden="1" customWidth="1" outlineLevel="1"/>
    <col min="15" max="15" width="11.8515625" style="1" customWidth="1" collapsed="1"/>
    <col min="16" max="16" width="12.00390625" style="1" hidden="1" customWidth="1" outlineLevel="1"/>
    <col min="17" max="17" width="11.140625" style="1" hidden="1" customWidth="1" outlineLevel="1"/>
    <col min="18" max="18" width="11.8515625" style="1" hidden="1" customWidth="1" outlineLevel="1"/>
    <col min="19" max="19" width="11.8515625" style="1" customWidth="1" collapsed="1"/>
    <col min="20" max="20" width="12.00390625" style="1" customWidth="1" outlineLevel="1"/>
    <col min="21" max="21" width="11.140625" style="1" customWidth="1" outlineLevel="1"/>
    <col min="22" max="22" width="11.8515625" style="1" customWidth="1" outlineLevel="1"/>
    <col min="23" max="23" width="11.00390625" style="1" customWidth="1" outlineLevel="1"/>
    <col min="24" max="25" width="10.8515625" style="1" customWidth="1" outlineLevel="1"/>
    <col min="26" max="26" width="11.28125" style="1" customWidth="1" outlineLevel="1"/>
    <col min="27" max="28" width="10.8515625" style="1" customWidth="1" outlineLevel="1"/>
    <col min="29" max="29" width="11.28125" style="1" customWidth="1"/>
    <col min="30" max="31" width="10.8515625" style="1" customWidth="1"/>
    <col min="32" max="16384" width="9.140625" style="1" customWidth="1"/>
  </cols>
  <sheetData>
    <row r="1" spans="1:31" ht="15" customHeight="1">
      <c r="A1" s="52" t="s">
        <v>701</v>
      </c>
      <c r="B1" s="52"/>
      <c r="C1" s="52"/>
      <c r="D1" s="52"/>
      <c r="E1" s="52"/>
      <c r="F1" s="52"/>
      <c r="G1" s="52"/>
      <c r="H1" s="52"/>
      <c r="L1" s="52"/>
      <c r="P1" s="52"/>
      <c r="T1" s="52"/>
      <c r="Y1" s="2" t="s">
        <v>1575</v>
      </c>
      <c r="AB1" s="2"/>
      <c r="AE1" s="2"/>
    </row>
    <row r="2" spans="1:20" ht="12.75">
      <c r="A2" s="52" t="s">
        <v>405</v>
      </c>
      <c r="B2" s="52"/>
      <c r="C2" s="52"/>
      <c r="D2" s="52"/>
      <c r="E2" s="52"/>
      <c r="F2" s="52"/>
      <c r="G2" s="52"/>
      <c r="H2" s="52"/>
      <c r="L2" s="52"/>
      <c r="P2" s="52"/>
      <c r="T2" s="52"/>
    </row>
    <row r="4" spans="1:31" ht="16.5">
      <c r="A4" s="33" t="s">
        <v>1246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7" ht="15">
      <c r="A5" s="674" t="str">
        <f>'[5]4.1'!B6</f>
        <v>Усть-Камчатское муниципальное образование</v>
      </c>
      <c r="B5" s="627"/>
      <c r="C5" s="627"/>
      <c r="D5" s="627"/>
      <c r="E5" s="627"/>
      <c r="F5" s="627"/>
      <c r="G5" s="627"/>
    </row>
    <row r="6" spans="1:43" ht="34.5" customHeight="1" thickBot="1">
      <c r="A6" s="2069" t="s">
        <v>1662</v>
      </c>
      <c r="B6" s="2073" t="s">
        <v>1670</v>
      </c>
      <c r="C6" s="2057" t="s">
        <v>908</v>
      </c>
      <c r="D6" s="2045" t="s">
        <v>883</v>
      </c>
      <c r="E6" s="2046"/>
      <c r="F6" s="2046"/>
      <c r="G6" s="2299"/>
      <c r="H6" s="2302" t="s">
        <v>884</v>
      </c>
      <c r="I6" s="2303"/>
      <c r="J6" s="2303"/>
      <c r="K6" s="2304"/>
      <c r="L6" s="2045" t="s">
        <v>964</v>
      </c>
      <c r="M6" s="2046"/>
      <c r="N6" s="2046"/>
      <c r="O6" s="2299"/>
      <c r="P6" s="2311" t="s">
        <v>965</v>
      </c>
      <c r="Q6" s="2312"/>
      <c r="R6" s="2312"/>
      <c r="S6" s="2313"/>
      <c r="T6" s="2308" t="s">
        <v>979</v>
      </c>
      <c r="U6" s="2309"/>
      <c r="V6" s="2309"/>
      <c r="W6" s="2309"/>
      <c r="X6" s="2309"/>
      <c r="Y6" s="2309"/>
      <c r="Z6" s="2309"/>
      <c r="AA6" s="2309"/>
      <c r="AB6" s="2309"/>
      <c r="AC6" s="2309"/>
      <c r="AD6" s="2309"/>
      <c r="AE6" s="2310"/>
      <c r="AF6" s="2286" t="s">
        <v>980</v>
      </c>
      <c r="AG6" s="2287"/>
      <c r="AH6" s="2287"/>
      <c r="AI6" s="2287"/>
      <c r="AJ6" s="2287"/>
      <c r="AK6" s="2287"/>
      <c r="AL6" s="2287"/>
      <c r="AM6" s="2287"/>
      <c r="AN6" s="2287"/>
      <c r="AO6" s="2287"/>
      <c r="AP6" s="2287"/>
      <c r="AQ6" s="2288"/>
    </row>
    <row r="7" spans="1:43" ht="30.75" customHeight="1">
      <c r="A7" s="2070"/>
      <c r="B7" s="2064"/>
      <c r="C7" s="2057"/>
      <c r="D7" s="1488" t="s">
        <v>1206</v>
      </c>
      <c r="E7" s="1488" t="s">
        <v>1207</v>
      </c>
      <c r="F7" s="1489" t="s">
        <v>1208</v>
      </c>
      <c r="G7" s="1490" t="s">
        <v>1209</v>
      </c>
      <c r="H7" s="1491" t="s">
        <v>1206</v>
      </c>
      <c r="I7" s="1488" t="s">
        <v>1207</v>
      </c>
      <c r="J7" s="1489" t="s">
        <v>1208</v>
      </c>
      <c r="K7" s="1490" t="s">
        <v>1209</v>
      </c>
      <c r="L7" s="1488" t="s">
        <v>1206</v>
      </c>
      <c r="M7" s="1488" t="s">
        <v>1207</v>
      </c>
      <c r="N7" s="1647" t="s">
        <v>1208</v>
      </c>
      <c r="O7" s="1490" t="s">
        <v>1209</v>
      </c>
      <c r="P7" s="1667" t="s">
        <v>1206</v>
      </c>
      <c r="Q7" s="1668" t="s">
        <v>1207</v>
      </c>
      <c r="R7" s="1669" t="s">
        <v>1208</v>
      </c>
      <c r="S7" s="1670" t="s">
        <v>1209</v>
      </c>
      <c r="T7" s="2300" t="s">
        <v>1206</v>
      </c>
      <c r="U7" s="2300"/>
      <c r="V7" s="2301"/>
      <c r="W7" s="2314" t="s">
        <v>1207</v>
      </c>
      <c r="X7" s="2300"/>
      <c r="Y7" s="2301"/>
      <c r="Z7" s="2314" t="s">
        <v>1208</v>
      </c>
      <c r="AA7" s="2300"/>
      <c r="AB7" s="2315"/>
      <c r="AC7" s="2296" t="s">
        <v>885</v>
      </c>
      <c r="AD7" s="2297"/>
      <c r="AE7" s="2298"/>
      <c r="AF7" s="2289" t="s">
        <v>1206</v>
      </c>
      <c r="AG7" s="2290"/>
      <c r="AH7" s="2291"/>
      <c r="AI7" s="2292" t="s">
        <v>1207</v>
      </c>
      <c r="AJ7" s="2290"/>
      <c r="AK7" s="2291"/>
      <c r="AL7" s="2292" t="s">
        <v>1208</v>
      </c>
      <c r="AM7" s="2290"/>
      <c r="AN7" s="2290"/>
      <c r="AO7" s="2293" t="s">
        <v>885</v>
      </c>
      <c r="AP7" s="2294"/>
      <c r="AQ7" s="2295"/>
    </row>
    <row r="8" spans="1:43" ht="27" customHeight="1">
      <c r="A8" s="2048"/>
      <c r="B8" s="2065"/>
      <c r="C8" s="2057"/>
      <c r="D8" s="1488" t="s">
        <v>1210</v>
      </c>
      <c r="E8" s="1488" t="s">
        <v>1210</v>
      </c>
      <c r="F8" s="1489" t="s">
        <v>1210</v>
      </c>
      <c r="G8" s="1493" t="s">
        <v>1210</v>
      </c>
      <c r="H8" s="1491" t="s">
        <v>1210</v>
      </c>
      <c r="I8" s="1488" t="s">
        <v>1210</v>
      </c>
      <c r="J8" s="1489" t="s">
        <v>1210</v>
      </c>
      <c r="K8" s="1493" t="s">
        <v>1210</v>
      </c>
      <c r="L8" s="1488" t="s">
        <v>1210</v>
      </c>
      <c r="M8" s="1488" t="s">
        <v>1210</v>
      </c>
      <c r="N8" s="1647" t="s">
        <v>1210</v>
      </c>
      <c r="O8" s="1493" t="s">
        <v>1210</v>
      </c>
      <c r="P8" s="1667" t="s">
        <v>1210</v>
      </c>
      <c r="Q8" s="1668" t="s">
        <v>1210</v>
      </c>
      <c r="R8" s="1669" t="s">
        <v>1210</v>
      </c>
      <c r="S8" s="1671" t="s">
        <v>1210</v>
      </c>
      <c r="T8" s="1492" t="s">
        <v>1210</v>
      </c>
      <c r="U8" s="1494" t="s">
        <v>271</v>
      </c>
      <c r="V8" s="1494" t="s">
        <v>272</v>
      </c>
      <c r="W8" s="1494" t="s">
        <v>1210</v>
      </c>
      <c r="X8" s="1494" t="s">
        <v>271</v>
      </c>
      <c r="Y8" s="1494" t="s">
        <v>272</v>
      </c>
      <c r="Z8" s="1494" t="s">
        <v>1210</v>
      </c>
      <c r="AA8" s="1494" t="s">
        <v>271</v>
      </c>
      <c r="AB8" s="1871" t="s">
        <v>272</v>
      </c>
      <c r="AC8" s="1495" t="s">
        <v>1210</v>
      </c>
      <c r="AD8" s="1494" t="s">
        <v>271</v>
      </c>
      <c r="AE8" s="1496" t="s">
        <v>272</v>
      </c>
      <c r="AF8" s="1884" t="s">
        <v>1210</v>
      </c>
      <c r="AG8" s="1771" t="s">
        <v>271</v>
      </c>
      <c r="AH8" s="1771" t="s">
        <v>272</v>
      </c>
      <c r="AI8" s="1771" t="s">
        <v>1210</v>
      </c>
      <c r="AJ8" s="1771" t="s">
        <v>271</v>
      </c>
      <c r="AK8" s="1771" t="s">
        <v>272</v>
      </c>
      <c r="AL8" s="1771" t="s">
        <v>1210</v>
      </c>
      <c r="AM8" s="1771" t="s">
        <v>271</v>
      </c>
      <c r="AN8" s="1770" t="s">
        <v>272</v>
      </c>
      <c r="AO8" s="1772" t="s">
        <v>1210</v>
      </c>
      <c r="AP8" s="1771" t="s">
        <v>271</v>
      </c>
      <c r="AQ8" s="1773" t="s">
        <v>272</v>
      </c>
    </row>
    <row r="9" spans="1:43" ht="12.75">
      <c r="A9" s="43">
        <v>1</v>
      </c>
      <c r="B9" s="49">
        <v>2</v>
      </c>
      <c r="C9" s="43">
        <v>3</v>
      </c>
      <c r="D9" s="49"/>
      <c r="E9" s="49"/>
      <c r="F9" s="49"/>
      <c r="G9" s="1497"/>
      <c r="H9" s="49">
        <v>4</v>
      </c>
      <c r="I9" s="43">
        <v>5</v>
      </c>
      <c r="J9" s="50">
        <v>6</v>
      </c>
      <c r="K9" s="1498">
        <v>7</v>
      </c>
      <c r="L9" s="49">
        <v>8</v>
      </c>
      <c r="M9" s="43">
        <v>9</v>
      </c>
      <c r="N9" s="1134">
        <v>10</v>
      </c>
      <c r="O9" s="1498">
        <v>11</v>
      </c>
      <c r="P9" s="1672">
        <v>12</v>
      </c>
      <c r="Q9" s="1673">
        <v>13</v>
      </c>
      <c r="R9" s="1674">
        <v>14</v>
      </c>
      <c r="S9" s="1675">
        <v>15</v>
      </c>
      <c r="T9" s="1450">
        <v>16</v>
      </c>
      <c r="U9" s="536">
        <v>17</v>
      </c>
      <c r="V9" s="66">
        <v>18</v>
      </c>
      <c r="W9" s="66">
        <v>19</v>
      </c>
      <c r="X9" s="66">
        <v>20</v>
      </c>
      <c r="Y9" s="1450">
        <v>21</v>
      </c>
      <c r="Z9" s="536">
        <v>22</v>
      </c>
      <c r="AA9" s="66">
        <v>23</v>
      </c>
      <c r="AB9" s="1872">
        <v>24</v>
      </c>
      <c r="AC9" s="1499">
        <v>25</v>
      </c>
      <c r="AD9" s="66">
        <v>26</v>
      </c>
      <c r="AE9" s="1500">
        <v>27</v>
      </c>
      <c r="AF9" s="1885">
        <v>16</v>
      </c>
      <c r="AG9" s="1775">
        <v>17</v>
      </c>
      <c r="AH9" s="1776">
        <v>18</v>
      </c>
      <c r="AI9" s="1776">
        <v>19</v>
      </c>
      <c r="AJ9" s="1776">
        <v>20</v>
      </c>
      <c r="AK9" s="1774">
        <v>21</v>
      </c>
      <c r="AL9" s="1775">
        <v>22</v>
      </c>
      <c r="AM9" s="1776">
        <v>23</v>
      </c>
      <c r="AN9" s="1777">
        <v>24</v>
      </c>
      <c r="AO9" s="1778">
        <v>25</v>
      </c>
      <c r="AP9" s="1776">
        <v>26</v>
      </c>
      <c r="AQ9" s="1779">
        <v>27</v>
      </c>
    </row>
    <row r="10" spans="1:43" ht="12.75" hidden="1">
      <c r="A10" s="68" t="s">
        <v>1663</v>
      </c>
      <c r="B10" s="629" t="s">
        <v>1577</v>
      </c>
      <c r="C10" s="1501" t="s">
        <v>1578</v>
      </c>
      <c r="D10" s="1501"/>
      <c r="E10" s="1501"/>
      <c r="F10" s="1502"/>
      <c r="G10" s="1503"/>
      <c r="H10" s="1504"/>
      <c r="I10" s="643"/>
      <c r="J10" s="1505"/>
      <c r="K10" s="1506"/>
      <c r="L10" s="1507"/>
      <c r="M10" s="1507"/>
      <c r="N10" s="1648"/>
      <c r="O10" s="1506"/>
      <c r="P10" s="1676">
        <v>0</v>
      </c>
      <c r="Q10" s="1677">
        <v>0</v>
      </c>
      <c r="R10" s="1678">
        <v>0</v>
      </c>
      <c r="S10" s="1679">
        <f>SUM(P10:R10)</f>
        <v>0</v>
      </c>
      <c r="T10" s="1509">
        <f>$P$10</f>
        <v>0</v>
      </c>
      <c r="U10" s="1509">
        <f>$P$10</f>
        <v>0</v>
      </c>
      <c r="V10" s="1509">
        <f>$P$10</f>
        <v>0</v>
      </c>
      <c r="W10" s="1507">
        <f>$Q$10</f>
        <v>0</v>
      </c>
      <c r="X10" s="1507">
        <f>$Q$10</f>
        <v>0</v>
      </c>
      <c r="Y10" s="1507">
        <f>$Q$10</f>
        <v>0</v>
      </c>
      <c r="Z10" s="1507">
        <f>$R$10</f>
        <v>0</v>
      </c>
      <c r="AA10" s="1507">
        <f>Z10</f>
        <v>0</v>
      </c>
      <c r="AB10" s="1648">
        <f>Z10</f>
        <v>0</v>
      </c>
      <c r="AC10" s="1510">
        <f aca="true" t="shared" si="0" ref="AC10:AE11">SUM(T10,W10,Z10)</f>
        <v>0</v>
      </c>
      <c r="AD10" s="1507">
        <f t="shared" si="0"/>
        <v>0</v>
      </c>
      <c r="AE10" s="1511">
        <f t="shared" si="0"/>
        <v>0</v>
      </c>
      <c r="AF10" s="1886">
        <f>$P$10</f>
        <v>0</v>
      </c>
      <c r="AG10" s="1780">
        <f>$P$10</f>
        <v>0</v>
      </c>
      <c r="AH10" s="1780">
        <f>$P$10</f>
        <v>0</v>
      </c>
      <c r="AI10" s="1781">
        <f>$Q$10</f>
        <v>0</v>
      </c>
      <c r="AJ10" s="1781">
        <f>$Q$10</f>
        <v>0</v>
      </c>
      <c r="AK10" s="1781">
        <f>$Q$10</f>
        <v>0</v>
      </c>
      <c r="AL10" s="1781">
        <f>$R$10</f>
        <v>0</v>
      </c>
      <c r="AM10" s="1781">
        <f>AL10</f>
        <v>0</v>
      </c>
      <c r="AN10" s="1782">
        <f>AL10</f>
        <v>0</v>
      </c>
      <c r="AO10" s="1783">
        <f>SUM(AF10,AI10,AL10)</f>
        <v>0</v>
      </c>
      <c r="AP10" s="1781">
        <f>SUM(AG10,AJ10,AM10)</f>
        <v>0</v>
      </c>
      <c r="AQ10" s="1784">
        <f>SUM(AH10,AK10,AN10)</f>
        <v>0</v>
      </c>
    </row>
    <row r="11" spans="1:44" s="1522" customFormat="1" ht="26.25">
      <c r="A11" s="1512" t="s">
        <v>233</v>
      </c>
      <c r="B11" s="1513" t="s">
        <v>1585</v>
      </c>
      <c r="C11" s="1514" t="s">
        <v>1578</v>
      </c>
      <c r="D11" s="1514"/>
      <c r="E11" s="1514"/>
      <c r="F11" s="1515"/>
      <c r="G11" s="1516">
        <v>8.5</v>
      </c>
      <c r="H11" s="1517">
        <v>4</v>
      </c>
      <c r="I11" s="1518">
        <v>2.5</v>
      </c>
      <c r="J11" s="1519">
        <v>2</v>
      </c>
      <c r="K11" s="1520">
        <f>SUM(H11:J11)</f>
        <v>8.5</v>
      </c>
      <c r="L11" s="1521">
        <v>4</v>
      </c>
      <c r="M11" s="1518">
        <v>2.5</v>
      </c>
      <c r="N11" s="1649">
        <v>2</v>
      </c>
      <c r="O11" s="1904">
        <v>8</v>
      </c>
      <c r="P11" s="1905">
        <f>L11</f>
        <v>4</v>
      </c>
      <c r="Q11" s="1906">
        <v>2.5</v>
      </c>
      <c r="R11" s="1769">
        <v>2</v>
      </c>
      <c r="S11" s="1907">
        <f>SUM(P11:R11)</f>
        <v>8.5</v>
      </c>
      <c r="T11" s="1908">
        <f>(U11+V11)/2</f>
        <v>4</v>
      </c>
      <c r="U11" s="1908">
        <v>4</v>
      </c>
      <c r="V11" s="1908">
        <v>4</v>
      </c>
      <c r="W11" s="1909">
        <f>(X11+Y11)/2</f>
        <v>2.5</v>
      </c>
      <c r="X11" s="604">
        <v>2.5</v>
      </c>
      <c r="Y11" s="604">
        <v>2.5</v>
      </c>
      <c r="Z11" s="1908">
        <f>(AA11+AB11)/2</f>
        <v>2</v>
      </c>
      <c r="AA11" s="604">
        <v>2</v>
      </c>
      <c r="AB11" s="1452">
        <v>2</v>
      </c>
      <c r="AC11" s="1736">
        <f t="shared" si="0"/>
        <v>8.5</v>
      </c>
      <c r="AD11" s="1735">
        <f t="shared" si="0"/>
        <v>8.5</v>
      </c>
      <c r="AE11" s="1910">
        <f t="shared" si="0"/>
        <v>8.5</v>
      </c>
      <c r="AF11" s="1887">
        <f>(AG11+AH11)/2</f>
        <v>4</v>
      </c>
      <c r="AG11" s="1785">
        <v>4</v>
      </c>
      <c r="AH11" s="1785">
        <v>4</v>
      </c>
      <c r="AI11" s="1786">
        <f>(AJ11+AK11)/2</f>
        <v>2.5</v>
      </c>
      <c r="AJ11" s="1787">
        <v>2.5</v>
      </c>
      <c r="AK11" s="1787">
        <v>2.5</v>
      </c>
      <c r="AL11" s="1786">
        <v>1.5</v>
      </c>
      <c r="AM11" s="1786">
        <v>1.5</v>
      </c>
      <c r="AN11" s="1786">
        <v>1.5</v>
      </c>
      <c r="AO11" s="1788">
        <f>AF11+AI11+AL11</f>
        <v>8</v>
      </c>
      <c r="AP11" s="1789">
        <f>AG11+AJ11+AM11</f>
        <v>8</v>
      </c>
      <c r="AQ11" s="1790">
        <f>AH11+AK11+AN11</f>
        <v>8</v>
      </c>
      <c r="AR11" s="1522" t="s">
        <v>886</v>
      </c>
    </row>
    <row r="12" spans="1:43" s="1532" customFormat="1" ht="12.75" customHeight="1" hidden="1">
      <c r="A12" s="1523" t="s">
        <v>887</v>
      </c>
      <c r="B12" s="1524" t="s">
        <v>888</v>
      </c>
      <c r="C12" s="1525" t="s">
        <v>1578</v>
      </c>
      <c r="D12" s="1525"/>
      <c r="E12" s="1525"/>
      <c r="F12" s="1526"/>
      <c r="G12" s="1527"/>
      <c r="H12" s="1528"/>
      <c r="I12" s="1529"/>
      <c r="J12" s="1530"/>
      <c r="K12" s="1531"/>
      <c r="L12" s="1529"/>
      <c r="M12" s="1529"/>
      <c r="N12" s="1650"/>
      <c r="O12" s="1911"/>
      <c r="P12" s="1912">
        <v>0</v>
      </c>
      <c r="Q12" s="1913"/>
      <c r="R12" s="1768"/>
      <c r="S12" s="1914">
        <f>SUM(P12:R12)</f>
        <v>0</v>
      </c>
      <c r="T12" s="1915">
        <v>0</v>
      </c>
      <c r="U12" s="1915">
        <v>0</v>
      </c>
      <c r="V12" s="1915">
        <v>0</v>
      </c>
      <c r="W12" s="1916"/>
      <c r="X12" s="1916"/>
      <c r="Y12" s="1916"/>
      <c r="Z12" s="1916"/>
      <c r="AA12" s="1916"/>
      <c r="AB12" s="1917"/>
      <c r="AC12" s="1739">
        <f>SUM(T12,W12)</f>
        <v>0</v>
      </c>
      <c r="AD12" s="1740">
        <f>SUM(U12,X12)</f>
        <v>0</v>
      </c>
      <c r="AE12" s="1918">
        <f>SUM(V12,Y12)</f>
        <v>0</v>
      </c>
      <c r="AF12" s="1888">
        <v>0</v>
      </c>
      <c r="AG12" s="1791">
        <v>0</v>
      </c>
      <c r="AH12" s="1791">
        <v>0</v>
      </c>
      <c r="AI12" s="1792"/>
      <c r="AJ12" s="1792"/>
      <c r="AK12" s="1792"/>
      <c r="AL12" s="1792"/>
      <c r="AM12" s="1792"/>
      <c r="AN12" s="1793"/>
      <c r="AO12" s="1794">
        <f>SUM(AF12,AI12)</f>
        <v>0</v>
      </c>
      <c r="AP12" s="1795">
        <f>SUM(AG12,AJ12)</f>
        <v>0</v>
      </c>
      <c r="AQ12" s="1796">
        <f>SUM(AH12,AK12)</f>
        <v>0</v>
      </c>
    </row>
    <row r="13" spans="1:43" ht="12.75">
      <c r="A13" s="633" t="s">
        <v>1664</v>
      </c>
      <c r="B13" s="634" t="s">
        <v>1586</v>
      </c>
      <c r="C13" s="652"/>
      <c r="D13" s="652"/>
      <c r="E13" s="652"/>
      <c r="F13" s="635"/>
      <c r="G13" s="1533"/>
      <c r="H13" s="638"/>
      <c r="I13" s="637"/>
      <c r="J13" s="636"/>
      <c r="K13" s="1534"/>
      <c r="L13" s="637"/>
      <c r="M13" s="637"/>
      <c r="N13" s="1651"/>
      <c r="O13" s="1589"/>
      <c r="P13" s="1692"/>
      <c r="Q13" s="1693"/>
      <c r="R13" s="1694"/>
      <c r="S13" s="1695"/>
      <c r="T13" s="1570"/>
      <c r="U13" s="632"/>
      <c r="V13" s="632"/>
      <c r="W13" s="632"/>
      <c r="X13" s="632"/>
      <c r="Y13" s="632"/>
      <c r="Z13" s="632"/>
      <c r="AA13" s="632"/>
      <c r="AB13" s="1875"/>
      <c r="AC13" s="1572"/>
      <c r="AD13" s="632"/>
      <c r="AE13" s="1573"/>
      <c r="AF13" s="1889"/>
      <c r="AG13" s="1797"/>
      <c r="AH13" s="1797"/>
      <c r="AI13" s="1797"/>
      <c r="AJ13" s="1797"/>
      <c r="AK13" s="1797"/>
      <c r="AL13" s="1797"/>
      <c r="AM13" s="1797"/>
      <c r="AN13" s="1798"/>
      <c r="AO13" s="1799"/>
      <c r="AP13" s="1797"/>
      <c r="AQ13" s="1800"/>
    </row>
    <row r="14" spans="1:43" ht="26.25">
      <c r="A14" s="68" t="s">
        <v>1665</v>
      </c>
      <c r="B14" s="629" t="s">
        <v>560</v>
      </c>
      <c r="C14" s="66" t="s">
        <v>561</v>
      </c>
      <c r="D14" s="66"/>
      <c r="E14" s="66"/>
      <c r="F14" s="531"/>
      <c r="G14" s="1535">
        <v>4590</v>
      </c>
      <c r="H14" s="1536"/>
      <c r="I14" s="1537"/>
      <c r="J14" s="1537"/>
      <c r="K14" s="1537"/>
      <c r="L14" s="1537">
        <v>4590</v>
      </c>
      <c r="M14" s="1537">
        <v>4590</v>
      </c>
      <c r="N14" s="1652">
        <v>4590</v>
      </c>
      <c r="O14" s="1926">
        <v>7860</v>
      </c>
      <c r="P14" s="1715">
        <v>4590</v>
      </c>
      <c r="Q14" s="1716">
        <v>4590</v>
      </c>
      <c r="R14" s="1716">
        <v>4590</v>
      </c>
      <c r="S14" s="1718">
        <v>7860</v>
      </c>
      <c r="T14" s="672">
        <f>(U14+V14)/2</f>
        <v>7860</v>
      </c>
      <c r="U14" s="656">
        <v>7860</v>
      </c>
      <c r="V14" s="656">
        <v>7860</v>
      </c>
      <c r="W14" s="656">
        <f>(X14+Y14)/2</f>
        <v>7860</v>
      </c>
      <c r="X14" s="656">
        <v>7860</v>
      </c>
      <c r="Y14" s="656">
        <v>7860</v>
      </c>
      <c r="Z14" s="656">
        <f>(AA14+AB14)/2</f>
        <v>7860</v>
      </c>
      <c r="AA14" s="656">
        <v>7860</v>
      </c>
      <c r="AB14" s="1927">
        <v>7860</v>
      </c>
      <c r="AC14" s="1928">
        <f>(AD14+AE14)/2</f>
        <v>7860</v>
      </c>
      <c r="AD14" s="656">
        <v>7860</v>
      </c>
      <c r="AE14" s="1929">
        <v>7860</v>
      </c>
      <c r="AF14" s="1890">
        <v>7860</v>
      </c>
      <c r="AG14" s="1801">
        <v>7860</v>
      </c>
      <c r="AH14" s="1801">
        <v>7860</v>
      </c>
      <c r="AI14" s="1801">
        <v>7860</v>
      </c>
      <c r="AJ14" s="1801">
        <v>7860</v>
      </c>
      <c r="AK14" s="1801">
        <v>7860</v>
      </c>
      <c r="AL14" s="1801">
        <v>7860</v>
      </c>
      <c r="AM14" s="1801">
        <v>7860</v>
      </c>
      <c r="AN14" s="1802">
        <v>7860</v>
      </c>
      <c r="AO14" s="1803">
        <v>7860</v>
      </c>
      <c r="AP14" s="1801">
        <v>7860</v>
      </c>
      <c r="AQ14" s="1804">
        <v>7860</v>
      </c>
    </row>
    <row r="15" spans="1:43" s="1522" customFormat="1" ht="12.75">
      <c r="A15" s="1543" t="s">
        <v>1665</v>
      </c>
      <c r="B15" s="1544" t="s">
        <v>562</v>
      </c>
      <c r="C15" s="1545"/>
      <c r="D15" s="1545"/>
      <c r="E15" s="1545"/>
      <c r="F15" s="1546"/>
      <c r="G15" s="1547">
        <v>1.056</v>
      </c>
      <c r="H15" s="1548"/>
      <c r="I15" s="311"/>
      <c r="J15" s="311"/>
      <c r="K15" s="311"/>
      <c r="L15" s="311">
        <v>1.056</v>
      </c>
      <c r="M15" s="311">
        <v>1.056</v>
      </c>
      <c r="N15" s="1653">
        <v>1.056</v>
      </c>
      <c r="O15" s="1919">
        <v>1.074</v>
      </c>
      <c r="P15" s="1920">
        <v>1.056</v>
      </c>
      <c r="Q15" s="1921">
        <v>1.056</v>
      </c>
      <c r="R15" s="1921">
        <v>1.056</v>
      </c>
      <c r="S15" s="1922">
        <v>1.074</v>
      </c>
      <c r="T15" s="1923">
        <f>(U15+V15)/2</f>
        <v>1.058</v>
      </c>
      <c r="U15" s="91">
        <v>1.058</v>
      </c>
      <c r="V15" s="91">
        <v>1.058</v>
      </c>
      <c r="W15" s="1923">
        <f>(X15+Y15)/2</f>
        <v>1.058</v>
      </c>
      <c r="X15" s="91">
        <v>1.058</v>
      </c>
      <c r="Y15" s="91">
        <v>1.058</v>
      </c>
      <c r="Z15" s="1923">
        <f>(AA15+AB15)/2</f>
        <v>1.058</v>
      </c>
      <c r="AA15" s="91">
        <v>1.058</v>
      </c>
      <c r="AB15" s="1924">
        <v>1.058</v>
      </c>
      <c r="AC15" s="1742">
        <f>(AD15+AE15)/2</f>
        <v>1.058</v>
      </c>
      <c r="AD15" s="91">
        <v>1.058</v>
      </c>
      <c r="AE15" s="1925">
        <v>1.058</v>
      </c>
      <c r="AF15" s="1891">
        <v>1.074</v>
      </c>
      <c r="AG15" s="1805">
        <v>1.074</v>
      </c>
      <c r="AH15" s="1805">
        <v>1.074</v>
      </c>
      <c r="AI15" s="1805">
        <v>1.074</v>
      </c>
      <c r="AJ15" s="1805">
        <v>1.074</v>
      </c>
      <c r="AK15" s="1805">
        <v>1.074</v>
      </c>
      <c r="AL15" s="1805">
        <v>1.074</v>
      </c>
      <c r="AM15" s="1805">
        <v>1.074</v>
      </c>
      <c r="AN15" s="1806">
        <v>1.074</v>
      </c>
      <c r="AO15" s="1807">
        <v>1.074</v>
      </c>
      <c r="AP15" s="1805">
        <v>1.074</v>
      </c>
      <c r="AQ15" s="1808">
        <v>1.074</v>
      </c>
    </row>
    <row r="16" spans="1:43" ht="26.25">
      <c r="A16" s="68" t="s">
        <v>1695</v>
      </c>
      <c r="B16" s="629" t="s">
        <v>563</v>
      </c>
      <c r="C16" s="66" t="s">
        <v>561</v>
      </c>
      <c r="D16" s="66"/>
      <c r="E16" s="66"/>
      <c r="F16" s="531"/>
      <c r="G16" s="1549">
        <f>G14*G15</f>
        <v>4847.04</v>
      </c>
      <c r="H16" s="641"/>
      <c r="I16" s="654"/>
      <c r="J16" s="653"/>
      <c r="K16" s="1549">
        <v>4847</v>
      </c>
      <c r="L16" s="640">
        <f aca="true" t="shared" si="1" ref="L16:AQ16">L14*L15</f>
        <v>4847.04</v>
      </c>
      <c r="M16" s="654">
        <f t="shared" si="1"/>
        <v>4847.04</v>
      </c>
      <c r="N16" s="1654">
        <f t="shared" si="1"/>
        <v>4847.04</v>
      </c>
      <c r="O16" s="1549">
        <f t="shared" si="1"/>
        <v>8441.640000000001</v>
      </c>
      <c r="P16" s="1683">
        <f t="shared" si="1"/>
        <v>4847.04</v>
      </c>
      <c r="Q16" s="1684">
        <f t="shared" si="1"/>
        <v>4847.04</v>
      </c>
      <c r="R16" s="1685">
        <f t="shared" si="1"/>
        <v>4847.04</v>
      </c>
      <c r="S16" s="1686">
        <f t="shared" si="1"/>
        <v>8441.640000000001</v>
      </c>
      <c r="T16" s="641">
        <f t="shared" si="1"/>
        <v>8315.880000000001</v>
      </c>
      <c r="U16" s="640">
        <f t="shared" si="1"/>
        <v>8315.880000000001</v>
      </c>
      <c r="V16" s="640">
        <f t="shared" si="1"/>
        <v>8315.880000000001</v>
      </c>
      <c r="W16" s="640">
        <f t="shared" si="1"/>
        <v>8315.880000000001</v>
      </c>
      <c r="X16" s="640">
        <f t="shared" si="1"/>
        <v>8315.880000000001</v>
      </c>
      <c r="Y16" s="640">
        <f t="shared" si="1"/>
        <v>8315.880000000001</v>
      </c>
      <c r="Z16" s="640">
        <f t="shared" si="1"/>
        <v>8315.880000000001</v>
      </c>
      <c r="AA16" s="640">
        <f t="shared" si="1"/>
        <v>8315.880000000001</v>
      </c>
      <c r="AB16" s="1657">
        <f t="shared" si="1"/>
        <v>8315.880000000001</v>
      </c>
      <c r="AC16" s="1550">
        <v>8316</v>
      </c>
      <c r="AD16" s="640">
        <v>8316</v>
      </c>
      <c r="AE16" s="1551">
        <v>8316</v>
      </c>
      <c r="AF16" s="1892">
        <f t="shared" si="1"/>
        <v>8441.640000000001</v>
      </c>
      <c r="AG16" s="1809">
        <f t="shared" si="1"/>
        <v>8441.640000000001</v>
      </c>
      <c r="AH16" s="1809">
        <f t="shared" si="1"/>
        <v>8441.640000000001</v>
      </c>
      <c r="AI16" s="1809">
        <f t="shared" si="1"/>
        <v>8441.640000000001</v>
      </c>
      <c r="AJ16" s="1809">
        <f t="shared" si="1"/>
        <v>8441.640000000001</v>
      </c>
      <c r="AK16" s="1809">
        <f t="shared" si="1"/>
        <v>8441.640000000001</v>
      </c>
      <c r="AL16" s="1809">
        <f t="shared" si="1"/>
        <v>8441.640000000001</v>
      </c>
      <c r="AM16" s="1809">
        <f t="shared" si="1"/>
        <v>8441.640000000001</v>
      </c>
      <c r="AN16" s="1810">
        <f t="shared" si="1"/>
        <v>8441.640000000001</v>
      </c>
      <c r="AO16" s="1811">
        <f t="shared" si="1"/>
        <v>8441.640000000001</v>
      </c>
      <c r="AP16" s="1812">
        <f t="shared" si="1"/>
        <v>8441.640000000001</v>
      </c>
      <c r="AQ16" s="1813">
        <f t="shared" si="1"/>
        <v>8441.640000000001</v>
      </c>
    </row>
    <row r="17" spans="1:43" ht="12.75">
      <c r="A17" s="68" t="s">
        <v>1657</v>
      </c>
      <c r="B17" s="629" t="s">
        <v>564</v>
      </c>
      <c r="C17" s="66"/>
      <c r="D17" s="66"/>
      <c r="E17" s="66"/>
      <c r="F17" s="531"/>
      <c r="G17" s="1552">
        <v>6.18</v>
      </c>
      <c r="H17" s="1553"/>
      <c r="I17" s="1554"/>
      <c r="J17" s="1555"/>
      <c r="K17" s="1556"/>
      <c r="L17" s="1554">
        <v>4</v>
      </c>
      <c r="M17" s="1554">
        <v>5</v>
      </c>
      <c r="N17" s="1655">
        <v>12</v>
      </c>
      <c r="O17" s="1557"/>
      <c r="P17" s="1687">
        <v>4</v>
      </c>
      <c r="Q17" s="1688">
        <v>5</v>
      </c>
      <c r="R17" s="1689">
        <v>12</v>
      </c>
      <c r="S17" s="1690">
        <v>5.4</v>
      </c>
      <c r="T17" s="1558">
        <f>(U17+V17)/2</f>
        <v>4</v>
      </c>
      <c r="U17" s="1559">
        <v>4</v>
      </c>
      <c r="V17" s="1559">
        <v>4</v>
      </c>
      <c r="W17" s="1558">
        <f>(X17+Y17)/2</f>
        <v>5</v>
      </c>
      <c r="X17" s="1559">
        <v>5</v>
      </c>
      <c r="Y17" s="1559">
        <v>5</v>
      </c>
      <c r="Z17" s="1558">
        <f>(AA17+AB17)/2</f>
        <v>13</v>
      </c>
      <c r="AA17" s="1560">
        <v>13</v>
      </c>
      <c r="AB17" s="1873">
        <v>13</v>
      </c>
      <c r="AC17" s="1561">
        <f aca="true" t="shared" si="2" ref="AC17:AE19">(T17*T$11+W17*W$11+Z17*Z$11)/AC$11</f>
        <v>6.411764705882353</v>
      </c>
      <c r="AD17" s="1883">
        <f t="shared" si="2"/>
        <v>6.411764705882353</v>
      </c>
      <c r="AE17" s="1562">
        <f t="shared" si="2"/>
        <v>6.411764705882353</v>
      </c>
      <c r="AF17" s="1893"/>
      <c r="AG17" s="1815"/>
      <c r="AH17" s="1815"/>
      <c r="AI17" s="1814"/>
      <c r="AJ17" s="1815"/>
      <c r="AK17" s="1815"/>
      <c r="AL17" s="1814"/>
      <c r="AM17" s="1816"/>
      <c r="AN17" s="1817"/>
      <c r="AO17" s="1818"/>
      <c r="AP17" s="1816"/>
      <c r="AQ17" s="1819"/>
    </row>
    <row r="18" spans="1:43" ht="39">
      <c r="A18" s="68" t="s">
        <v>79</v>
      </c>
      <c r="B18" s="629" t="s">
        <v>565</v>
      </c>
      <c r="C18" s="66"/>
      <c r="D18" s="66"/>
      <c r="E18" s="66"/>
      <c r="F18" s="531"/>
      <c r="G18" s="1552">
        <v>1.74</v>
      </c>
      <c r="H18" s="1553"/>
      <c r="I18" s="1554"/>
      <c r="J18" s="1555"/>
      <c r="K18" s="1556">
        <v>1.74</v>
      </c>
      <c r="L18" s="1554">
        <v>1.36</v>
      </c>
      <c r="M18" s="1554">
        <v>1.51</v>
      </c>
      <c r="N18" s="1655">
        <v>2.8</v>
      </c>
      <c r="O18" s="1557"/>
      <c r="P18" s="1687">
        <v>1.36</v>
      </c>
      <c r="Q18" s="1688">
        <v>1.51</v>
      </c>
      <c r="R18" s="1689">
        <v>2.8</v>
      </c>
      <c r="S18" s="1690">
        <f>(P18*P$11+Q18*Q$11+R18*R$11)/S$11</f>
        <v>1.7429411764705882</v>
      </c>
      <c r="T18" s="1558">
        <f>(U18+V18)/2</f>
        <v>1.36</v>
      </c>
      <c r="U18" s="1559">
        <v>1.36</v>
      </c>
      <c r="V18" s="1559">
        <v>1.36</v>
      </c>
      <c r="W18" s="1558">
        <f>(X18+Y18)/2</f>
        <v>1.51</v>
      </c>
      <c r="X18" s="1560">
        <v>1.51</v>
      </c>
      <c r="Y18" s="1560">
        <v>1.51</v>
      </c>
      <c r="Z18" s="1558">
        <f>(AA18+AB18)/2</f>
        <v>3.12</v>
      </c>
      <c r="AA18" s="1560">
        <v>3.12</v>
      </c>
      <c r="AB18" s="1873">
        <v>3.12</v>
      </c>
      <c r="AC18" s="1930">
        <f t="shared" si="2"/>
        <v>1.8182352941176472</v>
      </c>
      <c r="AD18" s="1560">
        <f t="shared" si="2"/>
        <v>1.8182352941176472</v>
      </c>
      <c r="AE18" s="1932">
        <f>(V18*V$11+Y18*Y$11+AB18*AB$11)/AE$11</f>
        <v>1.8182352941176472</v>
      </c>
      <c r="AF18" s="1893"/>
      <c r="AG18" s="1815"/>
      <c r="AH18" s="1815"/>
      <c r="AI18" s="1814"/>
      <c r="AJ18" s="1816"/>
      <c r="AK18" s="1816"/>
      <c r="AL18" s="1814"/>
      <c r="AM18" s="1820"/>
      <c r="AN18" s="1821"/>
      <c r="AO18" s="1818"/>
      <c r="AP18" s="1816"/>
      <c r="AQ18" s="1819"/>
    </row>
    <row r="19" spans="1:43" ht="12.75">
      <c r="A19" s="68"/>
      <c r="B19" s="629" t="s">
        <v>1614</v>
      </c>
      <c r="C19" s="66"/>
      <c r="D19" s="66"/>
      <c r="E19" s="66"/>
      <c r="F19" s="531"/>
      <c r="G19" s="1552">
        <v>1.2</v>
      </c>
      <c r="H19" s="1563"/>
      <c r="I19" s="1564"/>
      <c r="J19" s="1565"/>
      <c r="K19" s="1566">
        <v>1.2</v>
      </c>
      <c r="L19" s="1564">
        <v>1.2</v>
      </c>
      <c r="M19" s="1564">
        <v>1.2</v>
      </c>
      <c r="N19" s="1656">
        <v>1.2</v>
      </c>
      <c r="O19" s="1567"/>
      <c r="P19" s="1676">
        <v>1.2</v>
      </c>
      <c r="Q19" s="1677">
        <v>1.2</v>
      </c>
      <c r="R19" s="1677">
        <v>1.2</v>
      </c>
      <c r="S19" s="1691">
        <v>1</v>
      </c>
      <c r="T19" s="1568">
        <f>(U19+V19)/2</f>
        <v>1</v>
      </c>
      <c r="U19" s="1569">
        <v>1</v>
      </c>
      <c r="V19" s="1569">
        <v>1</v>
      </c>
      <c r="W19" s="1568">
        <f>(X19+Y19)/2</f>
        <v>1</v>
      </c>
      <c r="X19" s="1569">
        <v>1</v>
      </c>
      <c r="Y19" s="1569">
        <v>1</v>
      </c>
      <c r="Z19" s="1568">
        <v>1</v>
      </c>
      <c r="AA19" s="1569">
        <v>1</v>
      </c>
      <c r="AB19" s="1874">
        <v>1</v>
      </c>
      <c r="AC19" s="1879">
        <f t="shared" si="2"/>
        <v>1</v>
      </c>
      <c r="AD19" s="1508">
        <f t="shared" si="2"/>
        <v>1</v>
      </c>
      <c r="AE19" s="1881">
        <f t="shared" si="2"/>
        <v>1</v>
      </c>
      <c r="AF19" s="1894"/>
      <c r="AG19" s="1822"/>
      <c r="AH19" s="1822"/>
      <c r="AI19" s="1822"/>
      <c r="AJ19" s="1822"/>
      <c r="AK19" s="1822"/>
      <c r="AL19" s="1822"/>
      <c r="AM19" s="1822"/>
      <c r="AN19" s="1823"/>
      <c r="AO19" s="1824"/>
      <c r="AP19" s="1825"/>
      <c r="AQ19" s="1826"/>
    </row>
    <row r="20" spans="1:43" ht="26.25">
      <c r="A20" s="68" t="s">
        <v>81</v>
      </c>
      <c r="B20" s="629" t="s">
        <v>1615</v>
      </c>
      <c r="C20" s="66" t="s">
        <v>561</v>
      </c>
      <c r="D20" s="66"/>
      <c r="E20" s="66"/>
      <c r="F20" s="531"/>
      <c r="G20" s="1549">
        <v>10138</v>
      </c>
      <c r="H20" s="641"/>
      <c r="I20" s="640"/>
      <c r="J20" s="640"/>
      <c r="K20" s="640">
        <f>K16*K18*K19</f>
        <v>10120.536</v>
      </c>
      <c r="L20" s="640">
        <f>L16*L18*L19</f>
        <v>7910.36928</v>
      </c>
      <c r="M20" s="640">
        <f>M16*M18*M19</f>
        <v>8782.83648</v>
      </c>
      <c r="N20" s="1657">
        <f>N16*N18*N19</f>
        <v>16286.054399999999</v>
      </c>
      <c r="O20" s="1666"/>
      <c r="P20" s="1683">
        <f aca="true" t="shared" si="3" ref="P20:AB20">P16*P18*P19</f>
        <v>7910.36928</v>
      </c>
      <c r="Q20" s="1684">
        <f t="shared" si="3"/>
        <v>8782.83648</v>
      </c>
      <c r="R20" s="1684">
        <f t="shared" si="3"/>
        <v>16286.054399999999</v>
      </c>
      <c r="S20" s="1684">
        <f t="shared" si="3"/>
        <v>14713.281952941179</v>
      </c>
      <c r="T20" s="640">
        <f>T16*T18*T19</f>
        <v>11309.596800000003</v>
      </c>
      <c r="U20" s="640">
        <f t="shared" si="3"/>
        <v>11309.596800000003</v>
      </c>
      <c r="V20" s="640">
        <f t="shared" si="3"/>
        <v>11309.596800000003</v>
      </c>
      <c r="W20" s="640">
        <f t="shared" si="3"/>
        <v>12556.9788</v>
      </c>
      <c r="X20" s="640">
        <f t="shared" si="3"/>
        <v>12556.9788</v>
      </c>
      <c r="Y20" s="640">
        <f t="shared" si="3"/>
        <v>12556.9788</v>
      </c>
      <c r="Z20" s="640">
        <f t="shared" si="3"/>
        <v>25945.545600000005</v>
      </c>
      <c r="AA20" s="640">
        <f t="shared" si="3"/>
        <v>25945.545600000005</v>
      </c>
      <c r="AB20" s="1657">
        <f t="shared" si="3"/>
        <v>25945.545600000005</v>
      </c>
      <c r="AC20" s="1880">
        <v>14469.63</v>
      </c>
      <c r="AD20" s="640">
        <v>14469.63</v>
      </c>
      <c r="AE20" s="1882">
        <v>14469.63</v>
      </c>
      <c r="AF20" s="1892"/>
      <c r="AG20" s="1812"/>
      <c r="AH20" s="1812"/>
      <c r="AI20" s="1812"/>
      <c r="AJ20" s="1812"/>
      <c r="AK20" s="1812"/>
      <c r="AL20" s="1812"/>
      <c r="AM20" s="1812"/>
      <c r="AN20" s="1827"/>
      <c r="AO20" s="1811"/>
      <c r="AP20" s="1812"/>
      <c r="AQ20" s="1813"/>
    </row>
    <row r="21" spans="1:43" ht="39">
      <c r="A21" s="68" t="s">
        <v>83</v>
      </c>
      <c r="B21" s="629" t="s">
        <v>1616</v>
      </c>
      <c r="C21" s="66"/>
      <c r="D21" s="66"/>
      <c r="E21" s="66"/>
      <c r="F21" s="531"/>
      <c r="G21" s="1535"/>
      <c r="H21" s="1570"/>
      <c r="I21" s="631"/>
      <c r="J21" s="647"/>
      <c r="K21" s="1571"/>
      <c r="L21" s="632"/>
      <c r="M21" s="631"/>
      <c r="N21" s="1658"/>
      <c r="O21" s="1571"/>
      <c r="P21" s="1692"/>
      <c r="Q21" s="1693"/>
      <c r="R21" s="1694"/>
      <c r="S21" s="1695"/>
      <c r="T21" s="1570"/>
      <c r="U21" s="632"/>
      <c r="V21" s="632"/>
      <c r="W21" s="632"/>
      <c r="X21" s="632"/>
      <c r="Y21" s="632"/>
      <c r="Z21" s="632"/>
      <c r="AA21" s="632"/>
      <c r="AB21" s="1875"/>
      <c r="AC21" s="1931"/>
      <c r="AD21" s="632"/>
      <c r="AE21" s="1933"/>
      <c r="AF21" s="1895"/>
      <c r="AG21" s="1828"/>
      <c r="AH21" s="1828"/>
      <c r="AI21" s="1828"/>
      <c r="AJ21" s="1828"/>
      <c r="AK21" s="1828"/>
      <c r="AL21" s="1828"/>
      <c r="AM21" s="1828"/>
      <c r="AN21" s="1829"/>
      <c r="AO21" s="1830"/>
      <c r="AP21" s="1828"/>
      <c r="AQ21" s="1831"/>
    </row>
    <row r="22" spans="1:43" ht="12.75">
      <c r="A22" s="68"/>
      <c r="B22" s="642" t="s">
        <v>1617</v>
      </c>
      <c r="C22" s="66" t="s">
        <v>427</v>
      </c>
      <c r="D22" s="66"/>
      <c r="E22" s="66"/>
      <c r="F22" s="531"/>
      <c r="G22" s="1535">
        <v>21</v>
      </c>
      <c r="H22" s="1536"/>
      <c r="I22" s="1537"/>
      <c r="J22" s="1537"/>
      <c r="K22" s="1574">
        <v>21</v>
      </c>
      <c r="L22" s="1537">
        <v>33</v>
      </c>
      <c r="M22" s="1537">
        <v>33</v>
      </c>
      <c r="N22" s="1652">
        <v>0</v>
      </c>
      <c r="O22" s="1575"/>
      <c r="P22" s="1696">
        <v>33</v>
      </c>
      <c r="Q22" s="1697">
        <v>33</v>
      </c>
      <c r="R22" s="1698">
        <v>0</v>
      </c>
      <c r="S22" s="1699">
        <v>25</v>
      </c>
      <c r="T22" s="1539">
        <f>(U22+V22)/2</f>
        <v>33</v>
      </c>
      <c r="U22" s="1576">
        <v>33</v>
      </c>
      <c r="V22" s="1576">
        <v>33</v>
      </c>
      <c r="W22" s="1539">
        <f>(X22+Y22)/2</f>
        <v>33</v>
      </c>
      <c r="X22" s="1577">
        <v>33</v>
      </c>
      <c r="Y22" s="1577">
        <v>33</v>
      </c>
      <c r="Z22" s="1577">
        <v>0</v>
      </c>
      <c r="AA22" s="1577">
        <v>0</v>
      </c>
      <c r="AB22" s="1876">
        <v>0</v>
      </c>
      <c r="AC22" s="1578">
        <f>AC23/AC$20*100</f>
        <v>20.560853632136865</v>
      </c>
      <c r="AD22" s="1934">
        <f>AD23/AD$20*100</f>
        <v>20.560853632136865</v>
      </c>
      <c r="AE22" s="1579">
        <f>AE23/AE$20*100</f>
        <v>20.560853632136865</v>
      </c>
      <c r="AF22" s="1890"/>
      <c r="AG22" s="1801"/>
      <c r="AH22" s="1801"/>
      <c r="AI22" s="1801"/>
      <c r="AJ22" s="1801"/>
      <c r="AK22" s="1801"/>
      <c r="AL22" s="1832"/>
      <c r="AM22" s="1832"/>
      <c r="AN22" s="1833"/>
      <c r="AO22" s="1834"/>
      <c r="AP22" s="1832"/>
      <c r="AQ22" s="1835"/>
    </row>
    <row r="23" spans="1:43" ht="12.75">
      <c r="A23" s="68"/>
      <c r="B23" s="642" t="s">
        <v>1618</v>
      </c>
      <c r="C23" s="66" t="s">
        <v>561</v>
      </c>
      <c r="D23" s="66"/>
      <c r="E23" s="66"/>
      <c r="F23" s="531"/>
      <c r="G23" s="1535">
        <v>2081</v>
      </c>
      <c r="H23" s="1536"/>
      <c r="I23" s="1537"/>
      <c r="J23" s="1537"/>
      <c r="K23" s="1580">
        <f>K20*K22/100</f>
        <v>2125.31256</v>
      </c>
      <c r="L23" s="607">
        <f>L20*L22/100</f>
        <v>2610.4218624</v>
      </c>
      <c r="M23" s="598">
        <f>M20*M22/100</f>
        <v>2898.3360384</v>
      </c>
      <c r="N23" s="1659">
        <f>N20*N22/100</f>
        <v>0</v>
      </c>
      <c r="O23" s="1581"/>
      <c r="P23" s="1700">
        <f aca="true" t="shared" si="4" ref="P23:AB23">P20*P22/100</f>
        <v>2610.4218624</v>
      </c>
      <c r="Q23" s="1701">
        <f t="shared" si="4"/>
        <v>2898.3360384</v>
      </c>
      <c r="R23" s="1702">
        <f t="shared" si="4"/>
        <v>0</v>
      </c>
      <c r="S23" s="1703">
        <f t="shared" si="4"/>
        <v>3678.320488235295</v>
      </c>
      <c r="T23" s="1581">
        <f>T20*T22/100</f>
        <v>3732.166944000001</v>
      </c>
      <c r="U23" s="607">
        <f>U20*U22/100</f>
        <v>3732.166944000001</v>
      </c>
      <c r="V23" s="607">
        <f t="shared" si="4"/>
        <v>3732.166944000001</v>
      </c>
      <c r="W23" s="607">
        <f t="shared" si="4"/>
        <v>4143.803004</v>
      </c>
      <c r="X23" s="607">
        <f t="shared" si="4"/>
        <v>4143.803004</v>
      </c>
      <c r="Y23" s="607">
        <f t="shared" si="4"/>
        <v>4143.803004</v>
      </c>
      <c r="Z23" s="607">
        <f t="shared" si="4"/>
        <v>0</v>
      </c>
      <c r="AA23" s="607">
        <f t="shared" si="4"/>
        <v>0</v>
      </c>
      <c r="AB23" s="1660">
        <f t="shared" si="4"/>
        <v>0</v>
      </c>
      <c r="AC23" s="1582">
        <f>(T23*T$11+W23*W$11+Z23*Z$11)/AC$11</f>
        <v>2975.0794454117654</v>
      </c>
      <c r="AD23" s="644">
        <f>(U23*U$11+X23*X$11+AA23*AA$11)/AD$11</f>
        <v>2975.0794454117654</v>
      </c>
      <c r="AE23" s="1583">
        <f>(V23*V$11+Y23*Y$11+AB23*AB$11)/AE$11</f>
        <v>2975.0794454117654</v>
      </c>
      <c r="AF23" s="1896"/>
      <c r="AG23" s="1836"/>
      <c r="AH23" s="1836"/>
      <c r="AI23" s="1836"/>
      <c r="AJ23" s="1836"/>
      <c r="AK23" s="1836"/>
      <c r="AL23" s="1836"/>
      <c r="AM23" s="1836"/>
      <c r="AN23" s="1837"/>
      <c r="AO23" s="1838"/>
      <c r="AP23" s="1839"/>
      <c r="AQ23" s="1840"/>
    </row>
    <row r="24" spans="1:43" ht="12.75">
      <c r="A24" s="68" t="s">
        <v>85</v>
      </c>
      <c r="B24" s="629" t="s">
        <v>1619</v>
      </c>
      <c r="C24" s="66"/>
      <c r="D24" s="66"/>
      <c r="E24" s="66"/>
      <c r="F24" s="531"/>
      <c r="G24" s="1535"/>
      <c r="H24" s="1536"/>
      <c r="I24" s="1537"/>
      <c r="J24" s="1537"/>
      <c r="K24" s="1584"/>
      <c r="L24" s="32"/>
      <c r="M24" s="4"/>
      <c r="N24" s="1251"/>
      <c r="O24" s="1584"/>
      <c r="P24" s="1704"/>
      <c r="Q24" s="1705"/>
      <c r="R24" s="1706"/>
      <c r="S24" s="1707"/>
      <c r="T24" s="1581"/>
      <c r="U24" s="32"/>
      <c r="V24" s="32"/>
      <c r="W24" s="32"/>
      <c r="X24" s="32"/>
      <c r="Y24" s="32"/>
      <c r="Z24" s="32"/>
      <c r="AA24" s="32"/>
      <c r="AB24" s="1877"/>
      <c r="AC24" s="1585"/>
      <c r="AD24" s="32"/>
      <c r="AE24" s="1586"/>
      <c r="AF24" s="1896"/>
      <c r="AG24" s="520"/>
      <c r="AH24" s="520"/>
      <c r="AI24" s="520"/>
      <c r="AJ24" s="520"/>
      <c r="AK24" s="520"/>
      <c r="AL24" s="520"/>
      <c r="AM24" s="520"/>
      <c r="AN24" s="529"/>
      <c r="AO24" s="1841"/>
      <c r="AP24" s="520"/>
      <c r="AQ24" s="1842"/>
    </row>
    <row r="25" spans="1:43" ht="12.75">
      <c r="A25" s="68"/>
      <c r="B25" s="642" t="s">
        <v>1617</v>
      </c>
      <c r="C25" s="66" t="s">
        <v>427</v>
      </c>
      <c r="D25" s="66"/>
      <c r="E25" s="66"/>
      <c r="F25" s="531"/>
      <c r="G25" s="1535">
        <v>30</v>
      </c>
      <c r="H25" s="1536"/>
      <c r="I25" s="1537"/>
      <c r="J25" s="1537"/>
      <c r="K25" s="1580">
        <v>30</v>
      </c>
      <c r="L25" s="1537">
        <v>30</v>
      </c>
      <c r="M25" s="1537">
        <v>30</v>
      </c>
      <c r="N25" s="1652">
        <v>30</v>
      </c>
      <c r="O25" s="1538"/>
      <c r="P25" s="1696">
        <v>30</v>
      </c>
      <c r="Q25" s="1697">
        <v>30</v>
      </c>
      <c r="R25" s="1697">
        <v>30</v>
      </c>
      <c r="S25" s="1682">
        <v>30</v>
      </c>
      <c r="T25" s="1539">
        <f>(U25+V25)/2</f>
        <v>30</v>
      </c>
      <c r="U25" s="1587">
        <v>30</v>
      </c>
      <c r="V25" s="1587">
        <v>30</v>
      </c>
      <c r="W25" s="1539">
        <f>(X25+Y25)/2</f>
        <v>30</v>
      </c>
      <c r="X25" s="1587">
        <v>30</v>
      </c>
      <c r="Y25" s="1587">
        <v>30</v>
      </c>
      <c r="Z25" s="1539">
        <f>(AA25+AB25)/2</f>
        <v>30</v>
      </c>
      <c r="AA25" s="1577">
        <v>30</v>
      </c>
      <c r="AB25" s="1876">
        <v>30</v>
      </c>
      <c r="AC25" s="1541">
        <v>30</v>
      </c>
      <c r="AD25" s="1540">
        <v>30</v>
      </c>
      <c r="AE25" s="1542">
        <v>30</v>
      </c>
      <c r="AF25" s="1890"/>
      <c r="AG25" s="1801"/>
      <c r="AH25" s="1801"/>
      <c r="AI25" s="1801"/>
      <c r="AJ25" s="1801"/>
      <c r="AK25" s="1801"/>
      <c r="AL25" s="1801"/>
      <c r="AM25" s="1801"/>
      <c r="AN25" s="1802"/>
      <c r="AO25" s="1843"/>
      <c r="AP25" s="1844"/>
      <c r="AQ25" s="1804"/>
    </row>
    <row r="26" spans="1:43" ht="12.75">
      <c r="A26" s="68"/>
      <c r="B26" s="642" t="s">
        <v>1618</v>
      </c>
      <c r="C26" s="66" t="s">
        <v>561</v>
      </c>
      <c r="D26" s="66"/>
      <c r="E26" s="66"/>
      <c r="F26" s="531"/>
      <c r="G26" s="1535">
        <v>3666</v>
      </c>
      <c r="H26" s="1536"/>
      <c r="I26" s="1537"/>
      <c r="J26" s="1537"/>
      <c r="K26" s="1580">
        <f>(K20+K23)*K25/100</f>
        <v>3673.754568</v>
      </c>
      <c r="L26" s="607">
        <f>(L20+L23)*L25/100</f>
        <v>3156.2373427199996</v>
      </c>
      <c r="M26" s="598">
        <f>(M20+M23)*M25/100</f>
        <v>3504.3517555199996</v>
      </c>
      <c r="N26" s="1659">
        <f>(N20+N23)*N25/100</f>
        <v>4885.81632</v>
      </c>
      <c r="O26" s="1581"/>
      <c r="P26" s="1700">
        <f aca="true" t="shared" si="5" ref="P26:AD26">(P20+P23)*P25/100</f>
        <v>3156.2373427199996</v>
      </c>
      <c r="Q26" s="1701">
        <f t="shared" si="5"/>
        <v>3504.3517555199996</v>
      </c>
      <c r="R26" s="1702">
        <f t="shared" si="5"/>
        <v>4885.81632</v>
      </c>
      <c r="S26" s="1703">
        <f t="shared" si="5"/>
        <v>5517.480732352942</v>
      </c>
      <c r="T26" s="1581">
        <f>(T20+T23)*T25/100</f>
        <v>4512.529123200001</v>
      </c>
      <c r="U26" s="607">
        <f t="shared" si="5"/>
        <v>4512.529123200001</v>
      </c>
      <c r="V26" s="607">
        <f t="shared" si="5"/>
        <v>4512.529123200001</v>
      </c>
      <c r="W26" s="607">
        <f t="shared" si="5"/>
        <v>5010.2345412</v>
      </c>
      <c r="X26" s="607">
        <f t="shared" si="5"/>
        <v>5010.2345412</v>
      </c>
      <c r="Y26" s="607">
        <f>(Y20+Y23)*Y25/100</f>
        <v>5010.2345412</v>
      </c>
      <c r="Z26" s="607">
        <f t="shared" si="5"/>
        <v>7783.6636800000015</v>
      </c>
      <c r="AA26" s="607">
        <f t="shared" si="5"/>
        <v>7783.6636800000015</v>
      </c>
      <c r="AB26" s="1660">
        <f>(AB20+AB23)*AB25/100</f>
        <v>7783.6636800000015</v>
      </c>
      <c r="AC26" s="1741">
        <f>(AC20+AC23)*AC25/100</f>
        <v>5233.412833623529</v>
      </c>
      <c r="AD26" s="607">
        <f t="shared" si="5"/>
        <v>5233.412833623529</v>
      </c>
      <c r="AE26" s="1903">
        <f>(AE20+AE23)*AE25/100</f>
        <v>5233.412833623529</v>
      </c>
      <c r="AF26" s="1896"/>
      <c r="AG26" s="1836"/>
      <c r="AH26" s="1836"/>
      <c r="AI26" s="1836"/>
      <c r="AJ26" s="1836"/>
      <c r="AK26" s="1836"/>
      <c r="AL26" s="1836"/>
      <c r="AM26" s="1836"/>
      <c r="AN26" s="1837"/>
      <c r="AO26" s="1838"/>
      <c r="AP26" s="1839"/>
      <c r="AQ26" s="1840"/>
    </row>
    <row r="27" spans="1:43" ht="12.75">
      <c r="A27" s="68" t="s">
        <v>415</v>
      </c>
      <c r="B27" s="629" t="s">
        <v>1620</v>
      </c>
      <c r="C27" s="66"/>
      <c r="D27" s="66"/>
      <c r="E27" s="66"/>
      <c r="F27" s="531"/>
      <c r="G27" s="1535"/>
      <c r="H27" s="1536"/>
      <c r="I27" s="1537"/>
      <c r="J27" s="1537"/>
      <c r="K27" s="1584"/>
      <c r="L27" s="32"/>
      <c r="M27" s="4"/>
      <c r="N27" s="1251"/>
      <c r="O27" s="1584"/>
      <c r="P27" s="1704"/>
      <c r="Q27" s="1705"/>
      <c r="R27" s="1706"/>
      <c r="S27" s="1707"/>
      <c r="T27" s="1258"/>
      <c r="U27" s="32"/>
      <c r="V27" s="32"/>
      <c r="W27" s="32"/>
      <c r="X27" s="32"/>
      <c r="Y27" s="32"/>
      <c r="Z27" s="32"/>
      <c r="AA27" s="32"/>
      <c r="AB27" s="1877"/>
      <c r="AC27" s="1585"/>
      <c r="AD27" s="32"/>
      <c r="AE27" s="1586"/>
      <c r="AF27" s="1897"/>
      <c r="AG27" s="520"/>
      <c r="AH27" s="520"/>
      <c r="AI27" s="520"/>
      <c r="AJ27" s="520"/>
      <c r="AK27" s="520"/>
      <c r="AL27" s="520"/>
      <c r="AM27" s="520"/>
      <c r="AN27" s="529"/>
      <c r="AO27" s="1841"/>
      <c r="AP27" s="520"/>
      <c r="AQ27" s="1842"/>
    </row>
    <row r="28" spans="1:43" ht="12.75">
      <c r="A28" s="68"/>
      <c r="B28" s="642" t="s">
        <v>1617</v>
      </c>
      <c r="C28" s="66" t="s">
        <v>427</v>
      </c>
      <c r="D28" s="66"/>
      <c r="E28" s="66"/>
      <c r="F28" s="531"/>
      <c r="G28" s="1535">
        <v>0</v>
      </c>
      <c r="H28" s="1536"/>
      <c r="I28" s="1537"/>
      <c r="J28" s="1537"/>
      <c r="K28" s="1580">
        <v>0</v>
      </c>
      <c r="L28" s="1537">
        <v>0</v>
      </c>
      <c r="M28" s="1537">
        <v>0</v>
      </c>
      <c r="N28" s="1652">
        <v>0</v>
      </c>
      <c r="O28" s="1538"/>
      <c r="P28" s="1708">
        <v>0</v>
      </c>
      <c r="Q28" s="1698">
        <v>0</v>
      </c>
      <c r="R28" s="1698">
        <v>0</v>
      </c>
      <c r="S28" s="1682">
        <f>S29/(S20+S23)*100</f>
        <v>0</v>
      </c>
      <c r="T28" s="1587">
        <v>0</v>
      </c>
      <c r="U28" s="1587">
        <v>0</v>
      </c>
      <c r="V28" s="1587">
        <v>0</v>
      </c>
      <c r="W28" s="1577">
        <v>0</v>
      </c>
      <c r="X28" s="1577">
        <v>0</v>
      </c>
      <c r="Y28" s="1577">
        <v>0</v>
      </c>
      <c r="Z28" s="1577">
        <v>0</v>
      </c>
      <c r="AA28" s="1577">
        <v>0</v>
      </c>
      <c r="AB28" s="1876">
        <v>0</v>
      </c>
      <c r="AC28" s="1541">
        <f>AC29/(AC20+AC23)*100</f>
        <v>0</v>
      </c>
      <c r="AD28" s="1540">
        <f>AD29/(AD20+AD23)*100</f>
        <v>0</v>
      </c>
      <c r="AE28" s="1542">
        <f>AE29/(AE20+AE23)*100</f>
        <v>0</v>
      </c>
      <c r="AF28" s="1898"/>
      <c r="AG28" s="1846"/>
      <c r="AH28" s="1846"/>
      <c r="AI28" s="1846"/>
      <c r="AJ28" s="1846"/>
      <c r="AK28" s="1846"/>
      <c r="AL28" s="1846"/>
      <c r="AM28" s="1846"/>
      <c r="AN28" s="1847"/>
      <c r="AO28" s="1848"/>
      <c r="AP28" s="1849"/>
      <c r="AQ28" s="1850"/>
    </row>
    <row r="29" spans="1:43" ht="12.75">
      <c r="A29" s="68"/>
      <c r="B29" s="642" t="s">
        <v>1618</v>
      </c>
      <c r="C29" s="66" t="s">
        <v>561</v>
      </c>
      <c r="D29" s="66"/>
      <c r="E29" s="66"/>
      <c r="F29" s="531"/>
      <c r="G29" s="1535">
        <v>0</v>
      </c>
      <c r="H29" s="1536"/>
      <c r="I29" s="1537"/>
      <c r="J29" s="1537"/>
      <c r="K29" s="1580">
        <v>0</v>
      </c>
      <c r="L29" s="607">
        <f>ROUND((L20+L23)*L28/100,0)</f>
        <v>0</v>
      </c>
      <c r="M29" s="598">
        <f>(M20+M23)*M28/100</f>
        <v>0</v>
      </c>
      <c r="N29" s="1660">
        <f>(N20+N23)*N28/100</f>
        <v>0</v>
      </c>
      <c r="O29" s="1580"/>
      <c r="P29" s="1700">
        <f>(P20+P23)*P28/100</f>
        <v>0</v>
      </c>
      <c r="Q29" s="1701">
        <f>(Q20+Q23)*Q28/100</f>
        <v>0</v>
      </c>
      <c r="R29" s="1702">
        <f>(R20+R23)*R28/100</f>
        <v>0</v>
      </c>
      <c r="S29" s="1703">
        <f>(P29*P$11+Q29*Q$11+R29*R$11)/S$11</f>
        <v>0</v>
      </c>
      <c r="T29" s="1581">
        <f aca="true" t="shared" si="6" ref="T29:AB29">(T20+T23)*T28/100</f>
        <v>0</v>
      </c>
      <c r="U29" s="607">
        <f t="shared" si="6"/>
        <v>0</v>
      </c>
      <c r="V29" s="607">
        <f t="shared" si="6"/>
        <v>0</v>
      </c>
      <c r="W29" s="607">
        <f t="shared" si="6"/>
        <v>0</v>
      </c>
      <c r="X29" s="607">
        <f t="shared" si="6"/>
        <v>0</v>
      </c>
      <c r="Y29" s="607">
        <f t="shared" si="6"/>
        <v>0</v>
      </c>
      <c r="Z29" s="607">
        <f t="shared" si="6"/>
        <v>0</v>
      </c>
      <c r="AA29" s="607">
        <f t="shared" si="6"/>
        <v>0</v>
      </c>
      <c r="AB29" s="1660">
        <f t="shared" si="6"/>
        <v>0</v>
      </c>
      <c r="AC29" s="1582">
        <f>(T29*T$11+W29*W$11+Z29*Z$11)/AC$11</f>
        <v>0</v>
      </c>
      <c r="AD29" s="644">
        <f>(U29*U$11+X29*X$11+AA29*AA$11)/AD$11</f>
        <v>0</v>
      </c>
      <c r="AE29" s="1583">
        <f>(V29*V$11+Y29*Y$11+AB29*AB$11)/AE$11</f>
        <v>0</v>
      </c>
      <c r="AF29" s="1898"/>
      <c r="AG29" s="1846"/>
      <c r="AH29" s="1846"/>
      <c r="AI29" s="1846"/>
      <c r="AJ29" s="1846"/>
      <c r="AK29" s="1846"/>
      <c r="AL29" s="1846"/>
      <c r="AM29" s="1846"/>
      <c r="AN29" s="1847"/>
      <c r="AO29" s="1848"/>
      <c r="AP29" s="1849"/>
      <c r="AQ29" s="1850"/>
    </row>
    <row r="30" spans="1:43" ht="12.75">
      <c r="A30" s="68" t="s">
        <v>417</v>
      </c>
      <c r="B30" s="629" t="s">
        <v>1621</v>
      </c>
      <c r="C30" s="645"/>
      <c r="D30" s="645"/>
      <c r="E30" s="645"/>
      <c r="F30" s="1487"/>
      <c r="G30" s="1588"/>
      <c r="H30" s="648"/>
      <c r="I30" s="649"/>
      <c r="J30" s="646"/>
      <c r="K30" s="1589"/>
      <c r="L30" s="649"/>
      <c r="M30" s="649"/>
      <c r="N30" s="1661"/>
      <c r="O30" s="1589"/>
      <c r="P30" s="1709"/>
      <c r="Q30" s="1710"/>
      <c r="R30" s="1711"/>
      <c r="S30" s="1695"/>
      <c r="T30" s="1590"/>
      <c r="U30" s="650"/>
      <c r="V30" s="650"/>
      <c r="W30" s="650"/>
      <c r="X30" s="650"/>
      <c r="Y30" s="650"/>
      <c r="Z30" s="650"/>
      <c r="AA30" s="650"/>
      <c r="AB30" s="1878"/>
      <c r="AC30" s="1572"/>
      <c r="AD30" s="650"/>
      <c r="AE30" s="1591"/>
      <c r="AF30" s="1899"/>
      <c r="AG30" s="1851"/>
      <c r="AH30" s="1851"/>
      <c r="AI30" s="1851"/>
      <c r="AJ30" s="1851"/>
      <c r="AK30" s="1851"/>
      <c r="AL30" s="1851"/>
      <c r="AM30" s="1851"/>
      <c r="AN30" s="1852"/>
      <c r="AO30" s="1830"/>
      <c r="AP30" s="1851"/>
      <c r="AQ30" s="1853"/>
    </row>
    <row r="31" spans="1:43" ht="12.75">
      <c r="A31" s="68"/>
      <c r="B31" s="642" t="s">
        <v>1617</v>
      </c>
      <c r="C31" s="66" t="s">
        <v>427</v>
      </c>
      <c r="D31" s="66"/>
      <c r="E31" s="66"/>
      <c r="F31" s="531"/>
      <c r="G31" s="1535"/>
      <c r="H31" s="532"/>
      <c r="I31" s="4"/>
      <c r="J31" s="5"/>
      <c r="K31" s="1592"/>
      <c r="L31" s="4"/>
      <c r="M31" s="4"/>
      <c r="N31" s="1251"/>
      <c r="O31" s="1592"/>
      <c r="P31" s="1704"/>
      <c r="Q31" s="1705"/>
      <c r="R31" s="1706"/>
      <c r="S31" s="1707"/>
      <c r="T31" s="1258"/>
      <c r="U31" s="32"/>
      <c r="V31" s="32"/>
      <c r="W31" s="32"/>
      <c r="X31" s="32"/>
      <c r="Y31" s="32"/>
      <c r="Z31" s="32"/>
      <c r="AA31" s="32"/>
      <c r="AB31" s="1877"/>
      <c r="AC31" s="1585"/>
      <c r="AD31" s="32"/>
      <c r="AE31" s="1586"/>
      <c r="AF31" s="1897"/>
      <c r="AG31" s="1845"/>
      <c r="AH31" s="1845"/>
      <c r="AI31" s="1845"/>
      <c r="AJ31" s="1845"/>
      <c r="AK31" s="1845"/>
      <c r="AL31" s="1845"/>
      <c r="AM31" s="1845"/>
      <c r="AN31" s="1854"/>
      <c r="AO31" s="1841"/>
      <c r="AP31" s="520"/>
      <c r="AQ31" s="1842"/>
    </row>
    <row r="32" spans="1:43" ht="12.75">
      <c r="A32" s="68"/>
      <c r="B32" s="642" t="s">
        <v>1618</v>
      </c>
      <c r="C32" s="66" t="s">
        <v>561</v>
      </c>
      <c r="D32" s="66"/>
      <c r="E32" s="66"/>
      <c r="F32" s="531"/>
      <c r="G32" s="1535"/>
      <c r="H32" s="532"/>
      <c r="I32" s="4"/>
      <c r="J32" s="5"/>
      <c r="K32" s="1592"/>
      <c r="L32" s="4"/>
      <c r="M32" s="4"/>
      <c r="N32" s="1251"/>
      <c r="O32" s="1592"/>
      <c r="P32" s="1704"/>
      <c r="Q32" s="1705"/>
      <c r="R32" s="1706"/>
      <c r="S32" s="1707"/>
      <c r="T32" s="1258"/>
      <c r="U32" s="32"/>
      <c r="V32" s="32"/>
      <c r="W32" s="32"/>
      <c r="X32" s="32"/>
      <c r="Y32" s="32"/>
      <c r="Z32" s="32"/>
      <c r="AA32" s="32"/>
      <c r="AB32" s="1877"/>
      <c r="AC32" s="1585"/>
      <c r="AD32" s="32"/>
      <c r="AE32" s="1586"/>
      <c r="AF32" s="1897"/>
      <c r="AG32" s="1845"/>
      <c r="AH32" s="1845"/>
      <c r="AI32" s="1845"/>
      <c r="AJ32" s="1845"/>
      <c r="AK32" s="1845"/>
      <c r="AL32" s="1845"/>
      <c r="AM32" s="1845"/>
      <c r="AN32" s="1854"/>
      <c r="AO32" s="1841"/>
      <c r="AP32" s="520"/>
      <c r="AQ32" s="1842"/>
    </row>
    <row r="33" spans="1:43" ht="26.25">
      <c r="A33" s="68" t="s">
        <v>213</v>
      </c>
      <c r="B33" s="629" t="s">
        <v>1622</v>
      </c>
      <c r="C33" s="66"/>
      <c r="D33" s="66"/>
      <c r="E33" s="66"/>
      <c r="F33" s="531"/>
      <c r="G33" s="1535"/>
      <c r="H33" s="1570"/>
      <c r="I33" s="631"/>
      <c r="J33" s="647"/>
      <c r="K33" s="1571"/>
      <c r="L33" s="632"/>
      <c r="M33" s="631"/>
      <c r="N33" s="1658"/>
      <c r="O33" s="1571"/>
      <c r="P33" s="1692"/>
      <c r="Q33" s="1693"/>
      <c r="R33" s="1694"/>
      <c r="S33" s="1695"/>
      <c r="T33" s="1570"/>
      <c r="U33" s="632"/>
      <c r="V33" s="632"/>
      <c r="W33" s="632"/>
      <c r="X33" s="632"/>
      <c r="Y33" s="632"/>
      <c r="Z33" s="632"/>
      <c r="AA33" s="632"/>
      <c r="AB33" s="1875"/>
      <c r="AC33" s="1572"/>
      <c r="AD33" s="632"/>
      <c r="AE33" s="1573"/>
      <c r="AF33" s="1895"/>
      <c r="AG33" s="1828"/>
      <c r="AH33" s="1828"/>
      <c r="AI33" s="1828"/>
      <c r="AJ33" s="1828"/>
      <c r="AK33" s="1828"/>
      <c r="AL33" s="1828"/>
      <c r="AM33" s="1828"/>
      <c r="AN33" s="1829"/>
      <c r="AO33" s="1830"/>
      <c r="AP33" s="1828"/>
      <c r="AQ33" s="1831"/>
    </row>
    <row r="34" spans="1:43" ht="13.5" customHeight="1">
      <c r="A34" s="68"/>
      <c r="B34" s="642" t="s">
        <v>1617</v>
      </c>
      <c r="C34" s="66" t="s">
        <v>427</v>
      </c>
      <c r="D34" s="66"/>
      <c r="E34" s="66"/>
      <c r="F34" s="531"/>
      <c r="G34" s="1535">
        <v>160</v>
      </c>
      <c r="H34" s="1258"/>
      <c r="I34" s="1593"/>
      <c r="J34" s="1594"/>
      <c r="K34" s="1580">
        <v>160</v>
      </c>
      <c r="L34" s="32">
        <v>160</v>
      </c>
      <c r="M34" s="1593">
        <v>160</v>
      </c>
      <c r="N34" s="1662">
        <v>160</v>
      </c>
      <c r="O34" s="1538"/>
      <c r="P34" s="1712">
        <v>160</v>
      </c>
      <c r="Q34" s="1713">
        <v>160</v>
      </c>
      <c r="R34" s="1714">
        <v>160</v>
      </c>
      <c r="S34" s="1682">
        <v>160</v>
      </c>
      <c r="T34" s="1539">
        <f>(U34+V34)/2</f>
        <v>160</v>
      </c>
      <c r="U34" s="1587">
        <v>160</v>
      </c>
      <c r="V34" s="1587">
        <v>160</v>
      </c>
      <c r="W34" s="1539">
        <f>(X34+Y34)/2</f>
        <v>160</v>
      </c>
      <c r="X34" s="1587">
        <v>160</v>
      </c>
      <c r="Y34" s="1587">
        <v>160</v>
      </c>
      <c r="Z34" s="1539">
        <f>(AA34+AB34)/2</f>
        <v>160</v>
      </c>
      <c r="AA34" s="1577">
        <v>160</v>
      </c>
      <c r="AB34" s="1876">
        <v>160</v>
      </c>
      <c r="AC34" s="1596">
        <f>(AD34+AE34)/2</f>
        <v>160</v>
      </c>
      <c r="AD34" s="1540">
        <v>160</v>
      </c>
      <c r="AE34" s="1597">
        <v>160</v>
      </c>
      <c r="AF34" s="1890"/>
      <c r="AG34" s="1801"/>
      <c r="AH34" s="1801"/>
      <c r="AI34" s="1801"/>
      <c r="AJ34" s="1801"/>
      <c r="AK34" s="1801"/>
      <c r="AL34" s="1801"/>
      <c r="AM34" s="1801"/>
      <c r="AN34" s="1802"/>
      <c r="AO34" s="1843"/>
      <c r="AP34" s="1844"/>
      <c r="AQ34" s="1804"/>
    </row>
    <row r="35" spans="1:43" ht="12.75">
      <c r="A35" s="68"/>
      <c r="B35" s="642" t="s">
        <v>1618</v>
      </c>
      <c r="C35" s="66" t="s">
        <v>561</v>
      </c>
      <c r="D35" s="66"/>
      <c r="E35" s="66"/>
      <c r="F35" s="531"/>
      <c r="G35" s="1535">
        <v>25415</v>
      </c>
      <c r="H35" s="1581"/>
      <c r="I35" s="598"/>
      <c r="J35" s="639"/>
      <c r="K35" s="1580">
        <f>(K20+K23+K26)*K34/100</f>
        <v>25471.365004799998</v>
      </c>
      <c r="L35" s="607">
        <f>(L20+L23+L26+L29)*L34/100</f>
        <v>21883.245576192</v>
      </c>
      <c r="M35" s="598">
        <f>(M20+M23+M26+M29)*M34/100</f>
        <v>24296.838838271997</v>
      </c>
      <c r="N35" s="1659">
        <f>(N20+N23+N26+N29)*N34/100</f>
        <v>33874.993152</v>
      </c>
      <c r="O35" s="1581"/>
      <c r="P35" s="1700">
        <f>(P20+P23+P26+P29)*P34/100</f>
        <v>21883.245576192</v>
      </c>
      <c r="Q35" s="1701">
        <f>(Q20+Q23+Q26+Q29)*Q34/100</f>
        <v>24296.838838271997</v>
      </c>
      <c r="R35" s="1702">
        <f>(R20+R23+R26+R29)*R34/100</f>
        <v>33874.993152</v>
      </c>
      <c r="S35" s="1703">
        <f>(S20+S23+S26)*S34/100</f>
        <v>38254.533077647066</v>
      </c>
      <c r="T35" s="1581">
        <f aca="true" t="shared" si="7" ref="T35:AD35">(T20+T23+T26+T29)*T34/100</f>
        <v>31286.86858752001</v>
      </c>
      <c r="U35" s="607">
        <f t="shared" si="7"/>
        <v>31286.86858752001</v>
      </c>
      <c r="V35" s="607">
        <f t="shared" si="7"/>
        <v>31286.86858752001</v>
      </c>
      <c r="W35" s="607">
        <f t="shared" si="7"/>
        <v>34737.62615232</v>
      </c>
      <c r="X35" s="607">
        <f t="shared" si="7"/>
        <v>34737.62615232</v>
      </c>
      <c r="Y35" s="607">
        <f t="shared" si="7"/>
        <v>34737.62615232</v>
      </c>
      <c r="Z35" s="607">
        <f t="shared" si="7"/>
        <v>53966.734848000015</v>
      </c>
      <c r="AA35" s="607">
        <f t="shared" si="7"/>
        <v>53966.734848000015</v>
      </c>
      <c r="AB35" s="1660">
        <f>(AB20+AB23+AB26+AB29)*AB34/100</f>
        <v>53966.734848000015</v>
      </c>
      <c r="AC35" s="1741">
        <f>(AC20+AC23+AC26+AC29)*AC34/100</f>
        <v>36284.99564645647</v>
      </c>
      <c r="AD35" s="607">
        <f t="shared" si="7"/>
        <v>36284.99564645647</v>
      </c>
      <c r="AE35" s="1903">
        <f>(AE20+AE23+AE26+AE29)*AE34/100</f>
        <v>36284.99564645647</v>
      </c>
      <c r="AF35" s="1896"/>
      <c r="AG35" s="1836"/>
      <c r="AH35" s="1836"/>
      <c r="AI35" s="1836"/>
      <c r="AJ35" s="1836"/>
      <c r="AK35" s="1836"/>
      <c r="AL35" s="1836"/>
      <c r="AM35" s="1836"/>
      <c r="AN35" s="1837"/>
      <c r="AO35" s="1838"/>
      <c r="AP35" s="1839"/>
      <c r="AQ35" s="1840"/>
    </row>
    <row r="36" spans="1:44" ht="26.25">
      <c r="A36" s="633" t="s">
        <v>1666</v>
      </c>
      <c r="B36" s="634" t="s">
        <v>1623</v>
      </c>
      <c r="C36" s="652" t="s">
        <v>561</v>
      </c>
      <c r="D36" s="652"/>
      <c r="E36" s="652"/>
      <c r="F36" s="635"/>
      <c r="G36" s="1549">
        <v>41299</v>
      </c>
      <c r="H36" s="641"/>
      <c r="I36" s="654"/>
      <c r="J36" s="653"/>
      <c r="K36" s="1549">
        <f aca="true" t="shared" si="8" ref="K36:AD36">K20+K23+K26+K29+K35+K32</f>
        <v>41390.9681328</v>
      </c>
      <c r="L36" s="640">
        <f t="shared" si="8"/>
        <v>35560.274061312</v>
      </c>
      <c r="M36" s="654">
        <f t="shared" si="8"/>
        <v>39482.363112192</v>
      </c>
      <c r="N36" s="1654">
        <f t="shared" si="8"/>
        <v>55046.863872</v>
      </c>
      <c r="O36" s="1549">
        <v>55691</v>
      </c>
      <c r="P36" s="1683">
        <f t="shared" si="8"/>
        <v>35560.274061312</v>
      </c>
      <c r="Q36" s="1684">
        <f t="shared" si="8"/>
        <v>39482.363112192</v>
      </c>
      <c r="R36" s="1685">
        <f t="shared" si="8"/>
        <v>55046.863872</v>
      </c>
      <c r="S36" s="1686">
        <f t="shared" si="8"/>
        <v>62163.616251176485</v>
      </c>
      <c r="T36" s="641">
        <f t="shared" si="8"/>
        <v>50841.161454720015</v>
      </c>
      <c r="U36" s="640">
        <f t="shared" si="8"/>
        <v>50841.161454720015</v>
      </c>
      <c r="V36" s="640">
        <f t="shared" si="8"/>
        <v>50841.161454720015</v>
      </c>
      <c r="W36" s="640">
        <f t="shared" si="8"/>
        <v>56448.642497520006</v>
      </c>
      <c r="X36" s="640">
        <f t="shared" si="8"/>
        <v>56448.642497520006</v>
      </c>
      <c r="Y36" s="640">
        <f t="shared" si="8"/>
        <v>56448.642497520006</v>
      </c>
      <c r="Z36" s="640">
        <f t="shared" si="8"/>
        <v>87695.94412800003</v>
      </c>
      <c r="AA36" s="640">
        <f t="shared" si="8"/>
        <v>87695.94412800003</v>
      </c>
      <c r="AB36" s="1657">
        <f t="shared" si="8"/>
        <v>87695.94412800003</v>
      </c>
      <c r="AC36" s="1550">
        <f>AC20+AC23+AC26+AC29+AC35+AC32</f>
        <v>58963.117925491766</v>
      </c>
      <c r="AD36" s="640">
        <f t="shared" si="8"/>
        <v>58963.117925491766</v>
      </c>
      <c r="AE36" s="1551">
        <f>AE20+AE23+AE26+AE29+AE35+AE32</f>
        <v>58963.117925491766</v>
      </c>
      <c r="AF36" s="1892"/>
      <c r="AG36" s="1809"/>
      <c r="AH36" s="1809"/>
      <c r="AI36" s="1809"/>
      <c r="AJ36" s="1809"/>
      <c r="AK36" s="1809"/>
      <c r="AL36" s="1809"/>
      <c r="AM36" s="1809"/>
      <c r="AN36" s="1810"/>
      <c r="AO36" s="1811">
        <f>(AF36*AF11+AI36*AI11+AL36*AL11)/AO11</f>
        <v>0</v>
      </c>
      <c r="AP36" s="1812">
        <f>(AG36*AG11+AJ36*AJ11+AM36*AM11)/AP11</f>
        <v>0</v>
      </c>
      <c r="AQ36" s="1813">
        <f>(AH36*AH11+AK36*AK11+AN36*AN11)/AQ11</f>
        <v>0</v>
      </c>
      <c r="AR36" s="1">
        <f>50605*AO15</f>
        <v>54349.770000000004</v>
      </c>
    </row>
    <row r="37" spans="1:43" s="518" customFormat="1" ht="26.25">
      <c r="A37" s="1598" t="s">
        <v>1672</v>
      </c>
      <c r="B37" s="1599" t="s">
        <v>1624</v>
      </c>
      <c r="C37" s="1600"/>
      <c r="D37" s="1600"/>
      <c r="E37" s="1600"/>
      <c r="F37" s="1601"/>
      <c r="G37" s="1602">
        <v>4212</v>
      </c>
      <c r="H37" s="657">
        <f>H11*H36*H41/1000</f>
        <v>0</v>
      </c>
      <c r="I37" s="658">
        <f>I11*I36*I41/1000</f>
        <v>0</v>
      </c>
      <c r="J37" s="655">
        <f>J11*J36*J41/1000</f>
        <v>0</v>
      </c>
      <c r="K37" s="1602">
        <v>4205</v>
      </c>
      <c r="L37" s="658">
        <f aca="true" t="shared" si="9" ref="L37:AD37">L11*L36*L41/1000</f>
        <v>1706.8931549429758</v>
      </c>
      <c r="M37" s="658">
        <f t="shared" si="9"/>
        <v>1184.4708933657598</v>
      </c>
      <c r="N37" s="1663">
        <f t="shared" si="9"/>
        <v>1321.124732928</v>
      </c>
      <c r="O37" s="1602">
        <f t="shared" si="9"/>
        <v>5346.336</v>
      </c>
      <c r="P37" s="1715">
        <f t="shared" si="9"/>
        <v>1706.8931549429758</v>
      </c>
      <c r="Q37" s="1716">
        <f t="shared" si="9"/>
        <v>1184.4708933657598</v>
      </c>
      <c r="R37" s="1717">
        <f t="shared" si="9"/>
        <v>1321.124732928</v>
      </c>
      <c r="S37" s="1718">
        <f t="shared" si="9"/>
        <v>6340.688857620001</v>
      </c>
      <c r="T37" s="657">
        <f t="shared" si="9"/>
        <v>2440.375749826561</v>
      </c>
      <c r="U37" s="658">
        <f t="shared" si="9"/>
        <v>1220.1878749132804</v>
      </c>
      <c r="V37" s="658">
        <f t="shared" si="9"/>
        <v>1220.1878749132804</v>
      </c>
      <c r="W37" s="658">
        <f t="shared" si="9"/>
        <v>1693.4592749256003</v>
      </c>
      <c r="X37" s="658">
        <f t="shared" si="9"/>
        <v>846.7296374628002</v>
      </c>
      <c r="Y37" s="658">
        <f t="shared" si="9"/>
        <v>846.7296374628002</v>
      </c>
      <c r="Z37" s="658">
        <f t="shared" si="9"/>
        <v>2104.7026590720006</v>
      </c>
      <c r="AA37" s="658">
        <f t="shared" si="9"/>
        <v>1052.3513295360003</v>
      </c>
      <c r="AB37" s="1663">
        <f t="shared" si="9"/>
        <v>1052.3513295360003</v>
      </c>
      <c r="AC37" s="1603">
        <f t="shared" si="9"/>
        <v>6014.23802840016</v>
      </c>
      <c r="AD37" s="658">
        <f t="shared" si="9"/>
        <v>3007.11901420008</v>
      </c>
      <c r="AE37" s="1604">
        <f>AE11*AE36*AE41/1000</f>
        <v>3007.11901420008</v>
      </c>
      <c r="AF37" s="1900">
        <f aca="true" t="shared" si="10" ref="AF37:AQ37">AF36*AF11*AF41/1000</f>
        <v>0</v>
      </c>
      <c r="AG37" s="1855">
        <f t="shared" si="10"/>
        <v>0</v>
      </c>
      <c r="AH37" s="1855">
        <f t="shared" si="10"/>
        <v>0</v>
      </c>
      <c r="AI37" s="1855">
        <f t="shared" si="10"/>
        <v>0</v>
      </c>
      <c r="AJ37" s="1855">
        <f t="shared" si="10"/>
        <v>0</v>
      </c>
      <c r="AK37" s="1855">
        <f t="shared" si="10"/>
        <v>0</v>
      </c>
      <c r="AL37" s="1855">
        <f t="shared" si="10"/>
        <v>0</v>
      </c>
      <c r="AM37" s="1855">
        <f t="shared" si="10"/>
        <v>0</v>
      </c>
      <c r="AN37" s="1856">
        <f t="shared" si="10"/>
        <v>0</v>
      </c>
      <c r="AO37" s="1857">
        <f t="shared" si="10"/>
        <v>0</v>
      </c>
      <c r="AP37" s="1858">
        <f t="shared" si="10"/>
        <v>0</v>
      </c>
      <c r="AQ37" s="1859">
        <f t="shared" si="10"/>
        <v>0</v>
      </c>
    </row>
    <row r="38" spans="1:43" ht="12.75">
      <c r="A38" s="68" t="s">
        <v>203</v>
      </c>
      <c r="B38" s="629" t="s">
        <v>1625</v>
      </c>
      <c r="C38" s="66" t="s">
        <v>239</v>
      </c>
      <c r="D38" s="66"/>
      <c r="E38" s="66"/>
      <c r="F38" s="531"/>
      <c r="G38" s="1535">
        <v>73</v>
      </c>
      <c r="H38" s="1536"/>
      <c r="I38" s="1537"/>
      <c r="J38" s="1605"/>
      <c r="K38" s="1538">
        <f>SUM(H38:J38)</f>
        <v>0</v>
      </c>
      <c r="L38" s="1537">
        <v>30</v>
      </c>
      <c r="M38" s="1537">
        <v>43</v>
      </c>
      <c r="N38" s="1652"/>
      <c r="O38" s="1538">
        <v>78</v>
      </c>
      <c r="P38" s="1680">
        <f>L38</f>
        <v>30</v>
      </c>
      <c r="Q38" s="1681">
        <v>43</v>
      </c>
      <c r="R38" s="1719"/>
      <c r="S38" s="1682">
        <v>78</v>
      </c>
      <c r="T38" s="1539">
        <f>SUM(U38:V38)</f>
        <v>0</v>
      </c>
      <c r="U38" s="1540">
        <v>0</v>
      </c>
      <c r="V38" s="1540">
        <v>0</v>
      </c>
      <c r="W38" s="1540">
        <f>SUM(X38:Y38)</f>
        <v>0</v>
      </c>
      <c r="X38" s="1540">
        <v>0</v>
      </c>
      <c r="Y38" s="1540"/>
      <c r="Z38" s="1595">
        <f>SUM(AA38:AB38)</f>
        <v>100</v>
      </c>
      <c r="AA38" s="1595"/>
      <c r="AB38" s="1876">
        <v>100</v>
      </c>
      <c r="AC38" s="1541">
        <f>SUM(T38,W38,Z38)</f>
        <v>100</v>
      </c>
      <c r="AD38" s="1540">
        <f>SUM(U38,X38,AA38)</f>
        <v>0</v>
      </c>
      <c r="AE38" s="1542">
        <f>SUM(V38,Y38,AB38)</f>
        <v>100</v>
      </c>
      <c r="AF38" s="1890"/>
      <c r="AG38" s="1844">
        <v>0</v>
      </c>
      <c r="AH38" s="1844"/>
      <c r="AI38" s="1844">
        <v>0</v>
      </c>
      <c r="AJ38" s="1844"/>
      <c r="AK38" s="1844">
        <v>0</v>
      </c>
      <c r="AL38" s="1849"/>
      <c r="AM38" s="1849"/>
      <c r="AN38" s="1833"/>
      <c r="AO38" s="1843">
        <f>AF38+AI38+AL38</f>
        <v>0</v>
      </c>
      <c r="AP38" s="1844">
        <f>AG38+AJ38+AM38</f>
        <v>0</v>
      </c>
      <c r="AQ38" s="1804">
        <f>AH38+AK38+AN38</f>
        <v>0</v>
      </c>
    </row>
    <row r="39" spans="1:43" ht="52.5">
      <c r="A39" s="68" t="s">
        <v>205</v>
      </c>
      <c r="B39" s="629" t="s">
        <v>1211</v>
      </c>
      <c r="C39" s="66" t="s">
        <v>239</v>
      </c>
      <c r="D39" s="66"/>
      <c r="E39" s="66"/>
      <c r="F39" s="531"/>
      <c r="G39" s="1535"/>
      <c r="H39" s="659"/>
      <c r="I39" s="631"/>
      <c r="J39" s="647"/>
      <c r="K39" s="1589"/>
      <c r="L39" s="631"/>
      <c r="M39" s="631"/>
      <c r="N39" s="1658"/>
      <c r="O39" s="1589"/>
      <c r="P39" s="1692"/>
      <c r="Q39" s="1693"/>
      <c r="R39" s="1694"/>
      <c r="S39" s="1695"/>
      <c r="T39" s="1570"/>
      <c r="U39" s="632"/>
      <c r="V39" s="632"/>
      <c r="W39" s="632"/>
      <c r="X39" s="632"/>
      <c r="Y39" s="632"/>
      <c r="Z39" s="632"/>
      <c r="AA39" s="632"/>
      <c r="AB39" s="1875"/>
      <c r="AC39" s="1572"/>
      <c r="AD39" s="632"/>
      <c r="AE39" s="1573"/>
      <c r="AF39" s="1895"/>
      <c r="AG39" s="1828"/>
      <c r="AH39" s="1828"/>
      <c r="AI39" s="1828"/>
      <c r="AJ39" s="1828"/>
      <c r="AK39" s="1828"/>
      <c r="AL39" s="1828"/>
      <c r="AM39" s="1828"/>
      <c r="AN39" s="1829"/>
      <c r="AO39" s="1830"/>
      <c r="AP39" s="1828"/>
      <c r="AQ39" s="1831"/>
    </row>
    <row r="40" spans="1:43" ht="12.75">
      <c r="A40" s="68" t="s">
        <v>207</v>
      </c>
      <c r="B40" s="629" t="s">
        <v>889</v>
      </c>
      <c r="C40" s="66" t="s">
        <v>239</v>
      </c>
      <c r="D40" s="66"/>
      <c r="E40" s="66"/>
      <c r="F40" s="531"/>
      <c r="G40" s="1535">
        <v>1272</v>
      </c>
      <c r="H40" s="1238"/>
      <c r="I40" s="539"/>
      <c r="J40" s="538"/>
      <c r="K40" s="1606">
        <v>1269</v>
      </c>
      <c r="L40" s="597"/>
      <c r="M40" s="597"/>
      <c r="N40" s="1664"/>
      <c r="O40" s="1606">
        <v>1587</v>
      </c>
      <c r="P40" s="1720"/>
      <c r="Q40" s="1721"/>
      <c r="R40" s="1722"/>
      <c r="S40" s="1723">
        <f>S37*30.2/100</f>
        <v>1914.8880350012403</v>
      </c>
      <c r="T40" s="1607">
        <f>U40+V40</f>
        <v>736.9934764476213</v>
      </c>
      <c r="U40" s="605">
        <f>U37*30.2%</f>
        <v>368.49673822381067</v>
      </c>
      <c r="V40" s="605">
        <f>V37*30.2%</f>
        <v>368.49673822381067</v>
      </c>
      <c r="W40" s="605">
        <f>SUM(X40:Y40)</f>
        <v>511.4247010275313</v>
      </c>
      <c r="X40" s="605">
        <f>X37*30.2%</f>
        <v>255.71235051376564</v>
      </c>
      <c r="Y40" s="605">
        <f>Y37*30.2%</f>
        <v>255.71235051376564</v>
      </c>
      <c r="Z40" s="605">
        <f>AA40+AB40</f>
        <v>635.6202030397442</v>
      </c>
      <c r="AA40" s="662">
        <f>AA37*30.2%</f>
        <v>317.8101015198721</v>
      </c>
      <c r="AB40" s="1665">
        <f>AB37*30.2%</f>
        <v>317.8101015198721</v>
      </c>
      <c r="AC40" s="1608">
        <f>AD40+AE40</f>
        <v>1816.2998845768484</v>
      </c>
      <c r="AD40" s="605">
        <f>AD37*30.2%</f>
        <v>908.1499422884242</v>
      </c>
      <c r="AE40" s="1609">
        <f>AE37*30.2%</f>
        <v>908.1499422884242</v>
      </c>
      <c r="AF40" s="1901">
        <f aca="true" t="shared" si="11" ref="AF40:AK40">ROUND(AF37*0.302,0)</f>
        <v>0</v>
      </c>
      <c r="AG40" s="1860">
        <f t="shared" si="11"/>
        <v>0</v>
      </c>
      <c r="AH40" s="1860">
        <f t="shared" si="11"/>
        <v>0</v>
      </c>
      <c r="AI40" s="1860">
        <f t="shared" si="11"/>
        <v>0</v>
      </c>
      <c r="AJ40" s="1860">
        <f t="shared" si="11"/>
        <v>0</v>
      </c>
      <c r="AK40" s="1860">
        <f t="shared" si="11"/>
        <v>0</v>
      </c>
      <c r="AL40" s="1861">
        <f>AR53</f>
        <v>0</v>
      </c>
      <c r="AM40" s="1862">
        <f>AL40/2</f>
        <v>0</v>
      </c>
      <c r="AN40" s="1863">
        <f>AL40-AM40</f>
        <v>0</v>
      </c>
      <c r="AO40" s="1864">
        <f>AF40+AI40+AL40</f>
        <v>0</v>
      </c>
      <c r="AP40" s="1865">
        <f>AG40+AJ40+AM40</f>
        <v>0</v>
      </c>
      <c r="AQ40" s="1866">
        <f>AH40+AK40+AN40</f>
        <v>0</v>
      </c>
    </row>
    <row r="41" spans="1:43" ht="26.25">
      <c r="A41" s="68"/>
      <c r="B41" s="629" t="s">
        <v>1627</v>
      </c>
      <c r="C41" s="66"/>
      <c r="D41" s="66"/>
      <c r="E41" s="66"/>
      <c r="F41" s="531"/>
      <c r="G41" s="1535">
        <v>12</v>
      </c>
      <c r="H41" s="532">
        <v>12</v>
      </c>
      <c r="I41" s="4">
        <v>12</v>
      </c>
      <c r="J41" s="5">
        <v>12</v>
      </c>
      <c r="K41" s="1592">
        <v>12</v>
      </c>
      <c r="L41" s="4">
        <v>12</v>
      </c>
      <c r="M41" s="4">
        <v>12</v>
      </c>
      <c r="N41" s="1251">
        <v>12</v>
      </c>
      <c r="O41" s="1592">
        <v>12</v>
      </c>
      <c r="P41" s="1704">
        <v>12</v>
      </c>
      <c r="Q41" s="1705">
        <v>12</v>
      </c>
      <c r="R41" s="1706">
        <v>12</v>
      </c>
      <c r="S41" s="1707">
        <v>12</v>
      </c>
      <c r="T41" s="1258">
        <v>12</v>
      </c>
      <c r="U41" s="32">
        <v>6</v>
      </c>
      <c r="V41" s="32">
        <v>6</v>
      </c>
      <c r="W41" s="32">
        <v>12</v>
      </c>
      <c r="X41" s="32">
        <v>6</v>
      </c>
      <c r="Y41" s="32">
        <v>6</v>
      </c>
      <c r="Z41" s="32">
        <v>12</v>
      </c>
      <c r="AA41" s="32">
        <v>6</v>
      </c>
      <c r="AB41" s="1877">
        <v>6</v>
      </c>
      <c r="AC41" s="1585">
        <v>12</v>
      </c>
      <c r="AD41" s="32">
        <v>6</v>
      </c>
      <c r="AE41" s="1586">
        <v>6</v>
      </c>
      <c r="AF41" s="1897">
        <v>12</v>
      </c>
      <c r="AG41" s="520">
        <v>6</v>
      </c>
      <c r="AH41" s="520">
        <v>6</v>
      </c>
      <c r="AI41" s="520">
        <v>12</v>
      </c>
      <c r="AJ41" s="520">
        <v>6</v>
      </c>
      <c r="AK41" s="520">
        <v>6</v>
      </c>
      <c r="AL41" s="520">
        <v>12</v>
      </c>
      <c r="AM41" s="520">
        <v>6</v>
      </c>
      <c r="AN41" s="529">
        <v>6</v>
      </c>
      <c r="AO41" s="1841">
        <v>12</v>
      </c>
      <c r="AP41" s="520">
        <v>6</v>
      </c>
      <c r="AQ41" s="1842">
        <v>6</v>
      </c>
    </row>
    <row r="42" spans="1:43" ht="27" thickBot="1">
      <c r="A42" s="67" t="s">
        <v>214</v>
      </c>
      <c r="B42" s="628" t="s">
        <v>1212</v>
      </c>
      <c r="C42" s="645" t="s">
        <v>239</v>
      </c>
      <c r="D42" s="645"/>
      <c r="E42" s="645"/>
      <c r="F42" s="1487"/>
      <c r="G42" s="1610">
        <v>5557</v>
      </c>
      <c r="H42" s="1607">
        <f aca="true" t="shared" si="12" ref="H42:N42">SUM(H37:H40)</f>
        <v>0</v>
      </c>
      <c r="I42" s="605">
        <f t="shared" si="12"/>
        <v>0</v>
      </c>
      <c r="J42" s="662">
        <f t="shared" si="12"/>
        <v>0</v>
      </c>
      <c r="K42" s="1611">
        <f t="shared" si="12"/>
        <v>5474</v>
      </c>
      <c r="L42" s="605">
        <f t="shared" si="12"/>
        <v>1736.8931549429758</v>
      </c>
      <c r="M42" s="605">
        <f t="shared" si="12"/>
        <v>1227.4708933657598</v>
      </c>
      <c r="N42" s="1665">
        <f t="shared" si="12"/>
        <v>1321.124732928</v>
      </c>
      <c r="O42" s="1611">
        <f>O37+O38</f>
        <v>5424.336</v>
      </c>
      <c r="P42" s="1720">
        <f aca="true" t="shared" si="13" ref="P42:AD42">SUM(P37:P40)</f>
        <v>1736.8931549429758</v>
      </c>
      <c r="Q42" s="1721">
        <f t="shared" si="13"/>
        <v>1227.4708933657598</v>
      </c>
      <c r="R42" s="1722">
        <f t="shared" si="13"/>
        <v>1321.124732928</v>
      </c>
      <c r="S42" s="1951">
        <f>S37+S38</f>
        <v>6418.688857620001</v>
      </c>
      <c r="T42" s="1607">
        <f t="shared" si="13"/>
        <v>3177.3692262741824</v>
      </c>
      <c r="U42" s="605">
        <f t="shared" si="13"/>
        <v>1588.6846131370912</v>
      </c>
      <c r="V42" s="605">
        <f t="shared" si="13"/>
        <v>1588.6846131370912</v>
      </c>
      <c r="W42" s="605">
        <f t="shared" si="13"/>
        <v>2204.8839759531315</v>
      </c>
      <c r="X42" s="605">
        <f t="shared" si="13"/>
        <v>1102.4419879765658</v>
      </c>
      <c r="Y42" s="605">
        <f t="shared" si="13"/>
        <v>1102.4419879765658</v>
      </c>
      <c r="Z42" s="605">
        <f t="shared" si="13"/>
        <v>2840.322862111745</v>
      </c>
      <c r="AA42" s="605">
        <f t="shared" si="13"/>
        <v>1370.1614310558725</v>
      </c>
      <c r="AB42" s="1665">
        <f t="shared" si="13"/>
        <v>1470.1614310558725</v>
      </c>
      <c r="AC42" s="1612">
        <f>SUM(AC37:AC40)</f>
        <v>7930.537912977008</v>
      </c>
      <c r="AD42" s="1613">
        <f t="shared" si="13"/>
        <v>3915.268956488504</v>
      </c>
      <c r="AE42" s="1614">
        <f>SUM(AE37:AE40)</f>
        <v>4015.268956488504</v>
      </c>
      <c r="AF42" s="1902">
        <f aca="true" t="shared" si="14" ref="AF42:AQ42">AF37+AF38</f>
        <v>0</v>
      </c>
      <c r="AG42" s="1861">
        <f t="shared" si="14"/>
        <v>0</v>
      </c>
      <c r="AH42" s="1861">
        <f t="shared" si="14"/>
        <v>0</v>
      </c>
      <c r="AI42" s="1861">
        <f t="shared" si="14"/>
        <v>0</v>
      </c>
      <c r="AJ42" s="1861">
        <f t="shared" si="14"/>
        <v>0</v>
      </c>
      <c r="AK42" s="1861">
        <f t="shared" si="14"/>
        <v>0</v>
      </c>
      <c r="AL42" s="1861">
        <f t="shared" si="14"/>
        <v>0</v>
      </c>
      <c r="AM42" s="1861">
        <f t="shared" si="14"/>
        <v>0</v>
      </c>
      <c r="AN42" s="1867">
        <f t="shared" si="14"/>
        <v>0</v>
      </c>
      <c r="AO42" s="1868">
        <f t="shared" si="14"/>
        <v>0</v>
      </c>
      <c r="AP42" s="1869">
        <f t="shared" si="14"/>
        <v>0</v>
      </c>
      <c r="AQ42" s="1870">
        <f t="shared" si="14"/>
        <v>0</v>
      </c>
    </row>
    <row r="44" spans="29:31" ht="12.75">
      <c r="AC44" s="184"/>
      <c r="AD44" s="184"/>
      <c r="AE44" s="184"/>
    </row>
    <row r="45" spans="2:35" ht="12.75">
      <c r="B45" s="1" t="s">
        <v>1362</v>
      </c>
      <c r="G45" s="1" t="s">
        <v>890</v>
      </c>
      <c r="AC45" s="184"/>
      <c r="AD45" s="184"/>
      <c r="AE45" s="184"/>
      <c r="AI45" s="1" t="s">
        <v>891</v>
      </c>
    </row>
    <row r="46" spans="1:28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ht="12.75">
      <c r="A47" s="667"/>
    </row>
    <row r="48" spans="2:45" ht="15">
      <c r="B48" s="668"/>
      <c r="C48" s="545"/>
      <c r="D48" s="545"/>
      <c r="E48" s="545"/>
      <c r="F48" s="545"/>
      <c r="G48" s="545"/>
      <c r="H48" s="669"/>
      <c r="I48" s="1615"/>
      <c r="J48" s="1615"/>
      <c r="K48" s="669"/>
      <c r="L48" s="1615"/>
      <c r="M48" s="1615"/>
      <c r="N48" s="1615"/>
      <c r="O48" s="669"/>
      <c r="P48" s="1615"/>
      <c r="Q48" s="1615"/>
      <c r="R48" s="1615"/>
      <c r="S48" s="1616"/>
      <c r="T48" s="1615"/>
      <c r="U48" s="671"/>
      <c r="V48" s="671"/>
      <c r="W48" s="1615"/>
      <c r="X48" s="671"/>
      <c r="Y48" s="671"/>
      <c r="Z48" s="1615"/>
      <c r="AA48" s="671"/>
      <c r="AB48" s="671"/>
      <c r="AC48" s="669"/>
      <c r="AD48" s="669"/>
      <c r="AE48" s="2305" t="s">
        <v>892</v>
      </c>
      <c r="AF48" s="2305"/>
      <c r="AG48" s="2305"/>
      <c r="AH48" s="2305"/>
      <c r="AI48" s="2305"/>
      <c r="AJ48" s="2305"/>
      <c r="AK48" s="2305"/>
      <c r="AL48" s="2305"/>
      <c r="AM48" s="2305"/>
      <c r="AN48" s="2305"/>
      <c r="AO48" s="2305"/>
      <c r="AP48" s="2305"/>
      <c r="AQ48" s="2305"/>
      <c r="AR48" s="2305"/>
      <c r="AS48" s="2305"/>
    </row>
    <row r="49" spans="2:45" ht="13.5">
      <c r="B49" s="2"/>
      <c r="C49" s="64"/>
      <c r="D49" s="64"/>
      <c r="E49" s="64"/>
      <c r="F49" s="64"/>
      <c r="G49" s="64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1617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1618"/>
      <c r="AF49" s="1618"/>
      <c r="AG49" s="1618"/>
      <c r="AH49" s="1618"/>
      <c r="AI49" s="1618"/>
      <c r="AJ49" s="1618"/>
      <c r="AK49" s="1618"/>
      <c r="AL49" s="1618"/>
      <c r="AM49" s="1618"/>
      <c r="AN49" s="1618"/>
      <c r="AO49" s="1618"/>
      <c r="AP49" s="1618"/>
      <c r="AQ49" s="1618"/>
      <c r="AR49" s="1618"/>
      <c r="AS49" s="1618"/>
    </row>
    <row r="50" spans="2:45" ht="158.25">
      <c r="B50" s="668"/>
      <c r="C50" s="545"/>
      <c r="D50" s="545"/>
      <c r="E50" s="545"/>
      <c r="F50" s="545"/>
      <c r="G50" s="545"/>
      <c r="H50" s="1619"/>
      <c r="I50" s="1620"/>
      <c r="J50" s="1620"/>
      <c r="K50" s="1621"/>
      <c r="L50" s="1621"/>
      <c r="M50" s="1621"/>
      <c r="N50" s="1621"/>
      <c r="O50" s="1622"/>
      <c r="P50" s="1621"/>
      <c r="Q50" s="1621"/>
      <c r="R50" s="1621"/>
      <c r="S50" s="1623"/>
      <c r="T50" s="1621"/>
      <c r="U50" s="1624"/>
      <c r="V50" s="1624"/>
      <c r="W50" s="1621"/>
      <c r="X50" s="1624"/>
      <c r="Y50" s="1624"/>
      <c r="Z50" s="1621"/>
      <c r="AA50" s="1624"/>
      <c r="AB50" s="1624"/>
      <c r="AC50" s="1622"/>
      <c r="AD50" s="1622"/>
      <c r="AE50" s="1625" t="s">
        <v>254</v>
      </c>
      <c r="AF50" s="1625" t="s">
        <v>1690</v>
      </c>
      <c r="AG50" s="1625" t="s">
        <v>893</v>
      </c>
      <c r="AH50" s="1625" t="s">
        <v>894</v>
      </c>
      <c r="AI50" s="1625" t="s">
        <v>950</v>
      </c>
      <c r="AJ50" s="1625" t="s">
        <v>951</v>
      </c>
      <c r="AK50" s="1625" t="s">
        <v>952</v>
      </c>
      <c r="AL50" s="1625" t="s">
        <v>953</v>
      </c>
      <c r="AM50" s="1625" t="s">
        <v>954</v>
      </c>
      <c r="AN50" s="1625" t="s">
        <v>955</v>
      </c>
      <c r="AO50" s="1625" t="s">
        <v>956</v>
      </c>
      <c r="AP50" s="1625" t="s">
        <v>957</v>
      </c>
      <c r="AQ50" s="1625" t="s">
        <v>958</v>
      </c>
      <c r="AR50" s="1625" t="s">
        <v>959</v>
      </c>
      <c r="AS50" s="1625" t="s">
        <v>960</v>
      </c>
    </row>
    <row r="51" spans="2:45" ht="13.5">
      <c r="B51" s="668"/>
      <c r="C51" s="545"/>
      <c r="D51" s="545"/>
      <c r="E51" s="545"/>
      <c r="F51" s="545"/>
      <c r="G51" s="545"/>
      <c r="K51" s="671"/>
      <c r="L51" s="671"/>
      <c r="M51" s="671"/>
      <c r="N51" s="671"/>
      <c r="O51" s="1626"/>
      <c r="P51" s="671"/>
      <c r="Q51" s="671"/>
      <c r="R51" s="671"/>
      <c r="S51" s="1627"/>
      <c r="T51" s="671"/>
      <c r="U51" s="671"/>
      <c r="V51" s="671"/>
      <c r="W51" s="671"/>
      <c r="X51" s="671"/>
      <c r="Y51" s="671"/>
      <c r="Z51" s="671"/>
      <c r="AA51" s="671"/>
      <c r="AB51" s="671"/>
      <c r="AC51" s="1626"/>
      <c r="AD51" s="1626"/>
      <c r="AE51" s="1628">
        <v>1</v>
      </c>
      <c r="AF51" s="1629" t="s">
        <v>1206</v>
      </c>
      <c r="AG51" s="1630">
        <f>AF11</f>
        <v>4</v>
      </c>
      <c r="AH51" s="1631">
        <f>AI51*12*AG51/1000</f>
        <v>0</v>
      </c>
      <c r="AI51" s="1632">
        <f>AF36</f>
        <v>0</v>
      </c>
      <c r="AJ51" s="1633">
        <f>AI51*12</f>
        <v>0</v>
      </c>
      <c r="AK51" s="1634">
        <v>723000</v>
      </c>
      <c r="AL51" s="1634">
        <v>800000</v>
      </c>
      <c r="AM51" s="1633">
        <f>IF(AJ51&lt;AL51,AJ51*22/100)+IF(AJ51&gt;AL51,176000)</f>
        <v>0</v>
      </c>
      <c r="AN51" s="1634">
        <f>IF(AJ51&lt;AL51,0)+IF(AJ51&gt;AL51,(AJ51-AL51)*10/100)</f>
        <v>0</v>
      </c>
      <c r="AO51" s="1633">
        <f>IF(AJ51&lt;AK51,AJ51*2.9/100)+IF(AJ51&gt;AK51,20967)</f>
        <v>0</v>
      </c>
      <c r="AP51" s="1634">
        <f>AJ51*5.1%</f>
        <v>0</v>
      </c>
      <c r="AQ51" s="1635">
        <f>AJ51*0.2%</f>
        <v>0</v>
      </c>
      <c r="AR51" s="1635">
        <f>((AM51+AN51+AO51+AP51+AQ51)*AG51)/1000</f>
        <v>0</v>
      </c>
      <c r="AS51" s="1636" t="e">
        <f>AR51/AH51</f>
        <v>#DIV/0!</v>
      </c>
    </row>
    <row r="52" spans="2:45" ht="13.5">
      <c r="B52" s="668"/>
      <c r="C52" s="545"/>
      <c r="D52" s="545"/>
      <c r="E52" s="545"/>
      <c r="F52" s="545"/>
      <c r="G52" s="545"/>
      <c r="H52" s="1616"/>
      <c r="I52" s="1637"/>
      <c r="J52" s="1637"/>
      <c r="K52" s="1616"/>
      <c r="L52" s="1615"/>
      <c r="M52" s="1615"/>
      <c r="N52" s="1615"/>
      <c r="O52" s="669"/>
      <c r="P52" s="1615"/>
      <c r="Q52" s="1615"/>
      <c r="R52" s="1615"/>
      <c r="S52" s="1616"/>
      <c r="T52" s="1615"/>
      <c r="U52" s="671"/>
      <c r="V52" s="671"/>
      <c r="W52" s="1615"/>
      <c r="X52" s="671"/>
      <c r="Y52" s="671"/>
      <c r="Z52" s="1615"/>
      <c r="AA52" s="671"/>
      <c r="AB52" s="671"/>
      <c r="AC52" s="669"/>
      <c r="AD52" s="669"/>
      <c r="AE52" s="1628">
        <v>2</v>
      </c>
      <c r="AF52" s="1629" t="s">
        <v>1207</v>
      </c>
      <c r="AG52" s="1630">
        <f>AI11</f>
        <v>2.5</v>
      </c>
      <c r="AH52" s="1631">
        <f>AI52*12*AG52/1000</f>
        <v>0</v>
      </c>
      <c r="AI52" s="1638">
        <f>AI36</f>
        <v>0</v>
      </c>
      <c r="AJ52" s="1633">
        <f>AI52*12</f>
        <v>0</v>
      </c>
      <c r="AK52" s="1634">
        <v>723000</v>
      </c>
      <c r="AL52" s="1634">
        <v>800000</v>
      </c>
      <c r="AM52" s="1633">
        <f>IF(AJ52&lt;AL52,AJ52*22/100)+IF(AJ52&gt;AL52,176000)</f>
        <v>0</v>
      </c>
      <c r="AN52" s="1634">
        <f>IF(AJ52&lt;AL52,0)+IF(AJ52&gt;AL52,(AJ52-AL52)*10/100)</f>
        <v>0</v>
      </c>
      <c r="AO52" s="1633">
        <f>IF(AJ52&lt;AK52,AJ52*2.9/100)+IF(AJ52&gt;AK52,20967)</f>
        <v>0</v>
      </c>
      <c r="AP52" s="1634">
        <f>AJ52*5.1%</f>
        <v>0</v>
      </c>
      <c r="AQ52" s="1635">
        <f>AJ52*0.2%</f>
        <v>0</v>
      </c>
      <c r="AR52" s="1635">
        <f>((AM52+AN52+AO52+AP52+AQ52)*AG52)/1000</f>
        <v>0</v>
      </c>
      <c r="AS52" s="1636" t="e">
        <f>AR52/AH52</f>
        <v>#DIV/0!</v>
      </c>
    </row>
    <row r="53" spans="31:45" ht="12.75">
      <c r="AE53" s="1628">
        <v>3</v>
      </c>
      <c r="AF53" s="1629" t="s">
        <v>961</v>
      </c>
      <c r="AG53" s="1630">
        <f>AL11</f>
        <v>1.5</v>
      </c>
      <c r="AH53" s="1631">
        <f>AI53*12*AG53/1000</f>
        <v>0</v>
      </c>
      <c r="AI53" s="1638">
        <f>AL36</f>
        <v>0</v>
      </c>
      <c r="AJ53" s="1633">
        <f>AI53*12</f>
        <v>0</v>
      </c>
      <c r="AK53" s="1634">
        <v>723000</v>
      </c>
      <c r="AL53" s="1634">
        <v>800000</v>
      </c>
      <c r="AM53" s="1633">
        <f>IF(AJ53&lt;AL53,AJ53*22/100)+IF(AJ53&gt;AL53,176000)</f>
        <v>0</v>
      </c>
      <c r="AN53" s="1634">
        <f>IF(AJ53&lt;AL53,0)+IF(AJ53&gt;AL53,(AJ53-AL53)*10/100)</f>
        <v>0</v>
      </c>
      <c r="AO53" s="1633">
        <f>IF(AJ53&lt;AK53,AJ53*2.9/100)+IF(AJ53&gt;AK53,20967)</f>
        <v>0</v>
      </c>
      <c r="AP53" s="1634">
        <f>AJ53*5.1%</f>
        <v>0</v>
      </c>
      <c r="AQ53" s="1635">
        <f>AJ53*0.2%</f>
        <v>0</v>
      </c>
      <c r="AR53" s="1635">
        <f>((AM53+AN53+AO53+AP53+AQ53)*AG53)/1000</f>
        <v>0</v>
      </c>
      <c r="AS53" s="1636" t="e">
        <f>AR53/AH53</f>
        <v>#DIV/0!</v>
      </c>
    </row>
    <row r="54" spans="22:45" ht="12.75">
      <c r="V54" s="184"/>
      <c r="AE54" s="1639"/>
      <c r="AF54" s="1639" t="s">
        <v>1536</v>
      </c>
      <c r="AG54" s="1640">
        <f>SUM(AG51:AG53)</f>
        <v>8</v>
      </c>
      <c r="AH54" s="1641">
        <f>SUM(AH51:AH53)</f>
        <v>0</v>
      </c>
      <c r="AI54" s="1639"/>
      <c r="AJ54" s="1639"/>
      <c r="AK54" s="1642"/>
      <c r="AL54" s="1642"/>
      <c r="AM54" s="1643">
        <f aca="true" t="shared" si="15" ref="AM54:AR54">SUM(AM51:AM53)</f>
        <v>0</v>
      </c>
      <c r="AN54" s="1644">
        <f t="shared" si="15"/>
        <v>0</v>
      </c>
      <c r="AO54" s="1643">
        <f t="shared" si="15"/>
        <v>0</v>
      </c>
      <c r="AP54" s="1644">
        <f t="shared" si="15"/>
        <v>0</v>
      </c>
      <c r="AQ54" s="1645">
        <f t="shared" si="15"/>
        <v>0</v>
      </c>
      <c r="AR54" s="1645">
        <f t="shared" si="15"/>
        <v>0</v>
      </c>
      <c r="AS54" s="1646" t="e">
        <f>AR54/AH54</f>
        <v>#DIV/0!</v>
      </c>
    </row>
    <row r="55" spans="31:45" ht="13.5">
      <c r="AE55" s="1618"/>
      <c r="AF55" s="1618"/>
      <c r="AG55" s="1618"/>
      <c r="AH55" s="1618"/>
      <c r="AI55" s="1618"/>
      <c r="AJ55" s="1618"/>
      <c r="AK55" s="1618"/>
      <c r="AL55" s="1618"/>
      <c r="AM55" s="1618"/>
      <c r="AN55" s="1618"/>
      <c r="AO55" s="1618"/>
      <c r="AP55" s="1618"/>
      <c r="AQ55" s="1618"/>
      <c r="AR55" s="1618"/>
      <c r="AS55" s="1618"/>
    </row>
    <row r="56" spans="31:45" ht="13.5">
      <c r="AE56" s="1618"/>
      <c r="AF56" s="2306" t="s">
        <v>963</v>
      </c>
      <c r="AG56" s="2307"/>
      <c r="AH56" s="2307"/>
      <c r="AI56" s="2307"/>
      <c r="AJ56" s="2307"/>
      <c r="AK56" s="2307"/>
      <c r="AL56" s="2307"/>
      <c r="AM56" s="2307"/>
      <c r="AN56" s="2307"/>
      <c r="AO56" s="2307"/>
      <c r="AP56" s="2307"/>
      <c r="AQ56" s="2307"/>
      <c r="AR56" s="2307"/>
      <c r="AS56" s="2307"/>
    </row>
  </sheetData>
  <sheetProtection/>
  <mergeCells count="19">
    <mergeCell ref="AE48:AS48"/>
    <mergeCell ref="AF56:AS56"/>
    <mergeCell ref="A6:A8"/>
    <mergeCell ref="B6:B8"/>
    <mergeCell ref="C6:C8"/>
    <mergeCell ref="T6:AE6"/>
    <mergeCell ref="P6:S6"/>
    <mergeCell ref="L6:O6"/>
    <mergeCell ref="W7:Y7"/>
    <mergeCell ref="Z7:AB7"/>
    <mergeCell ref="AC7:AE7"/>
    <mergeCell ref="D6:G6"/>
    <mergeCell ref="T7:V7"/>
    <mergeCell ref="H6:K6"/>
    <mergeCell ref="AF6:AQ6"/>
    <mergeCell ref="AF7:AH7"/>
    <mergeCell ref="AI7:AK7"/>
    <mergeCell ref="AL7:AN7"/>
    <mergeCell ref="AO7:AQ7"/>
  </mergeCells>
  <printOptions/>
  <pageMargins left="0.68" right="0.1968503937007874" top="0.7480314960629921" bottom="0.7480314960629921" header="0.31496062992125984" footer="0.31496062992125984"/>
  <pageSetup fitToHeight="1" fitToWidth="1" horizontalDpi="600" verticalDpi="600" orientation="landscape" paperSize="9" scale="57" r:id="rId1"/>
  <colBreaks count="1" manualBreakCount="1">
    <brk id="22" max="4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Y41"/>
  <sheetViews>
    <sheetView workbookViewId="0" topLeftCell="A1">
      <pane xSplit="4" ySplit="6" topLeftCell="O10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8.8515625" defaultRowHeight="15"/>
  <cols>
    <col min="1" max="1" width="9.7109375" style="811" customWidth="1"/>
    <col min="2" max="2" width="31.8515625" style="811" customWidth="1"/>
    <col min="3" max="3" width="25.8515625" style="811" hidden="1" customWidth="1"/>
    <col min="4" max="4" width="5.7109375" style="811" hidden="1" customWidth="1"/>
    <col min="5" max="5" width="27.421875" style="811" customWidth="1"/>
    <col min="6" max="6" width="9.140625" style="811" customWidth="1"/>
    <col min="7" max="7" width="9.8515625" style="811" customWidth="1"/>
    <col min="8" max="8" width="11.57421875" style="811" bestFit="1" customWidth="1"/>
    <col min="9" max="9" width="11.7109375" style="811" customWidth="1"/>
    <col min="10" max="11" width="11.7109375" style="812" customWidth="1"/>
    <col min="12" max="12" width="12.7109375" style="811" customWidth="1"/>
    <col min="13" max="13" width="13.7109375" style="811" customWidth="1"/>
    <col min="14" max="14" width="11.7109375" style="811" customWidth="1"/>
    <col min="15" max="15" width="12.421875" style="811" customWidth="1"/>
    <col min="16" max="16" width="11.7109375" style="811" customWidth="1"/>
    <col min="17" max="17" width="12.7109375" style="811" customWidth="1"/>
    <col min="18" max="18" width="11.7109375" style="811" customWidth="1"/>
    <col min="19" max="19" width="12.28125" style="811" customWidth="1"/>
    <col min="20" max="20" width="11.57421875" style="758" customWidth="1"/>
    <col min="21" max="21" width="12.57421875" style="763" customWidth="1"/>
    <col min="22" max="22" width="11.7109375" style="758" customWidth="1"/>
    <col min="23" max="23" width="13.57421875" style="811" customWidth="1"/>
    <col min="24" max="24" width="12.28125" style="758" customWidth="1"/>
    <col min="25" max="25" width="40.28125" style="758" customWidth="1"/>
    <col min="26" max="16384" width="8.8515625" style="758" customWidth="1"/>
  </cols>
  <sheetData>
    <row r="1" spans="1:23" ht="15.75">
      <c r="A1" s="754" t="s">
        <v>1151</v>
      </c>
      <c r="B1" s="755"/>
      <c r="C1" s="755"/>
      <c r="D1" s="755"/>
      <c r="E1" s="755"/>
      <c r="F1" s="755"/>
      <c r="G1" s="755"/>
      <c r="H1" s="755"/>
      <c r="I1" s="755"/>
      <c r="J1" s="756"/>
      <c r="K1" s="756"/>
      <c r="L1" s="755"/>
      <c r="M1" s="755"/>
      <c r="N1" s="755"/>
      <c r="O1" s="755"/>
      <c r="P1" s="755"/>
      <c r="Q1" s="755"/>
      <c r="R1" s="755"/>
      <c r="S1" s="755"/>
      <c r="T1" s="755"/>
      <c r="U1" s="757"/>
      <c r="V1" s="755"/>
      <c r="W1" s="755"/>
    </row>
    <row r="2" spans="1:23" ht="13.5">
      <c r="A2" s="759" t="s">
        <v>39</v>
      </c>
      <c r="B2" s="760"/>
      <c r="C2" s="760"/>
      <c r="D2" s="760"/>
      <c r="E2" s="760"/>
      <c r="F2" s="760"/>
      <c r="G2" s="760"/>
      <c r="H2" s="760"/>
      <c r="I2" s="760"/>
      <c r="J2" s="761"/>
      <c r="K2" s="761"/>
      <c r="L2" s="760"/>
      <c r="M2" s="760"/>
      <c r="N2" s="762"/>
      <c r="O2" s="760"/>
      <c r="P2" s="762"/>
      <c r="Q2" s="760"/>
      <c r="R2" s="760"/>
      <c r="S2" s="760"/>
      <c r="W2" s="760"/>
    </row>
    <row r="3" spans="1:24" ht="13.5" customHeight="1">
      <c r="A3" s="2318"/>
      <c r="B3" s="2318"/>
      <c r="C3" s="2318"/>
      <c r="D3" s="2318"/>
      <c r="E3" s="2318"/>
      <c r="F3" s="2318"/>
      <c r="G3" s="764"/>
      <c r="H3" s="764"/>
      <c r="I3" s="764"/>
      <c r="J3" s="765"/>
      <c r="K3" s="765"/>
      <c r="L3" s="764"/>
      <c r="M3" s="764"/>
      <c r="N3" s="764"/>
      <c r="O3" s="764"/>
      <c r="P3" s="764"/>
      <c r="Q3" s="764"/>
      <c r="R3" s="764"/>
      <c r="S3" s="764"/>
      <c r="T3" s="764"/>
      <c r="U3" s="765"/>
      <c r="V3" s="764"/>
      <c r="W3" s="765"/>
      <c r="X3" s="764"/>
    </row>
    <row r="4" spans="1:24" ht="76.5" customHeight="1">
      <c r="A4" s="2319" t="s">
        <v>254</v>
      </c>
      <c r="B4" s="2319" t="s">
        <v>146</v>
      </c>
      <c r="C4" s="766" t="s">
        <v>147</v>
      </c>
      <c r="D4" s="767" t="s">
        <v>148</v>
      </c>
      <c r="E4" s="2316" t="s">
        <v>149</v>
      </c>
      <c r="F4" s="2316" t="s">
        <v>150</v>
      </c>
      <c r="G4" s="2316" t="s">
        <v>151</v>
      </c>
      <c r="H4" s="2316" t="s">
        <v>152</v>
      </c>
      <c r="I4" s="2316" t="s">
        <v>153</v>
      </c>
      <c r="J4" s="2321" t="s">
        <v>154</v>
      </c>
      <c r="K4" s="2322"/>
      <c r="L4" s="2316" t="s">
        <v>1152</v>
      </c>
      <c r="M4" s="2316" t="s">
        <v>158</v>
      </c>
      <c r="N4" s="2316" t="s">
        <v>40</v>
      </c>
      <c r="O4" s="2316" t="s">
        <v>1153</v>
      </c>
      <c r="P4" s="2316" t="s">
        <v>1154</v>
      </c>
      <c r="Q4" s="2316" t="s">
        <v>1248</v>
      </c>
      <c r="R4" s="2316" t="s">
        <v>41</v>
      </c>
      <c r="S4" s="2316" t="s">
        <v>981</v>
      </c>
      <c r="T4" s="2316" t="s">
        <v>982</v>
      </c>
      <c r="U4" s="2316" t="s">
        <v>983</v>
      </c>
      <c r="V4" s="2316" t="s">
        <v>984</v>
      </c>
      <c r="W4" s="2316" t="s">
        <v>871</v>
      </c>
      <c r="X4" s="2316" t="s">
        <v>872</v>
      </c>
    </row>
    <row r="5" spans="1:24" ht="12.75">
      <c r="A5" s="2320"/>
      <c r="B5" s="2320"/>
      <c r="C5" s="766"/>
      <c r="D5" s="767"/>
      <c r="E5" s="2317"/>
      <c r="F5" s="2317"/>
      <c r="G5" s="2317"/>
      <c r="H5" s="2317"/>
      <c r="I5" s="2317"/>
      <c r="J5" s="768" t="s">
        <v>1202</v>
      </c>
      <c r="K5" s="768" t="s">
        <v>1203</v>
      </c>
      <c r="L5" s="2317"/>
      <c r="M5" s="2317"/>
      <c r="N5" s="2317"/>
      <c r="O5" s="2317"/>
      <c r="P5" s="2317"/>
      <c r="Q5" s="2317"/>
      <c r="R5" s="2317"/>
      <c r="S5" s="2317"/>
      <c r="T5" s="2317"/>
      <c r="U5" s="2317"/>
      <c r="V5" s="2317"/>
      <c r="W5" s="2317"/>
      <c r="X5" s="2317"/>
    </row>
    <row r="6" spans="1:24" s="773" customFormat="1" ht="12.75">
      <c r="A6" s="766">
        <v>1</v>
      </c>
      <c r="B6" s="766">
        <v>2</v>
      </c>
      <c r="C6" s="766">
        <v>3</v>
      </c>
      <c r="D6" s="767"/>
      <c r="E6" s="767">
        <v>3</v>
      </c>
      <c r="F6" s="767">
        <v>4</v>
      </c>
      <c r="G6" s="767">
        <v>5</v>
      </c>
      <c r="H6" s="767">
        <v>6</v>
      </c>
      <c r="I6" s="767">
        <v>7</v>
      </c>
      <c r="J6" s="769">
        <v>8</v>
      </c>
      <c r="K6" s="769">
        <v>9</v>
      </c>
      <c r="L6" s="767">
        <v>10</v>
      </c>
      <c r="M6" s="767">
        <v>11</v>
      </c>
      <c r="N6" s="767">
        <v>12</v>
      </c>
      <c r="O6" s="767">
        <v>13</v>
      </c>
      <c r="P6" s="767">
        <v>14</v>
      </c>
      <c r="Q6" s="767">
        <v>15</v>
      </c>
      <c r="R6" s="767">
        <v>16</v>
      </c>
      <c r="S6" s="770">
        <v>17</v>
      </c>
      <c r="T6" s="771">
        <v>18</v>
      </c>
      <c r="U6" s="772">
        <v>19</v>
      </c>
      <c r="V6" s="767">
        <v>18</v>
      </c>
      <c r="W6" s="772">
        <v>19</v>
      </c>
      <c r="X6" s="767">
        <v>18</v>
      </c>
    </row>
    <row r="7" spans="1:24" s="778" customFormat="1" ht="9.75" customHeight="1" hidden="1">
      <c r="A7" s="774"/>
      <c r="B7" s="774"/>
      <c r="C7" s="774"/>
      <c r="D7" s="775"/>
      <c r="E7" s="775"/>
      <c r="F7" s="775"/>
      <c r="G7" s="775"/>
      <c r="H7" s="775"/>
      <c r="I7" s="775"/>
      <c r="J7" s="776"/>
      <c r="K7" s="776"/>
      <c r="L7" s="775"/>
      <c r="M7" s="775"/>
      <c r="N7" s="775"/>
      <c r="O7" s="775"/>
      <c r="P7" s="775"/>
      <c r="Q7" s="775"/>
      <c r="R7" s="775"/>
      <c r="S7" s="777" t="s">
        <v>350</v>
      </c>
      <c r="T7" s="777" t="s">
        <v>351</v>
      </c>
      <c r="U7" s="776" t="s">
        <v>352</v>
      </c>
      <c r="V7" s="777"/>
      <c r="W7" s="776" t="s">
        <v>352</v>
      </c>
      <c r="X7" s="777"/>
    </row>
    <row r="8" spans="1:24" s="783" customFormat="1" ht="12.75" customHeight="1" hidden="1">
      <c r="A8" s="2324"/>
      <c r="B8" s="2324"/>
      <c r="C8" s="2324"/>
      <c r="D8" s="2324"/>
      <c r="E8" s="2324"/>
      <c r="F8" s="2324"/>
      <c r="G8" s="779"/>
      <c r="H8" s="779"/>
      <c r="I8" s="779"/>
      <c r="J8" s="780"/>
      <c r="K8" s="780"/>
      <c r="L8" s="779"/>
      <c r="M8" s="781"/>
      <c r="N8" s="781"/>
      <c r="O8" s="781"/>
      <c r="P8" s="781"/>
      <c r="Q8" s="781"/>
      <c r="R8" s="781"/>
      <c r="S8" s="782"/>
      <c r="T8" s="782"/>
      <c r="U8" s="780"/>
      <c r="V8" s="781"/>
      <c r="W8" s="780"/>
      <c r="X8" s="781"/>
    </row>
    <row r="9" spans="1:24" ht="26.25">
      <c r="A9" s="784">
        <v>1</v>
      </c>
      <c r="B9" s="785" t="s">
        <v>24</v>
      </c>
      <c r="C9" s="786" t="s">
        <v>169</v>
      </c>
      <c r="D9" s="784">
        <v>6</v>
      </c>
      <c r="E9" s="787" t="s">
        <v>25</v>
      </c>
      <c r="F9" s="788">
        <v>4</v>
      </c>
      <c r="G9" s="788">
        <v>84</v>
      </c>
      <c r="H9" s="789">
        <v>2013</v>
      </c>
      <c r="I9" s="790">
        <v>87</v>
      </c>
      <c r="J9" s="791">
        <f aca="true" t="shared" si="0" ref="J9:J17">12/G9</f>
        <v>0.14285714285714285</v>
      </c>
      <c r="K9" s="791">
        <f aca="true" t="shared" si="1" ref="K9:K17">J9/12</f>
        <v>0.011904761904761904</v>
      </c>
      <c r="L9" s="792">
        <f aca="true" t="shared" si="2" ref="L9:L19">I9/G9</f>
        <v>1.0357142857142858</v>
      </c>
      <c r="M9" s="792">
        <f aca="true" t="shared" si="3" ref="M9:M15">L9*12</f>
        <v>12.42857142857143</v>
      </c>
      <c r="N9" s="792">
        <f aca="true" t="shared" si="4" ref="N9:N15">I9-M9-L9*12</f>
        <v>62.14285714285714</v>
      </c>
      <c r="O9" s="793">
        <f>L9*12</f>
        <v>12.42857142857143</v>
      </c>
      <c r="P9" s="792">
        <f>N9-O9</f>
        <v>49.71428571428571</v>
      </c>
      <c r="Q9" s="792">
        <f>L9*12</f>
        <v>12.42857142857143</v>
      </c>
      <c r="R9" s="792">
        <f aca="true" t="shared" si="5" ref="R9:R17">P9-Q9</f>
        <v>37.28571428571428</v>
      </c>
      <c r="S9" s="1138">
        <f aca="true" t="shared" si="6" ref="S9:S19">L9*12</f>
        <v>12.42857142857143</v>
      </c>
      <c r="T9" s="1139">
        <f>R9-S9</f>
        <v>24.857142857142847</v>
      </c>
      <c r="U9" s="1140">
        <f>L9*12</f>
        <v>12.42857142857143</v>
      </c>
      <c r="V9" s="1139">
        <f>T9-U9</f>
        <v>12.428571428571416</v>
      </c>
      <c r="W9" s="1140">
        <f>L9*12</f>
        <v>12.42857142857143</v>
      </c>
      <c r="X9" s="1139">
        <f>V9-W9</f>
        <v>-1.4210854715202004E-14</v>
      </c>
    </row>
    <row r="10" spans="1:25" ht="26.25">
      <c r="A10" s="784">
        <v>2</v>
      </c>
      <c r="B10" s="785" t="s">
        <v>24</v>
      </c>
      <c r="C10" s="786"/>
      <c r="D10" s="784"/>
      <c r="E10" s="787" t="s">
        <v>26</v>
      </c>
      <c r="F10" s="788">
        <v>4</v>
      </c>
      <c r="G10" s="788">
        <v>84</v>
      </c>
      <c r="H10" s="789">
        <v>2013</v>
      </c>
      <c r="I10" s="790">
        <v>164</v>
      </c>
      <c r="J10" s="791">
        <f t="shared" si="0"/>
        <v>0.14285714285714285</v>
      </c>
      <c r="K10" s="791">
        <f t="shared" si="1"/>
        <v>0.011904761904761904</v>
      </c>
      <c r="L10" s="792">
        <f t="shared" si="2"/>
        <v>1.9523809523809523</v>
      </c>
      <c r="M10" s="792">
        <f t="shared" si="3"/>
        <v>23.428571428571427</v>
      </c>
      <c r="N10" s="792">
        <f t="shared" si="4"/>
        <v>117.14285714285715</v>
      </c>
      <c r="O10" s="793">
        <f>L10*12</f>
        <v>23.428571428571427</v>
      </c>
      <c r="P10" s="792">
        <f>N10-O10</f>
        <v>93.71428571428572</v>
      </c>
      <c r="Q10" s="792">
        <f>L10*12</f>
        <v>23.428571428571427</v>
      </c>
      <c r="R10" s="792">
        <f>P10-Q10</f>
        <v>70.28571428571429</v>
      </c>
      <c r="S10" s="1138">
        <f t="shared" si="6"/>
        <v>23.428571428571427</v>
      </c>
      <c r="T10" s="2017">
        <f>R10-S10</f>
        <v>46.85714285714286</v>
      </c>
      <c r="U10" s="769">
        <f>L10*12</f>
        <v>23.428571428571427</v>
      </c>
      <c r="V10" s="2017">
        <f>T10-U10</f>
        <v>23.428571428571434</v>
      </c>
      <c r="W10" s="769">
        <f>L10*12</f>
        <v>23.428571428571427</v>
      </c>
      <c r="X10" s="2017">
        <f>V10-W10</f>
        <v>0</v>
      </c>
      <c r="Y10" s="811"/>
    </row>
    <row r="11" spans="1:25" ht="26.25" customHeight="1">
      <c r="A11" s="784">
        <v>3</v>
      </c>
      <c r="B11" s="785" t="s">
        <v>24</v>
      </c>
      <c r="C11" s="785"/>
      <c r="D11" s="1470"/>
      <c r="E11" s="794" t="s">
        <v>27</v>
      </c>
      <c r="F11" s="1471">
        <v>3</v>
      </c>
      <c r="G11" s="1471">
        <v>60</v>
      </c>
      <c r="H11" s="1472">
        <v>2013</v>
      </c>
      <c r="I11" s="790">
        <v>639</v>
      </c>
      <c r="J11" s="1473">
        <f t="shared" si="0"/>
        <v>0.2</v>
      </c>
      <c r="K11" s="1473">
        <f t="shared" si="1"/>
        <v>0.016666666666666666</v>
      </c>
      <c r="L11" s="1474">
        <f t="shared" si="2"/>
        <v>10.65</v>
      </c>
      <c r="M11" s="1474">
        <f t="shared" si="3"/>
        <v>127.80000000000001</v>
      </c>
      <c r="N11" s="1474">
        <f t="shared" si="4"/>
        <v>383.4</v>
      </c>
      <c r="O11" s="1475">
        <f>L11*12</f>
        <v>127.80000000000001</v>
      </c>
      <c r="P11" s="1474">
        <f>N11-O11</f>
        <v>255.59999999999997</v>
      </c>
      <c r="Q11" s="1474">
        <f>L11*12</f>
        <v>127.80000000000001</v>
      </c>
      <c r="R11" s="1474">
        <f t="shared" si="5"/>
        <v>127.79999999999995</v>
      </c>
      <c r="S11" s="1476">
        <f t="shared" si="6"/>
        <v>127.80000000000001</v>
      </c>
      <c r="T11" s="1476">
        <f>R11-S11</f>
        <v>0</v>
      </c>
      <c r="U11" s="2029">
        <v>0</v>
      </c>
      <c r="V11" s="1476">
        <f>T11-U11</f>
        <v>0</v>
      </c>
      <c r="W11" s="2029">
        <v>0</v>
      </c>
      <c r="X11" s="1476">
        <f>V11-W11</f>
        <v>0</v>
      </c>
      <c r="Y11" s="794" t="s">
        <v>27</v>
      </c>
    </row>
    <row r="12" spans="1:25" ht="26.25" customHeight="1">
      <c r="A12" s="784">
        <v>4</v>
      </c>
      <c r="B12" s="785" t="s">
        <v>24</v>
      </c>
      <c r="C12" s="785"/>
      <c r="D12" s="1470"/>
      <c r="E12" s="794" t="s">
        <v>28</v>
      </c>
      <c r="F12" s="1471">
        <v>3</v>
      </c>
      <c r="G12" s="1471">
        <v>60</v>
      </c>
      <c r="H12" s="1472">
        <v>2013</v>
      </c>
      <c r="I12" s="790">
        <v>437</v>
      </c>
      <c r="J12" s="1473">
        <f t="shared" si="0"/>
        <v>0.2</v>
      </c>
      <c r="K12" s="1473">
        <f t="shared" si="1"/>
        <v>0.016666666666666666</v>
      </c>
      <c r="L12" s="1474">
        <f t="shared" si="2"/>
        <v>7.283333333333333</v>
      </c>
      <c r="M12" s="1474">
        <f t="shared" si="3"/>
        <v>87.4</v>
      </c>
      <c r="N12" s="1474">
        <f t="shared" si="4"/>
        <v>262.20000000000005</v>
      </c>
      <c r="O12" s="1475">
        <f>L12*12</f>
        <v>87.4</v>
      </c>
      <c r="P12" s="1474">
        <f>N12-O12</f>
        <v>174.80000000000004</v>
      </c>
      <c r="Q12" s="1474">
        <f>L12*12</f>
        <v>87.4</v>
      </c>
      <c r="R12" s="1474">
        <f t="shared" si="5"/>
        <v>87.40000000000003</v>
      </c>
      <c r="S12" s="1476">
        <f t="shared" si="6"/>
        <v>87.4</v>
      </c>
      <c r="T12" s="1476">
        <f>R12-S12</f>
        <v>0</v>
      </c>
      <c r="U12" s="2029">
        <v>0</v>
      </c>
      <c r="V12" s="1476">
        <f>T12-U12</f>
        <v>0</v>
      </c>
      <c r="W12" s="2029">
        <v>0</v>
      </c>
      <c r="X12" s="1476">
        <f>V12-W12</f>
        <v>0</v>
      </c>
      <c r="Y12" s="794" t="s">
        <v>28</v>
      </c>
    </row>
    <row r="13" spans="1:25" ht="26.25" customHeight="1">
      <c r="A13" s="784">
        <v>5</v>
      </c>
      <c r="B13" s="785" t="s">
        <v>29</v>
      </c>
      <c r="C13" s="785"/>
      <c r="D13" s="1470"/>
      <c r="E13" s="794" t="s">
        <v>30</v>
      </c>
      <c r="F13" s="1471">
        <v>3</v>
      </c>
      <c r="G13" s="1471">
        <v>60</v>
      </c>
      <c r="H13" s="1472">
        <v>2013</v>
      </c>
      <c r="I13" s="790">
        <v>52</v>
      </c>
      <c r="J13" s="1473">
        <f t="shared" si="0"/>
        <v>0.2</v>
      </c>
      <c r="K13" s="1473">
        <f t="shared" si="1"/>
        <v>0.016666666666666666</v>
      </c>
      <c r="L13" s="1474">
        <f t="shared" si="2"/>
        <v>0.8666666666666667</v>
      </c>
      <c r="M13" s="1474">
        <f t="shared" si="3"/>
        <v>10.4</v>
      </c>
      <c r="N13" s="1474">
        <f t="shared" si="4"/>
        <v>31.200000000000003</v>
      </c>
      <c r="O13" s="1475">
        <f aca="true" t="shared" si="7" ref="O13:O18">L13*12</f>
        <v>10.4</v>
      </c>
      <c r="P13" s="1474">
        <f aca="true" t="shared" si="8" ref="P13:P18">N13-O13</f>
        <v>20.800000000000004</v>
      </c>
      <c r="Q13" s="1474">
        <f aca="true" t="shared" si="9" ref="Q13:Q18">L13*12</f>
        <v>10.4</v>
      </c>
      <c r="R13" s="1474">
        <f t="shared" si="5"/>
        <v>10.400000000000004</v>
      </c>
      <c r="S13" s="1476">
        <f t="shared" si="6"/>
        <v>10.4</v>
      </c>
      <c r="T13" s="1476">
        <f aca="true" t="shared" si="10" ref="T13:T18">R13-S13</f>
        <v>0</v>
      </c>
      <c r="U13" s="2029">
        <v>0</v>
      </c>
      <c r="V13" s="1476">
        <f aca="true" t="shared" si="11" ref="V13:V18">T13-U13</f>
        <v>0</v>
      </c>
      <c r="W13" s="2029">
        <v>0</v>
      </c>
      <c r="X13" s="1476">
        <f aca="true" t="shared" si="12" ref="X13:X19">V13-W13</f>
        <v>0</v>
      </c>
      <c r="Y13" s="794" t="s">
        <v>30</v>
      </c>
    </row>
    <row r="14" spans="1:25" ht="26.25" customHeight="1">
      <c r="A14" s="784">
        <v>6</v>
      </c>
      <c r="B14" s="795" t="s">
        <v>31</v>
      </c>
      <c r="C14" s="785"/>
      <c r="D14" s="1470"/>
      <c r="E14" s="794" t="s">
        <v>32</v>
      </c>
      <c r="F14" s="1471">
        <v>3</v>
      </c>
      <c r="G14" s="1471">
        <v>60</v>
      </c>
      <c r="H14" s="1472">
        <v>2013</v>
      </c>
      <c r="I14" s="790">
        <v>125</v>
      </c>
      <c r="J14" s="1473">
        <f t="shared" si="0"/>
        <v>0.2</v>
      </c>
      <c r="K14" s="1473">
        <f t="shared" si="1"/>
        <v>0.016666666666666666</v>
      </c>
      <c r="L14" s="1474">
        <f t="shared" si="2"/>
        <v>2.0833333333333335</v>
      </c>
      <c r="M14" s="1474">
        <f t="shared" si="3"/>
        <v>25</v>
      </c>
      <c r="N14" s="1474">
        <f t="shared" si="4"/>
        <v>75</v>
      </c>
      <c r="O14" s="1475">
        <f t="shared" si="7"/>
        <v>25</v>
      </c>
      <c r="P14" s="1474">
        <f t="shared" si="8"/>
        <v>50</v>
      </c>
      <c r="Q14" s="1474">
        <f>L14*12</f>
        <v>25</v>
      </c>
      <c r="R14" s="1474">
        <f t="shared" si="5"/>
        <v>25</v>
      </c>
      <c r="S14" s="1476">
        <f t="shared" si="6"/>
        <v>25</v>
      </c>
      <c r="T14" s="1476">
        <f>R14-S14</f>
        <v>0</v>
      </c>
      <c r="U14" s="2029">
        <v>0</v>
      </c>
      <c r="V14" s="1476">
        <f t="shared" si="11"/>
        <v>0</v>
      </c>
      <c r="W14" s="2029">
        <v>0</v>
      </c>
      <c r="X14" s="1476">
        <f t="shared" si="12"/>
        <v>0</v>
      </c>
      <c r="Y14" s="794" t="s">
        <v>32</v>
      </c>
    </row>
    <row r="15" spans="1:25" ht="26.25" customHeight="1">
      <c r="A15" s="784">
        <v>7</v>
      </c>
      <c r="B15" s="785" t="s">
        <v>24</v>
      </c>
      <c r="C15" s="785"/>
      <c r="D15" s="1470"/>
      <c r="E15" s="794" t="s">
        <v>33</v>
      </c>
      <c r="F15" s="1471">
        <v>3</v>
      </c>
      <c r="G15" s="1471">
        <v>60</v>
      </c>
      <c r="H15" s="1472">
        <v>2013</v>
      </c>
      <c r="I15" s="790">
        <v>50</v>
      </c>
      <c r="J15" s="1473">
        <f t="shared" si="0"/>
        <v>0.2</v>
      </c>
      <c r="K15" s="1473">
        <f t="shared" si="1"/>
        <v>0.016666666666666666</v>
      </c>
      <c r="L15" s="1474">
        <f t="shared" si="2"/>
        <v>0.8333333333333334</v>
      </c>
      <c r="M15" s="1474">
        <f t="shared" si="3"/>
        <v>10</v>
      </c>
      <c r="N15" s="1474">
        <f t="shared" si="4"/>
        <v>30</v>
      </c>
      <c r="O15" s="1475">
        <f t="shared" si="7"/>
        <v>10</v>
      </c>
      <c r="P15" s="1474">
        <f t="shared" si="8"/>
        <v>20</v>
      </c>
      <c r="Q15" s="1474">
        <f>L15*12</f>
        <v>10</v>
      </c>
      <c r="R15" s="1474">
        <f>P15-Q15</f>
        <v>10</v>
      </c>
      <c r="S15" s="1476">
        <f t="shared" si="6"/>
        <v>10</v>
      </c>
      <c r="T15" s="1476">
        <f t="shared" si="10"/>
        <v>0</v>
      </c>
      <c r="U15" s="2029">
        <v>0</v>
      </c>
      <c r="V15" s="1476">
        <f t="shared" si="11"/>
        <v>0</v>
      </c>
      <c r="W15" s="2029">
        <v>0</v>
      </c>
      <c r="X15" s="1476">
        <f t="shared" si="12"/>
        <v>0</v>
      </c>
      <c r="Y15" s="794" t="s">
        <v>33</v>
      </c>
    </row>
    <row r="16" spans="1:25" ht="39">
      <c r="A16" s="784">
        <v>8</v>
      </c>
      <c r="B16" s="785" t="s">
        <v>1504</v>
      </c>
      <c r="C16" s="786"/>
      <c r="D16" s="784"/>
      <c r="E16" s="794" t="s">
        <v>1358</v>
      </c>
      <c r="F16" s="788">
        <v>3</v>
      </c>
      <c r="G16" s="788">
        <v>60</v>
      </c>
      <c r="H16" s="789">
        <v>2014</v>
      </c>
      <c r="I16" s="796">
        <v>112</v>
      </c>
      <c r="J16" s="791">
        <f t="shared" si="0"/>
        <v>0.2</v>
      </c>
      <c r="K16" s="791">
        <f t="shared" si="1"/>
        <v>0.016666666666666666</v>
      </c>
      <c r="L16" s="792">
        <f t="shared" si="2"/>
        <v>1.8666666666666667</v>
      </c>
      <c r="M16" s="792">
        <f>L16*8</f>
        <v>14.933333333333334</v>
      </c>
      <c r="N16" s="792">
        <f>I16-M16</f>
        <v>97.06666666666666</v>
      </c>
      <c r="O16" s="793">
        <f t="shared" si="7"/>
        <v>22.4</v>
      </c>
      <c r="P16" s="792">
        <f t="shared" si="8"/>
        <v>74.66666666666666</v>
      </c>
      <c r="Q16" s="792">
        <f t="shared" si="9"/>
        <v>22.4</v>
      </c>
      <c r="R16" s="792">
        <f t="shared" si="5"/>
        <v>52.26666666666666</v>
      </c>
      <c r="S16" s="1138">
        <f t="shared" si="6"/>
        <v>22.4</v>
      </c>
      <c r="T16" s="2017">
        <f>R16-S16</f>
        <v>29.86666666666666</v>
      </c>
      <c r="U16" s="769">
        <f>L16*12</f>
        <v>22.4</v>
      </c>
      <c r="V16" s="2017">
        <f>T16-U16</f>
        <v>7.4666666666666615</v>
      </c>
      <c r="W16" s="769">
        <v>7</v>
      </c>
      <c r="X16" s="2017">
        <f t="shared" si="12"/>
        <v>0.46666666666666146</v>
      </c>
      <c r="Y16" s="811"/>
    </row>
    <row r="17" spans="1:25" ht="15.75" customHeight="1">
      <c r="A17" s="784">
        <v>9</v>
      </c>
      <c r="B17" s="785" t="s">
        <v>1359</v>
      </c>
      <c r="C17" s="786"/>
      <c r="D17" s="784"/>
      <c r="E17" s="787" t="s">
        <v>1360</v>
      </c>
      <c r="F17" s="788">
        <v>4</v>
      </c>
      <c r="G17" s="788">
        <v>84</v>
      </c>
      <c r="H17" s="789">
        <v>2014</v>
      </c>
      <c r="I17" s="796">
        <v>87</v>
      </c>
      <c r="J17" s="791">
        <f t="shared" si="0"/>
        <v>0.14285714285714285</v>
      </c>
      <c r="K17" s="791">
        <f t="shared" si="1"/>
        <v>0.011904761904761904</v>
      </c>
      <c r="L17" s="792">
        <f t="shared" si="2"/>
        <v>1.0357142857142858</v>
      </c>
      <c r="M17" s="792">
        <f>L17*7</f>
        <v>7.250000000000001</v>
      </c>
      <c r="N17" s="792">
        <f>I17-M17</f>
        <v>79.75</v>
      </c>
      <c r="O17" s="793">
        <f t="shared" si="7"/>
        <v>12.42857142857143</v>
      </c>
      <c r="P17" s="792">
        <f t="shared" si="8"/>
        <v>67.32142857142857</v>
      </c>
      <c r="Q17" s="792">
        <f t="shared" si="9"/>
        <v>12.42857142857143</v>
      </c>
      <c r="R17" s="792">
        <f t="shared" si="5"/>
        <v>54.89285714285714</v>
      </c>
      <c r="S17" s="1138">
        <f t="shared" si="6"/>
        <v>12.42857142857143</v>
      </c>
      <c r="T17" s="2017">
        <f t="shared" si="10"/>
        <v>42.46428571428571</v>
      </c>
      <c r="U17" s="769">
        <f>L17*12</f>
        <v>12.42857142857143</v>
      </c>
      <c r="V17" s="2017">
        <f>T17-U17</f>
        <v>30.035714285714278</v>
      </c>
      <c r="W17" s="769">
        <f>L17*12</f>
        <v>12.42857142857143</v>
      </c>
      <c r="X17" s="2017">
        <f t="shared" si="12"/>
        <v>17.607142857142847</v>
      </c>
      <c r="Y17" s="811"/>
    </row>
    <row r="18" spans="1:25" ht="26.25">
      <c r="A18" s="784">
        <v>10</v>
      </c>
      <c r="B18" s="785" t="s">
        <v>1359</v>
      </c>
      <c r="C18" s="786"/>
      <c r="D18" s="784"/>
      <c r="E18" s="787" t="s">
        <v>1361</v>
      </c>
      <c r="F18" s="788">
        <v>4</v>
      </c>
      <c r="G18" s="788">
        <v>84</v>
      </c>
      <c r="H18" s="789">
        <v>2014</v>
      </c>
      <c r="I18" s="796">
        <v>277</v>
      </c>
      <c r="J18" s="791">
        <f>12/G18</f>
        <v>0.14285714285714285</v>
      </c>
      <c r="K18" s="791">
        <f>J18/12</f>
        <v>0.011904761904761904</v>
      </c>
      <c r="L18" s="792">
        <f t="shared" si="2"/>
        <v>3.2976190476190474</v>
      </c>
      <c r="M18" s="792">
        <f>L18*7</f>
        <v>23.083333333333332</v>
      </c>
      <c r="N18" s="792">
        <f>I18-M18</f>
        <v>253.91666666666666</v>
      </c>
      <c r="O18" s="793">
        <f t="shared" si="7"/>
        <v>39.57142857142857</v>
      </c>
      <c r="P18" s="792">
        <f t="shared" si="8"/>
        <v>214.34523809523807</v>
      </c>
      <c r="Q18" s="792">
        <f t="shared" si="9"/>
        <v>39.57142857142857</v>
      </c>
      <c r="R18" s="792">
        <f>P18-Q18</f>
        <v>174.77380952380952</v>
      </c>
      <c r="S18" s="1138">
        <f t="shared" si="6"/>
        <v>39.57142857142857</v>
      </c>
      <c r="T18" s="2017">
        <f t="shared" si="10"/>
        <v>135.20238095238096</v>
      </c>
      <c r="U18" s="769">
        <f>L18*12</f>
        <v>39.57142857142857</v>
      </c>
      <c r="V18" s="2017">
        <f t="shared" si="11"/>
        <v>95.6309523809524</v>
      </c>
      <c r="W18" s="769">
        <f>L18*12</f>
        <v>39.57142857142857</v>
      </c>
      <c r="X18" s="2017">
        <f t="shared" si="12"/>
        <v>56.059523809523824</v>
      </c>
      <c r="Y18" s="811"/>
    </row>
    <row r="19" spans="1:25" ht="26.25">
      <c r="A19" s="784">
        <v>11</v>
      </c>
      <c r="B19" s="785" t="s">
        <v>557</v>
      </c>
      <c r="C19" s="786"/>
      <c r="D19" s="784"/>
      <c r="E19" s="787" t="s">
        <v>558</v>
      </c>
      <c r="F19" s="788">
        <v>5</v>
      </c>
      <c r="G19" s="788">
        <v>120</v>
      </c>
      <c r="H19" s="789">
        <v>2016</v>
      </c>
      <c r="I19" s="796">
        <v>4343</v>
      </c>
      <c r="J19" s="791">
        <f>12/G19</f>
        <v>0.1</v>
      </c>
      <c r="K19" s="791">
        <f>J19/12</f>
        <v>0.008333333333333333</v>
      </c>
      <c r="L19" s="792">
        <f t="shared" si="2"/>
        <v>36.19166666666667</v>
      </c>
      <c r="M19" s="792"/>
      <c r="N19" s="792"/>
      <c r="O19" s="793"/>
      <c r="P19" s="792"/>
      <c r="Q19" s="792">
        <f>L19*7</f>
        <v>253.3416666666667</v>
      </c>
      <c r="R19" s="792">
        <f>I19-Q19</f>
        <v>4089.6583333333333</v>
      </c>
      <c r="S19" s="1138">
        <f t="shared" si="6"/>
        <v>434.30000000000007</v>
      </c>
      <c r="T19" s="2017">
        <f>R19-S19</f>
        <v>3655.358333333333</v>
      </c>
      <c r="U19" s="769">
        <f>L19*12</f>
        <v>434.30000000000007</v>
      </c>
      <c r="V19" s="2017">
        <f>T19-U19</f>
        <v>3221.058333333333</v>
      </c>
      <c r="W19" s="769">
        <f>L19*12</f>
        <v>434.30000000000007</v>
      </c>
      <c r="X19" s="2017">
        <f t="shared" si="12"/>
        <v>2786.7583333333328</v>
      </c>
      <c r="Y19" s="811"/>
    </row>
    <row r="20" spans="1:25" s="783" customFormat="1" ht="12.75">
      <c r="A20" s="2323"/>
      <c r="B20" s="2323"/>
      <c r="C20" s="2323"/>
      <c r="D20" s="2323"/>
      <c r="E20" s="2323"/>
      <c r="F20" s="2323"/>
      <c r="G20" s="797"/>
      <c r="H20" s="797"/>
      <c r="I20" s="798">
        <f>SUM(I9:I19)</f>
        <v>6373</v>
      </c>
      <c r="J20" s="797"/>
      <c r="K20" s="799"/>
      <c r="L20" s="798">
        <f>SUM(L9:L19)</f>
        <v>67.09642857142858</v>
      </c>
      <c r="M20" s="798">
        <f>SUM(M9:M18)</f>
        <v>341.7238095238095</v>
      </c>
      <c r="N20" s="798">
        <f>SUM(N9:N18)</f>
        <v>1391.8190476190478</v>
      </c>
      <c r="O20" s="798">
        <f>SUM(O9:O19)</f>
        <v>370.85714285714283</v>
      </c>
      <c r="P20" s="798">
        <f>SUM(P9:P15)</f>
        <v>664.6285714285714</v>
      </c>
      <c r="Q20" s="798">
        <f aca="true" t="shared" si="13" ref="Q20:X20">SUM(Q9:Q19)</f>
        <v>624.1988095238096</v>
      </c>
      <c r="R20" s="798">
        <f t="shared" si="13"/>
        <v>4739.763095238095</v>
      </c>
      <c r="S20" s="798">
        <f t="shared" si="13"/>
        <v>805.1571428571428</v>
      </c>
      <c r="T20" s="798">
        <f t="shared" si="13"/>
        <v>3934.605952380952</v>
      </c>
      <c r="U20" s="798">
        <f t="shared" si="13"/>
        <v>544.5571428571429</v>
      </c>
      <c r="V20" s="798">
        <f t="shared" si="13"/>
        <v>3390.0488095238093</v>
      </c>
      <c r="W20" s="798">
        <f t="shared" si="13"/>
        <v>529.157142857143</v>
      </c>
      <c r="X20" s="798">
        <f t="shared" si="13"/>
        <v>2860.891666666666</v>
      </c>
      <c r="Y20" s="2018"/>
    </row>
    <row r="21" spans="1:23" ht="12.75">
      <c r="A21" s="1454"/>
      <c r="B21" s="1455"/>
      <c r="C21" s="1456"/>
      <c r="D21" s="1456"/>
      <c r="E21" s="1457"/>
      <c r="F21" s="1458"/>
      <c r="G21" s="1458"/>
      <c r="H21" s="1459"/>
      <c r="I21" s="1460"/>
      <c r="J21" s="1461"/>
      <c r="K21" s="1461"/>
      <c r="L21" s="1462"/>
      <c r="M21" s="1454"/>
      <c r="N21" s="1454"/>
      <c r="O21" s="1454"/>
      <c r="P21" s="1454"/>
      <c r="Q21" s="1454"/>
      <c r="R21" s="1454"/>
      <c r="S21" s="1463"/>
      <c r="T21" s="1463"/>
      <c r="U21" s="1464"/>
      <c r="V21" s="1463"/>
      <c r="W21" s="758"/>
    </row>
    <row r="22" spans="1:23" ht="12.75">
      <c r="A22" s="1454"/>
      <c r="B22" s="1455"/>
      <c r="C22" s="1465"/>
      <c r="D22" s="1465"/>
      <c r="E22" s="1457"/>
      <c r="F22" s="1466"/>
      <c r="G22" s="1466"/>
      <c r="H22" s="1467"/>
      <c r="I22" s="1468"/>
      <c r="J22" s="1469"/>
      <c r="K22" s="1469"/>
      <c r="L22" s="1462"/>
      <c r="M22" s="1454"/>
      <c r="N22" s="1454"/>
      <c r="O22" s="1454"/>
      <c r="P22" s="1454"/>
      <c r="Q22" s="1454"/>
      <c r="R22" s="1454"/>
      <c r="S22" s="1463"/>
      <c r="T22" s="1463"/>
      <c r="U22" s="1464"/>
      <c r="V22" s="1463"/>
      <c r="W22" s="758"/>
    </row>
    <row r="23" spans="1:23" ht="12.75">
      <c r="A23" s="758"/>
      <c r="B23" s="758"/>
      <c r="C23" s="758"/>
      <c r="D23" s="758"/>
      <c r="E23" s="758"/>
      <c r="F23" s="758"/>
      <c r="G23" s="758"/>
      <c r="H23" s="758"/>
      <c r="I23" s="758"/>
      <c r="J23" s="800"/>
      <c r="K23" s="800"/>
      <c r="L23" s="758"/>
      <c r="M23" s="758"/>
      <c r="N23" s="758"/>
      <c r="O23" s="758"/>
      <c r="P23" s="758"/>
      <c r="Q23" s="758"/>
      <c r="R23" s="758"/>
      <c r="S23" s="758"/>
      <c r="W23" s="758"/>
    </row>
    <row r="24" spans="1:23" s="806" customFormat="1" ht="13.5">
      <c r="A24" s="801"/>
      <c r="B24" s="802"/>
      <c r="C24" s="803"/>
      <c r="D24" s="804"/>
      <c r="E24" s="804"/>
      <c r="F24" s="804"/>
      <c r="G24" s="804"/>
      <c r="H24" s="804"/>
      <c r="I24" s="804"/>
      <c r="J24" s="805"/>
      <c r="K24" s="805"/>
      <c r="L24" s="804"/>
      <c r="M24" s="804"/>
      <c r="N24" s="804"/>
      <c r="O24" s="804"/>
      <c r="P24" s="804"/>
      <c r="Q24" s="1141"/>
      <c r="R24" s="1141"/>
      <c r="S24" s="1141"/>
      <c r="T24" s="1141"/>
      <c r="U24" s="1141"/>
      <c r="V24" s="1141"/>
      <c r="W24" s="804"/>
    </row>
    <row r="25" spans="1:7" ht="9.75" customHeight="1">
      <c r="A25" s="807"/>
      <c r="B25" s="808"/>
      <c r="C25" s="809"/>
      <c r="D25" s="810" t="e">
        <f>#REF!+#REF!+#REF!+#REF!+#REF!+#REF!+#REF!+#REF!+#REF!+#REF!+#REF!+#REF!+#REF!+#REF!+#REF!+#REF!+#REF!+#REF!+#REF!+#REF!+#REF!</f>
        <v>#REF!</v>
      </c>
      <c r="E25" s="810"/>
      <c r="F25" s="810"/>
      <c r="G25" s="810"/>
    </row>
    <row r="26" spans="1:18" ht="12.75">
      <c r="A26" s="807"/>
      <c r="B26" s="808"/>
      <c r="C26" s="809"/>
      <c r="R26" s="1142"/>
    </row>
    <row r="27" spans="1:3" ht="12.75">
      <c r="A27" s="807"/>
      <c r="B27" s="808"/>
      <c r="C27" s="809"/>
    </row>
    <row r="28" spans="1:3" ht="12.75">
      <c r="A28" s="807"/>
      <c r="B28" s="808"/>
      <c r="C28" s="809"/>
    </row>
    <row r="29" spans="1:7" ht="12.75">
      <c r="A29" s="807"/>
      <c r="B29" s="808"/>
      <c r="C29" s="809"/>
      <c r="D29" s="810"/>
      <c r="E29" s="810"/>
      <c r="F29" s="810"/>
      <c r="G29" s="810"/>
    </row>
    <row r="30" spans="1:3" ht="12.75">
      <c r="A30" s="807"/>
      <c r="B30" s="808"/>
      <c r="C30" s="809"/>
    </row>
    <row r="31" spans="1:3" ht="38.25" customHeight="1">
      <c r="A31" s="807"/>
      <c r="B31" s="808"/>
      <c r="C31" s="809"/>
    </row>
    <row r="32" spans="1:3" ht="12.75">
      <c r="A32" s="807"/>
      <c r="B32" s="808"/>
      <c r="C32" s="809"/>
    </row>
    <row r="33" spans="1:3" ht="12.75">
      <c r="A33" s="807"/>
      <c r="B33" s="808"/>
      <c r="C33" s="809"/>
    </row>
    <row r="34" spans="1:3" ht="12.75">
      <c r="A34" s="807"/>
      <c r="B34" s="808"/>
      <c r="C34" s="809"/>
    </row>
    <row r="35" spans="1:3" ht="12.75">
      <c r="A35" s="807"/>
      <c r="B35" s="808"/>
      <c r="C35" s="809"/>
    </row>
    <row r="36" spans="1:3" ht="12.75">
      <c r="A36" s="807"/>
      <c r="B36" s="808"/>
      <c r="C36" s="809"/>
    </row>
    <row r="37" spans="1:3" ht="12.75">
      <c r="A37" s="807"/>
      <c r="B37" s="808"/>
      <c r="C37" s="809"/>
    </row>
    <row r="38" spans="1:3" ht="12.75">
      <c r="A38" s="807"/>
      <c r="B38" s="808"/>
      <c r="C38" s="809"/>
    </row>
    <row r="39" spans="1:3" ht="12.75">
      <c r="A39" s="807"/>
      <c r="B39" s="808"/>
      <c r="C39" s="809"/>
    </row>
    <row r="40" spans="1:3" ht="12.75">
      <c r="A40" s="807"/>
      <c r="B40" s="808"/>
      <c r="C40" s="809"/>
    </row>
    <row r="41" spans="1:3" ht="12.75">
      <c r="A41" s="809"/>
      <c r="B41" s="808"/>
      <c r="C41" s="809"/>
    </row>
  </sheetData>
  <sheetProtection/>
  <mergeCells count="24">
    <mergeCell ref="R4:R5"/>
    <mergeCell ref="T4:T5"/>
    <mergeCell ref="U4:U5"/>
    <mergeCell ref="V4:V5"/>
    <mergeCell ref="A20:F20"/>
    <mergeCell ref="O4:O5"/>
    <mergeCell ref="P4:P5"/>
    <mergeCell ref="S4:S5"/>
    <mergeCell ref="L4:L5"/>
    <mergeCell ref="M4:M5"/>
    <mergeCell ref="N4:N5"/>
    <mergeCell ref="G4:G5"/>
    <mergeCell ref="A8:F8"/>
    <mergeCell ref="H4:H5"/>
    <mergeCell ref="X4:X5"/>
    <mergeCell ref="A3:F3"/>
    <mergeCell ref="A4:A5"/>
    <mergeCell ref="B4:B5"/>
    <mergeCell ref="E4:E5"/>
    <mergeCell ref="F4:F5"/>
    <mergeCell ref="W4:W5"/>
    <mergeCell ref="I4:I5"/>
    <mergeCell ref="J4:K4"/>
    <mergeCell ref="Q4:Q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2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CV125"/>
  <sheetViews>
    <sheetView zoomScaleSheetLayoutView="100" zoomScalePageLayoutView="0" workbookViewId="0" topLeftCell="A4">
      <selection activeCell="V37" sqref="V37"/>
    </sheetView>
  </sheetViews>
  <sheetFormatPr defaultColWidth="9.140625" defaultRowHeight="15"/>
  <cols>
    <col min="1" max="1" width="16.57421875" style="219" customWidth="1"/>
    <col min="2" max="2" width="37.7109375" style="219" customWidth="1"/>
    <col min="3" max="3" width="12.7109375" style="219" customWidth="1"/>
    <col min="4" max="4" width="14.00390625" style="219" customWidth="1"/>
    <col min="5" max="5" width="17.28125" style="219" customWidth="1"/>
    <col min="6" max="6" width="15.8515625" style="219" customWidth="1"/>
    <col min="7" max="16384" width="9.140625" style="219" customWidth="1"/>
  </cols>
  <sheetData>
    <row r="1" spans="1:6" ht="12.75">
      <c r="A1" s="382" t="s">
        <v>699</v>
      </c>
      <c r="F1" s="219" t="s">
        <v>1118</v>
      </c>
    </row>
    <row r="2" ht="12.75">
      <c r="A2" s="382" t="s">
        <v>405</v>
      </c>
    </row>
    <row r="4" spans="1:6" ht="18.75" customHeight="1">
      <c r="A4" s="2325" t="s">
        <v>1114</v>
      </c>
      <c r="B4" s="2325"/>
      <c r="C4" s="2325"/>
      <c r="D4" s="2325"/>
      <c r="E4" s="2325"/>
      <c r="F4" s="2325"/>
    </row>
    <row r="5" spans="1:5" ht="17.25">
      <c r="A5" s="384"/>
      <c r="B5" s="384"/>
      <c r="C5" s="384"/>
      <c r="D5" s="384"/>
      <c r="E5" s="384"/>
    </row>
    <row r="6" spans="1:5" ht="13.5">
      <c r="A6" s="2326" t="str">
        <f>'4.1'!B6</f>
        <v>Усть-Камчатское муниципальное образование</v>
      </c>
      <c r="B6" s="2326"/>
      <c r="C6" s="2326"/>
      <c r="D6" s="2326"/>
      <c r="E6" s="2326"/>
    </row>
    <row r="8" spans="1:6" ht="66">
      <c r="A8" s="387" t="s">
        <v>1115</v>
      </c>
      <c r="B8" s="387" t="s">
        <v>986</v>
      </c>
      <c r="C8" s="387" t="s">
        <v>987</v>
      </c>
      <c r="D8" s="387" t="s">
        <v>988</v>
      </c>
      <c r="E8" s="387" t="s">
        <v>989</v>
      </c>
      <c r="F8" s="389" t="s">
        <v>1117</v>
      </c>
    </row>
    <row r="9" spans="1:6" ht="12.75">
      <c r="A9" s="388">
        <v>1</v>
      </c>
      <c r="B9" s="388">
        <v>2</v>
      </c>
      <c r="C9" s="388">
        <v>3</v>
      </c>
      <c r="D9" s="388">
        <v>4</v>
      </c>
      <c r="E9" s="388">
        <v>5</v>
      </c>
      <c r="F9" s="391">
        <v>6</v>
      </c>
    </row>
    <row r="10" spans="1:6" ht="12.75">
      <c r="A10" s="391" t="s">
        <v>421</v>
      </c>
      <c r="B10" s="543" t="s">
        <v>1142</v>
      </c>
      <c r="C10" s="391"/>
      <c r="D10" s="257"/>
      <c r="E10" s="257"/>
      <c r="F10" s="257"/>
    </row>
    <row r="11" spans="1:6" ht="12.75">
      <c r="A11" s="391" t="s">
        <v>1667</v>
      </c>
      <c r="B11" s="389"/>
      <c r="C11" s="391"/>
      <c r="D11" s="257"/>
      <c r="E11" s="257"/>
      <c r="F11" s="257"/>
    </row>
    <row r="12" spans="1:6" ht="12.75">
      <c r="A12" s="391"/>
      <c r="B12" s="389"/>
      <c r="C12" s="391"/>
      <c r="D12" s="257"/>
      <c r="E12" s="257"/>
      <c r="F12" s="257"/>
    </row>
    <row r="13" spans="1:6" ht="12.75">
      <c r="A13" s="391"/>
      <c r="B13" s="389"/>
      <c r="C13" s="391"/>
      <c r="D13" s="257"/>
      <c r="E13" s="257"/>
      <c r="F13" s="257"/>
    </row>
    <row r="14" spans="1:6" ht="12.75">
      <c r="A14" s="391"/>
      <c r="B14" s="389"/>
      <c r="C14" s="391"/>
      <c r="D14" s="257"/>
      <c r="E14" s="257"/>
      <c r="F14" s="257"/>
    </row>
    <row r="15" spans="1:6" ht="12.75">
      <c r="A15" s="391"/>
      <c r="B15" s="389"/>
      <c r="C15" s="391"/>
      <c r="D15" s="257"/>
      <c r="E15" s="257"/>
      <c r="F15" s="257"/>
    </row>
    <row r="16" spans="1:6" ht="12.75">
      <c r="A16" s="391"/>
      <c r="B16" s="389"/>
      <c r="C16" s="391"/>
      <c r="D16" s="257"/>
      <c r="E16" s="257"/>
      <c r="F16" s="257"/>
    </row>
    <row r="17" spans="1:6" s="385" customFormat="1" ht="12.75">
      <c r="A17" s="391"/>
      <c r="B17" s="389"/>
      <c r="C17" s="391"/>
      <c r="D17" s="257"/>
      <c r="E17" s="257"/>
      <c r="F17" s="257"/>
    </row>
    <row r="18" spans="1:53" s="385" customFormat="1" ht="13.5">
      <c r="A18" s="391"/>
      <c r="B18" s="390"/>
      <c r="C18" s="391"/>
      <c r="D18" s="390"/>
      <c r="E18" s="390"/>
      <c r="F18" s="390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</row>
    <row r="19" spans="1:53" s="385" customFormat="1" ht="13.5">
      <c r="A19" s="393"/>
      <c r="B19" s="386"/>
      <c r="C19" s="393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</row>
    <row r="20" spans="1:53" s="385" customFormat="1" ht="13.5">
      <c r="A20" s="393"/>
      <c r="B20" s="386"/>
      <c r="C20" s="393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</row>
    <row r="21" spans="1:53" s="385" customFormat="1" ht="13.5">
      <c r="A21" s="542" t="s">
        <v>1155</v>
      </c>
      <c r="B21" s="130"/>
      <c r="C21" s="393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</row>
    <row r="22" spans="1:53" s="385" customFormat="1" ht="13.5">
      <c r="A22" s="393"/>
      <c r="B22" s="130"/>
      <c r="C22" s="393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</row>
    <row r="23" spans="1:53" s="385" customFormat="1" ht="13.5">
      <c r="A23" s="393" t="s">
        <v>304</v>
      </c>
      <c r="B23" s="386"/>
      <c r="C23" s="393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</row>
    <row r="24" spans="1:100" s="385" customFormat="1" ht="35.25" customHeight="1">
      <c r="A24" s="395">
        <v>1</v>
      </c>
      <c r="B24" s="2140" t="s">
        <v>1081</v>
      </c>
      <c r="C24" s="2140"/>
      <c r="D24" s="2140"/>
      <c r="E24" s="214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</row>
    <row r="25" spans="1:100" s="385" customFormat="1" ht="30" customHeight="1">
      <c r="A25" s="395">
        <v>2</v>
      </c>
      <c r="B25" s="2140" t="s">
        <v>1079</v>
      </c>
      <c r="C25" s="2140"/>
      <c r="D25" s="2140"/>
      <c r="E25" s="214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</row>
    <row r="26" spans="1:53" s="385" customFormat="1" ht="13.5">
      <c r="A26" s="393"/>
      <c r="B26" s="130"/>
      <c r="C26" s="393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</row>
    <row r="27" spans="1:53" s="385" customFormat="1" ht="15" customHeight="1">
      <c r="A27" s="393"/>
      <c r="B27" s="130"/>
      <c r="C27" s="393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3" s="385" customFormat="1" ht="13.5">
      <c r="A28" s="393"/>
      <c r="B28" s="130"/>
      <c r="C28" s="393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</row>
    <row r="29" spans="1:53" s="385" customFormat="1" ht="15" customHeight="1">
      <c r="A29" s="393"/>
      <c r="B29" s="130"/>
      <c r="C29" s="393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</row>
    <row r="30" spans="1:53" s="385" customFormat="1" ht="13.5">
      <c r="A30" s="393"/>
      <c r="B30" s="130"/>
      <c r="C30" s="393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</row>
    <row r="31" spans="1:53" s="385" customFormat="1" ht="13.5">
      <c r="A31" s="393"/>
      <c r="B31" s="130"/>
      <c r="C31" s="393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</row>
    <row r="32" spans="1:53" s="385" customFormat="1" ht="13.5">
      <c r="A32" s="393"/>
      <c r="B32" s="130"/>
      <c r="C32" s="393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</row>
    <row r="33" spans="1:53" s="385" customFormat="1" ht="13.5">
      <c r="A33" s="393"/>
      <c r="B33" s="130"/>
      <c r="C33" s="393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</row>
    <row r="34" spans="1:53" s="385" customFormat="1" ht="13.5">
      <c r="A34" s="393"/>
      <c r="B34" s="130"/>
      <c r="C34" s="393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</row>
    <row r="35" spans="1:53" s="385" customFormat="1" ht="13.5">
      <c r="A35" s="393"/>
      <c r="B35" s="386"/>
      <c r="C35" s="393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</row>
    <row r="36" spans="1:53" s="385" customFormat="1" ht="13.5">
      <c r="A36" s="393"/>
      <c r="B36" s="386"/>
      <c r="C36" s="393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</row>
    <row r="37" spans="1:53" s="385" customFormat="1" ht="13.5">
      <c r="A37" s="393"/>
      <c r="B37" s="386"/>
      <c r="C37" s="393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</row>
    <row r="38" spans="1:53" s="385" customFormat="1" ht="13.5">
      <c r="A38" s="393"/>
      <c r="B38" s="386"/>
      <c r="C38" s="393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</row>
    <row r="39" spans="1:53" s="385" customFormat="1" ht="13.5">
      <c r="A39" s="393"/>
      <c r="B39" s="386"/>
      <c r="C39" s="393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</row>
    <row r="40" spans="1:53" s="385" customFormat="1" ht="13.5">
      <c r="A40" s="393"/>
      <c r="B40" s="386"/>
      <c r="C40" s="393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</row>
    <row r="41" spans="1:53" s="385" customFormat="1" ht="13.5">
      <c r="A41" s="393"/>
      <c r="B41" s="130"/>
      <c r="C41" s="393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</row>
    <row r="42" spans="1:53" s="385" customFormat="1" ht="15" customHeight="1">
      <c r="A42" s="393"/>
      <c r="B42" s="130"/>
      <c r="C42" s="393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</row>
    <row r="43" spans="1:53" s="385" customFormat="1" ht="13.5">
      <c r="A43" s="393"/>
      <c r="B43" s="130"/>
      <c r="C43" s="393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</row>
    <row r="44" spans="1:53" s="385" customFormat="1" ht="15" customHeight="1">
      <c r="A44" s="393"/>
      <c r="B44" s="130"/>
      <c r="C44" s="393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</row>
    <row r="45" spans="1:53" s="385" customFormat="1" ht="13.5">
      <c r="A45" s="393"/>
      <c r="B45" s="130"/>
      <c r="C45" s="393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</row>
    <row r="46" spans="1:53" s="385" customFormat="1" ht="13.5">
      <c r="A46" s="393"/>
      <c r="B46" s="130"/>
      <c r="C46" s="393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</row>
    <row r="47" spans="1:53" s="385" customFormat="1" ht="13.5">
      <c r="A47" s="393"/>
      <c r="B47" s="130"/>
      <c r="C47" s="393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</row>
    <row r="48" spans="1:53" s="385" customFormat="1" ht="13.5">
      <c r="A48" s="393"/>
      <c r="B48" s="130"/>
      <c r="C48" s="393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</row>
    <row r="49" spans="1:53" s="385" customFormat="1" ht="13.5">
      <c r="A49" s="393"/>
      <c r="B49" s="130"/>
      <c r="C49" s="393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</row>
    <row r="50" spans="1:53" s="385" customFormat="1" ht="13.5">
      <c r="A50" s="393"/>
      <c r="B50" s="386"/>
      <c r="C50" s="393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</row>
    <row r="51" spans="1:53" s="385" customFormat="1" ht="13.5">
      <c r="A51" s="393"/>
      <c r="B51" s="386"/>
      <c r="C51" s="393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</row>
    <row r="52" spans="1:53" s="385" customFormat="1" ht="13.5">
      <c r="A52" s="393"/>
      <c r="B52" s="386"/>
      <c r="C52" s="393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</row>
    <row r="53" spans="1:53" s="385" customFormat="1" ht="13.5">
      <c r="A53" s="393"/>
      <c r="B53" s="386"/>
      <c r="C53" s="393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</row>
    <row r="54" spans="1:53" s="385" customFormat="1" ht="13.5">
      <c r="A54" s="393"/>
      <c r="B54" s="386"/>
      <c r="C54" s="393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386"/>
    </row>
    <row r="55" spans="1:53" s="385" customFormat="1" ht="13.5">
      <c r="A55" s="393"/>
      <c r="B55" s="386"/>
      <c r="C55" s="393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</row>
    <row r="56" spans="1:53" s="385" customFormat="1" ht="13.5">
      <c r="A56" s="393"/>
      <c r="B56" s="130"/>
      <c r="C56" s="393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</row>
    <row r="57" spans="1:53" s="385" customFormat="1" ht="15" customHeight="1">
      <c r="A57" s="393"/>
      <c r="B57" s="130"/>
      <c r="C57" s="393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</row>
    <row r="58" spans="1:53" s="385" customFormat="1" ht="13.5">
      <c r="A58" s="393"/>
      <c r="B58" s="130"/>
      <c r="C58" s="393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</row>
    <row r="59" spans="1:53" s="385" customFormat="1" ht="15" customHeight="1">
      <c r="A59" s="393"/>
      <c r="B59" s="130"/>
      <c r="C59" s="393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</row>
    <row r="60" spans="1:53" s="385" customFormat="1" ht="13.5">
      <c r="A60" s="393"/>
      <c r="B60" s="130"/>
      <c r="C60" s="393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</row>
    <row r="61" spans="1:53" s="385" customFormat="1" ht="13.5">
      <c r="A61" s="393"/>
      <c r="B61" s="130"/>
      <c r="C61" s="393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</row>
    <row r="62" spans="1:53" s="385" customFormat="1" ht="13.5">
      <c r="A62" s="393"/>
      <c r="B62" s="130"/>
      <c r="C62" s="393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</row>
    <row r="63" spans="1:53" s="385" customFormat="1" ht="13.5">
      <c r="A63" s="393"/>
      <c r="B63" s="130"/>
      <c r="C63" s="393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</row>
    <row r="64" spans="1:53" s="385" customFormat="1" ht="13.5">
      <c r="A64" s="393"/>
      <c r="B64" s="130"/>
      <c r="C64" s="393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</row>
    <row r="65" spans="1:53" s="385" customFormat="1" ht="13.5">
      <c r="A65" s="393"/>
      <c r="B65" s="386"/>
      <c r="C65" s="393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</row>
    <row r="66" spans="1:53" s="385" customFormat="1" ht="13.5">
      <c r="A66" s="393"/>
      <c r="B66" s="386"/>
      <c r="C66" s="393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</row>
    <row r="67" spans="1:53" s="385" customFormat="1" ht="13.5">
      <c r="A67" s="393"/>
      <c r="B67" s="386"/>
      <c r="C67" s="393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</row>
    <row r="68" spans="1:53" s="385" customFormat="1" ht="13.5">
      <c r="A68" s="393"/>
      <c r="B68" s="386"/>
      <c r="C68" s="393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  <c r="AY68" s="386"/>
      <c r="AZ68" s="386"/>
      <c r="BA68" s="386"/>
    </row>
    <row r="69" spans="1:53" s="385" customFormat="1" ht="13.5">
      <c r="A69" s="393"/>
      <c r="B69" s="386"/>
      <c r="C69" s="393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</row>
    <row r="70" spans="1:53" s="385" customFormat="1" ht="13.5">
      <c r="A70" s="393"/>
      <c r="B70" s="386"/>
      <c r="C70" s="393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</row>
    <row r="71" spans="1:53" s="385" customFormat="1" ht="13.5">
      <c r="A71" s="393"/>
      <c r="B71" s="130"/>
      <c r="C71" s="393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</row>
    <row r="72" spans="1:53" s="385" customFormat="1" ht="15" customHeight="1">
      <c r="A72" s="393"/>
      <c r="B72" s="130"/>
      <c r="C72" s="393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</row>
    <row r="73" spans="1:53" s="385" customFormat="1" ht="13.5">
      <c r="A73" s="393"/>
      <c r="B73" s="130"/>
      <c r="C73" s="393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</row>
    <row r="74" spans="1:53" s="385" customFormat="1" ht="15" customHeight="1">
      <c r="A74" s="393"/>
      <c r="B74" s="130"/>
      <c r="C74" s="393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</row>
    <row r="75" spans="1:53" s="385" customFormat="1" ht="13.5">
      <c r="A75" s="393"/>
      <c r="B75" s="130"/>
      <c r="C75" s="393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</row>
    <row r="76" spans="1:53" s="385" customFormat="1" ht="13.5">
      <c r="A76" s="393"/>
      <c r="B76" s="130"/>
      <c r="C76" s="393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</row>
    <row r="77" spans="1:53" s="385" customFormat="1" ht="13.5">
      <c r="A77" s="393"/>
      <c r="B77" s="130"/>
      <c r="C77" s="393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</row>
    <row r="78" spans="1:53" s="385" customFormat="1" ht="13.5">
      <c r="A78" s="393"/>
      <c r="B78" s="130"/>
      <c r="C78" s="393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</row>
    <row r="79" spans="1:53" s="385" customFormat="1" ht="13.5">
      <c r="A79" s="393"/>
      <c r="B79" s="130"/>
      <c r="C79" s="393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</row>
    <row r="80" spans="1:53" s="385" customFormat="1" ht="13.5">
      <c r="A80" s="393"/>
      <c r="B80" s="386"/>
      <c r="C80" s="393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6"/>
      <c r="AZ80" s="386"/>
      <c r="BA80" s="386"/>
    </row>
    <row r="81" spans="1:53" s="385" customFormat="1" ht="13.5">
      <c r="A81" s="393"/>
      <c r="B81" s="386"/>
      <c r="C81" s="393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</row>
    <row r="82" spans="1:53" s="385" customFormat="1" ht="13.5">
      <c r="A82" s="393"/>
      <c r="B82" s="386"/>
      <c r="C82" s="393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</row>
    <row r="83" spans="1:53" s="385" customFormat="1" ht="13.5">
      <c r="A83" s="393"/>
      <c r="B83" s="386"/>
      <c r="C83" s="393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</row>
    <row r="84" spans="1:53" s="385" customFormat="1" ht="13.5">
      <c r="A84" s="393"/>
      <c r="B84" s="386"/>
      <c r="C84" s="393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</row>
    <row r="85" spans="1:53" s="385" customFormat="1" ht="13.5">
      <c r="A85" s="393"/>
      <c r="B85" s="386"/>
      <c r="C85" s="393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</row>
    <row r="86" spans="1:53" s="385" customFormat="1" ht="13.5">
      <c r="A86" s="393"/>
      <c r="B86" s="130"/>
      <c r="C86" s="393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</row>
    <row r="87" spans="1:53" s="385" customFormat="1" ht="15" customHeight="1">
      <c r="A87" s="393"/>
      <c r="B87" s="130"/>
      <c r="C87" s="393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</row>
    <row r="88" spans="1:53" s="385" customFormat="1" ht="13.5">
      <c r="A88" s="393"/>
      <c r="B88" s="130"/>
      <c r="C88" s="392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</row>
    <row r="89" spans="1:53" s="385" customFormat="1" ht="13.5">
      <c r="A89" s="393"/>
      <c r="B89" s="130"/>
      <c r="C89" s="392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</row>
    <row r="90" spans="1:53" s="385" customFormat="1" ht="13.5">
      <c r="A90" s="393"/>
      <c r="B90" s="130"/>
      <c r="C90" s="392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</row>
    <row r="91" spans="1:53" s="385" customFormat="1" ht="13.5">
      <c r="A91" s="393"/>
      <c r="B91" s="130"/>
      <c r="C91" s="392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</row>
    <row r="92" spans="1:53" s="385" customFormat="1" ht="13.5">
      <c r="A92" s="393"/>
      <c r="B92" s="130"/>
      <c r="C92" s="392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</row>
    <row r="93" spans="1:53" s="385" customFormat="1" ht="13.5">
      <c r="A93" s="393"/>
      <c r="B93" s="130"/>
      <c r="C93" s="392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</row>
    <row r="94" spans="1:53" s="385" customFormat="1" ht="13.5">
      <c r="A94" s="393"/>
      <c r="B94" s="130"/>
      <c r="C94" s="392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</row>
    <row r="95" spans="1:53" s="385" customFormat="1" ht="13.5">
      <c r="A95" s="393"/>
      <c r="B95" s="386"/>
      <c r="C95" s="392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</row>
    <row r="96" spans="1:53" s="385" customFormat="1" ht="13.5">
      <c r="A96" s="393"/>
      <c r="B96" s="386"/>
      <c r="C96" s="392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86"/>
      <c r="AU96" s="386"/>
      <c r="AV96" s="386"/>
      <c r="AW96" s="386"/>
      <c r="AX96" s="386"/>
      <c r="AY96" s="386"/>
      <c r="AZ96" s="386"/>
      <c r="BA96" s="386"/>
    </row>
    <row r="97" spans="1:53" s="385" customFormat="1" ht="13.5">
      <c r="A97" s="393"/>
      <c r="B97" s="386"/>
      <c r="C97" s="392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</row>
    <row r="98" spans="1:53" s="385" customFormat="1" ht="13.5">
      <c r="A98" s="393"/>
      <c r="B98" s="386"/>
      <c r="C98" s="392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</row>
    <row r="99" spans="1:53" s="385" customFormat="1" ht="13.5">
      <c r="A99" s="393"/>
      <c r="B99" s="386"/>
      <c r="C99" s="392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  <c r="BA99" s="386"/>
    </row>
    <row r="100" spans="1:53" s="385" customFormat="1" ht="13.5">
      <c r="A100" s="393"/>
      <c r="B100" s="386"/>
      <c r="C100" s="392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6"/>
      <c r="AL100" s="386"/>
      <c r="AM100" s="386"/>
      <c r="AN100" s="386"/>
      <c r="AO100" s="386"/>
      <c r="AP100" s="386"/>
      <c r="AQ100" s="386"/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</row>
    <row r="101" spans="1:53" s="385" customFormat="1" ht="13.5">
      <c r="A101" s="393"/>
      <c r="B101" s="130"/>
      <c r="C101" s="392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</row>
    <row r="102" spans="1:53" s="385" customFormat="1" ht="15" customHeight="1">
      <c r="A102" s="393"/>
      <c r="B102" s="130"/>
      <c r="C102" s="392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</row>
    <row r="103" spans="1:53" s="385" customFormat="1" ht="13.5">
      <c r="A103" s="393"/>
      <c r="B103" s="130"/>
      <c r="C103" s="392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</row>
    <row r="104" spans="1:53" s="385" customFormat="1" ht="13.5">
      <c r="A104" s="393"/>
      <c r="B104" s="130"/>
      <c r="C104" s="392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</row>
    <row r="105" spans="1:53" s="385" customFormat="1" ht="13.5">
      <c r="A105" s="393"/>
      <c r="B105" s="130"/>
      <c r="C105" s="392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</row>
    <row r="106" spans="1:53" s="385" customFormat="1" ht="13.5">
      <c r="A106" s="393"/>
      <c r="B106" s="130"/>
      <c r="C106" s="392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</row>
    <row r="107" spans="1:53" s="385" customFormat="1" ht="13.5">
      <c r="A107" s="393"/>
      <c r="B107" s="130"/>
      <c r="C107" s="392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</row>
    <row r="108" spans="1:53" s="385" customFormat="1" ht="13.5">
      <c r="A108" s="393"/>
      <c r="B108" s="130"/>
      <c r="C108" s="392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</row>
    <row r="109" spans="1:53" s="385" customFormat="1" ht="13.5">
      <c r="A109" s="393"/>
      <c r="B109" s="130"/>
      <c r="C109" s="392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</row>
    <row r="110" spans="1:53" s="385" customFormat="1" ht="13.5">
      <c r="A110" s="393"/>
      <c r="B110" s="386"/>
      <c r="C110" s="392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6"/>
      <c r="X110" s="386"/>
      <c r="Y110" s="386"/>
      <c r="Z110" s="386"/>
      <c r="AA110" s="386"/>
      <c r="AB110" s="386"/>
      <c r="AC110" s="386"/>
      <c r="AD110" s="386"/>
      <c r="AE110" s="386"/>
      <c r="AF110" s="386"/>
      <c r="AG110" s="386"/>
      <c r="AH110" s="386"/>
      <c r="AI110" s="386"/>
      <c r="AJ110" s="386"/>
      <c r="AK110" s="386"/>
      <c r="AL110" s="386"/>
      <c r="AM110" s="386"/>
      <c r="AN110" s="386"/>
      <c r="AO110" s="386"/>
      <c r="AP110" s="386"/>
      <c r="AQ110" s="386"/>
      <c r="AR110" s="386"/>
      <c r="AS110" s="386"/>
      <c r="AT110" s="386"/>
      <c r="AU110" s="386"/>
      <c r="AV110" s="386"/>
      <c r="AW110" s="386"/>
      <c r="AX110" s="386"/>
      <c r="AY110" s="386"/>
      <c r="AZ110" s="386"/>
      <c r="BA110" s="386"/>
    </row>
    <row r="111" spans="1:53" s="385" customFormat="1" ht="13.5">
      <c r="A111" s="393"/>
      <c r="B111" s="386"/>
      <c r="C111" s="392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6"/>
      <c r="BA111" s="386"/>
    </row>
    <row r="112" spans="1:53" s="385" customFormat="1" ht="13.5">
      <c r="A112" s="393"/>
      <c r="B112" s="386"/>
      <c r="C112" s="392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</row>
    <row r="113" spans="1:53" s="385" customFormat="1" ht="13.5">
      <c r="A113" s="393"/>
      <c r="B113" s="386"/>
      <c r="C113" s="392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6"/>
      <c r="X113" s="386"/>
      <c r="Y113" s="386"/>
      <c r="Z113" s="386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</row>
    <row r="114" spans="1:53" s="385" customFormat="1" ht="13.5">
      <c r="A114" s="393"/>
      <c r="B114" s="386"/>
      <c r="C114" s="392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6"/>
      <c r="X114" s="386"/>
      <c r="Y114" s="386"/>
      <c r="Z114" s="386"/>
      <c r="AA114" s="386"/>
      <c r="AB114" s="386"/>
      <c r="AC114" s="386"/>
      <c r="AD114" s="386"/>
      <c r="AE114" s="386"/>
      <c r="AF114" s="386"/>
      <c r="AG114" s="386"/>
      <c r="AH114" s="386"/>
      <c r="AI114" s="386"/>
      <c r="AJ114" s="386"/>
      <c r="AK114" s="386"/>
      <c r="AL114" s="386"/>
      <c r="AM114" s="386"/>
      <c r="AN114" s="386"/>
      <c r="AO114" s="386"/>
      <c r="AP114" s="386"/>
      <c r="AQ114" s="386"/>
      <c r="AR114" s="386"/>
      <c r="AS114" s="386"/>
      <c r="AT114" s="386"/>
      <c r="AU114" s="386"/>
      <c r="AV114" s="386"/>
      <c r="AW114" s="386"/>
      <c r="AX114" s="386"/>
      <c r="AY114" s="386"/>
      <c r="AZ114" s="386"/>
      <c r="BA114" s="386"/>
    </row>
    <row r="115" spans="1:53" s="385" customFormat="1" ht="13.5">
      <c r="A115" s="393"/>
      <c r="B115" s="386"/>
      <c r="C115" s="392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6"/>
      <c r="X115" s="386"/>
      <c r="Y115" s="386"/>
      <c r="Z115" s="386"/>
      <c r="AA115" s="386"/>
      <c r="AB115" s="386"/>
      <c r="AC115" s="386"/>
      <c r="AD115" s="386"/>
      <c r="AE115" s="386"/>
      <c r="AF115" s="386"/>
      <c r="AG115" s="386"/>
      <c r="AH115" s="386"/>
      <c r="AI115" s="386"/>
      <c r="AJ115" s="386"/>
      <c r="AK115" s="386"/>
      <c r="AL115" s="386"/>
      <c r="AM115" s="386"/>
      <c r="AN115" s="386"/>
      <c r="AO115" s="386"/>
      <c r="AP115" s="386"/>
      <c r="AQ115" s="386"/>
      <c r="AR115" s="386"/>
      <c r="AS115" s="386"/>
      <c r="AT115" s="386"/>
      <c r="AU115" s="386"/>
      <c r="AV115" s="386"/>
      <c r="AW115" s="386"/>
      <c r="AX115" s="386"/>
      <c r="AY115" s="386"/>
      <c r="AZ115" s="386"/>
      <c r="BA115" s="386"/>
    </row>
    <row r="116" spans="1:53" s="385" customFormat="1" ht="13.5">
      <c r="A116" s="393"/>
      <c r="B116" s="130"/>
      <c r="C116" s="392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</row>
    <row r="117" spans="1:53" s="385" customFormat="1" ht="15" customHeight="1">
      <c r="A117" s="393"/>
      <c r="B117" s="130"/>
      <c r="C117" s="392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</row>
    <row r="118" spans="1:53" s="385" customFormat="1" ht="15" customHeight="1">
      <c r="A118" s="394"/>
      <c r="B118" s="386"/>
      <c r="C118" s="392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  <c r="T118" s="386"/>
      <c r="U118" s="386"/>
      <c r="V118" s="386"/>
      <c r="W118" s="386"/>
      <c r="X118" s="386"/>
      <c r="Y118" s="386"/>
      <c r="Z118" s="386"/>
      <c r="AA118" s="386"/>
      <c r="AB118" s="386"/>
      <c r="AC118" s="386"/>
      <c r="AD118" s="386"/>
      <c r="AE118" s="386"/>
      <c r="AF118" s="386"/>
      <c r="AG118" s="386"/>
      <c r="AH118" s="386"/>
      <c r="AI118" s="386"/>
      <c r="AJ118" s="386"/>
      <c r="AK118" s="386"/>
      <c r="AL118" s="386"/>
      <c r="AM118" s="386"/>
      <c r="AN118" s="386"/>
      <c r="AO118" s="386"/>
      <c r="AP118" s="386"/>
      <c r="AQ118" s="386"/>
      <c r="AR118" s="386"/>
      <c r="AS118" s="386"/>
      <c r="AT118" s="386"/>
      <c r="AU118" s="386"/>
      <c r="AV118" s="386"/>
      <c r="AW118" s="386"/>
      <c r="AX118" s="386"/>
      <c r="AY118" s="386"/>
      <c r="AZ118" s="386"/>
      <c r="BA118" s="386"/>
    </row>
    <row r="119" spans="1:53" s="385" customFormat="1" ht="13.5">
      <c r="A119" s="394"/>
      <c r="B119" s="386"/>
      <c r="C119" s="392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U119" s="386"/>
      <c r="V119" s="386"/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386"/>
      <c r="AH119" s="386"/>
      <c r="AI119" s="386"/>
      <c r="AJ119" s="386"/>
      <c r="AK119" s="386"/>
      <c r="AL119" s="386"/>
      <c r="AM119" s="386"/>
      <c r="AN119" s="386"/>
      <c r="AO119" s="386"/>
      <c r="AP119" s="386"/>
      <c r="AQ119" s="386"/>
      <c r="AR119" s="386"/>
      <c r="AS119" s="386"/>
      <c r="AT119" s="386"/>
      <c r="AU119" s="386"/>
      <c r="AV119" s="386"/>
      <c r="AW119" s="386"/>
      <c r="AX119" s="386"/>
      <c r="AY119" s="386"/>
      <c r="AZ119" s="386"/>
      <c r="BA119" s="386"/>
    </row>
    <row r="120" spans="1:53" s="385" customFormat="1" ht="13.5">
      <c r="A120" s="394"/>
      <c r="B120" s="386"/>
      <c r="C120" s="392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6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F120" s="386"/>
      <c r="AG120" s="386"/>
      <c r="AH120" s="386"/>
      <c r="AI120" s="386"/>
      <c r="AJ120" s="386"/>
      <c r="AK120" s="386"/>
      <c r="AL120" s="386"/>
      <c r="AM120" s="386"/>
      <c r="AN120" s="386"/>
      <c r="AO120" s="386"/>
      <c r="AP120" s="386"/>
      <c r="AQ120" s="386"/>
      <c r="AR120" s="386"/>
      <c r="AS120" s="386"/>
      <c r="AT120" s="386"/>
      <c r="AU120" s="386"/>
      <c r="AV120" s="386"/>
      <c r="AW120" s="386"/>
      <c r="AX120" s="386"/>
      <c r="AY120" s="386"/>
      <c r="AZ120" s="386"/>
      <c r="BA120" s="386"/>
    </row>
    <row r="121" spans="1:53" s="385" customFormat="1" ht="13.5">
      <c r="A121" s="394"/>
      <c r="B121" s="386"/>
      <c r="C121" s="392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6"/>
      <c r="S121" s="386"/>
      <c r="T121" s="386"/>
      <c r="U121" s="386"/>
      <c r="V121" s="386"/>
      <c r="W121" s="386"/>
      <c r="X121" s="386"/>
      <c r="Y121" s="386"/>
      <c r="Z121" s="386"/>
      <c r="AA121" s="386"/>
      <c r="AB121" s="386"/>
      <c r="AC121" s="386"/>
      <c r="AD121" s="386"/>
      <c r="AE121" s="386"/>
      <c r="AF121" s="386"/>
      <c r="AG121" s="386"/>
      <c r="AH121" s="386"/>
      <c r="AI121" s="386"/>
      <c r="AJ121" s="386"/>
      <c r="AK121" s="386"/>
      <c r="AL121" s="386"/>
      <c r="AM121" s="386"/>
      <c r="AN121" s="386"/>
      <c r="AO121" s="386"/>
      <c r="AP121" s="386"/>
      <c r="AQ121" s="386"/>
      <c r="AR121" s="386"/>
      <c r="AS121" s="386"/>
      <c r="AT121" s="386"/>
      <c r="AU121" s="386"/>
      <c r="AV121" s="386"/>
      <c r="AW121" s="386"/>
      <c r="AX121" s="386"/>
      <c r="AY121" s="386"/>
      <c r="AZ121" s="386"/>
      <c r="BA121" s="386"/>
    </row>
    <row r="124" spans="1:100" ht="13.5">
      <c r="A124" s="383"/>
      <c r="B124" s="2140"/>
      <c r="C124" s="2140"/>
      <c r="D124" s="2140"/>
      <c r="E124" s="2140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</row>
    <row r="125" spans="1:100" ht="13.5">
      <c r="A125" s="383"/>
      <c r="B125" s="2140"/>
      <c r="C125" s="2140"/>
      <c r="D125" s="2140"/>
      <c r="E125" s="2140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</row>
  </sheetData>
  <sheetProtection/>
  <mergeCells count="6">
    <mergeCell ref="A4:F4"/>
    <mergeCell ref="A6:E6"/>
    <mergeCell ref="B124:E124"/>
    <mergeCell ref="B125:E125"/>
    <mergeCell ref="B24:E24"/>
    <mergeCell ref="B25:E25"/>
  </mergeCells>
  <printOptions/>
  <pageMargins left="0.7" right="0.7" top="0.75" bottom="0.75" header="0.3" footer="0.3"/>
  <pageSetup orientation="portrait" paperSize="9" scale="7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SheetLayoutView="100" zoomScalePageLayoutView="0" workbookViewId="0" topLeftCell="A5">
      <selection activeCell="V37" sqref="V37"/>
    </sheetView>
  </sheetViews>
  <sheetFormatPr defaultColWidth="9.140625" defaultRowHeight="15"/>
  <cols>
    <col min="2" max="2" width="45.7109375" style="0" customWidth="1"/>
    <col min="3" max="3" width="27.28125" style="0" customWidth="1"/>
    <col min="4" max="4" width="27.57421875" style="0" customWidth="1"/>
    <col min="5" max="5" width="22.57421875" style="0" customWidth="1"/>
    <col min="6" max="6" width="24.421875" style="0" customWidth="1"/>
  </cols>
  <sheetData>
    <row r="1" spans="1:4" ht="14.25">
      <c r="A1" t="str">
        <f>'4.1'!B2</f>
        <v>Теплоснабжающая организация: ООО "Интэко"</v>
      </c>
      <c r="D1" s="409" t="s">
        <v>844</v>
      </c>
    </row>
    <row r="2" spans="1:2" ht="14.25">
      <c r="A2" s="1477" t="str">
        <f>'4.1'!B3</f>
        <v>Базовый период/Период регулирования:2016/2017-2019 г.г.</v>
      </c>
      <c r="B2" s="1477"/>
    </row>
    <row r="4" spans="1:4" ht="30" customHeight="1">
      <c r="A4" s="2328" t="s">
        <v>990</v>
      </c>
      <c r="B4" s="2328"/>
      <c r="C4" s="2328"/>
      <c r="D4" s="2328"/>
    </row>
    <row r="6" spans="1:5" ht="48" customHeight="1">
      <c r="A6" s="158" t="s">
        <v>1662</v>
      </c>
      <c r="B6" s="158" t="s">
        <v>991</v>
      </c>
      <c r="C6" s="406" t="s">
        <v>355</v>
      </c>
      <c r="D6" s="406" t="s">
        <v>76</v>
      </c>
      <c r="E6" s="406" t="s">
        <v>356</v>
      </c>
    </row>
    <row r="7" spans="1:5" ht="14.25">
      <c r="A7" s="402">
        <v>1</v>
      </c>
      <c r="B7" s="402">
        <v>2</v>
      </c>
      <c r="C7" s="400">
        <v>4</v>
      </c>
      <c r="D7" s="400">
        <v>4</v>
      </c>
      <c r="E7" s="400">
        <v>4</v>
      </c>
    </row>
    <row r="8" spans="1:5" ht="14.25">
      <c r="A8" s="403" t="s">
        <v>1671</v>
      </c>
      <c r="B8" s="404" t="s">
        <v>992</v>
      </c>
      <c r="C8" s="2021">
        <f>'4.6 Смета'!I12</f>
        <v>287.951</v>
      </c>
      <c r="D8" s="2021">
        <f>'4.6 Смета'!L12</f>
        <v>364.438272</v>
      </c>
      <c r="E8" s="2021">
        <f>'4.6 Смета'!O12</f>
        <v>386.14633115399994</v>
      </c>
    </row>
    <row r="9" spans="1:5" ht="14.25">
      <c r="A9" s="403" t="s">
        <v>1664</v>
      </c>
      <c r="B9" s="404" t="s">
        <v>993</v>
      </c>
      <c r="C9" s="2021">
        <f>'4.6 Смета'!I27</f>
        <v>0</v>
      </c>
      <c r="D9" s="2021">
        <f>'4.6 Смета'!L27</f>
        <v>0</v>
      </c>
      <c r="E9" s="2021">
        <f>'4.6 Смета'!O27</f>
        <v>0</v>
      </c>
    </row>
    <row r="10" spans="1:5" ht="14.25">
      <c r="A10" s="403" t="s">
        <v>1666</v>
      </c>
      <c r="B10" s="404" t="s">
        <v>994</v>
      </c>
      <c r="C10" s="2021">
        <f>'4.6 Смета'!I25</f>
        <v>6097.15202840016</v>
      </c>
      <c r="D10" s="2021">
        <f>'4.6 Смета'!L25</f>
        <v>6432.827045962169</v>
      </c>
      <c r="E10" s="2021">
        <f>'4.6 Смета'!O25</f>
        <v>6693.997281560088</v>
      </c>
    </row>
    <row r="11" spans="1:5" ht="15" customHeight="1">
      <c r="A11" s="403" t="s">
        <v>1672</v>
      </c>
      <c r="B11" s="404" t="s">
        <v>995</v>
      </c>
      <c r="C11" s="748">
        <f>'4.6 Смета'!I33</f>
        <v>734.489</v>
      </c>
      <c r="D11" s="748">
        <f>'4.6 Смета'!L33</f>
        <v>115.94885099999999</v>
      </c>
      <c r="E11" s="748">
        <f>'4.6 Смета'!O33</f>
        <v>122.789833209</v>
      </c>
    </row>
    <row r="12" spans="1:5" ht="43.5" customHeight="1">
      <c r="A12" s="403" t="s">
        <v>1673</v>
      </c>
      <c r="B12" s="404" t="s">
        <v>996</v>
      </c>
      <c r="C12" s="2022">
        <f>SUM(C13:C20)</f>
        <v>98.64300000000001</v>
      </c>
      <c r="D12" s="2022">
        <f>SUM(D13:D20)</f>
        <v>63.723944999999986</v>
      </c>
      <c r="E12" s="2022">
        <f>SUM(E13:E20)</f>
        <v>135.054468195</v>
      </c>
    </row>
    <row r="13" spans="1:5" ht="14.25">
      <c r="A13" s="403" t="s">
        <v>428</v>
      </c>
      <c r="B13" s="404" t="s">
        <v>897</v>
      </c>
      <c r="C13" s="747">
        <f>'4.6 Смета'!I51</f>
        <v>23.386</v>
      </c>
      <c r="D13" s="747">
        <f>'4.6 Смета'!L51</f>
        <v>20.262906</v>
      </c>
      <c r="E13" s="747">
        <f>'4.6 Смета'!O51</f>
        <v>21.458417454</v>
      </c>
    </row>
    <row r="14" spans="1:5" ht="14.25">
      <c r="A14" s="403" t="s">
        <v>429</v>
      </c>
      <c r="B14" s="404" t="s">
        <v>898</v>
      </c>
      <c r="C14" s="747">
        <f>'4.6 Смета'!I52</f>
        <v>34.016</v>
      </c>
      <c r="D14" s="747">
        <f>'4.6 Смета'!L52</f>
        <v>0</v>
      </c>
      <c r="E14" s="747">
        <f>'4.6 Смета'!O52</f>
        <v>36.022943999999995</v>
      </c>
    </row>
    <row r="15" spans="1:5" ht="14.25">
      <c r="A15" s="403" t="s">
        <v>430</v>
      </c>
      <c r="B15" s="404" t="s">
        <v>899</v>
      </c>
      <c r="C15" s="747">
        <f>'4.6 Смета'!I53</f>
        <v>12.54</v>
      </c>
      <c r="D15" s="747">
        <f>'4.6 Смета'!L53</f>
        <v>13.06668</v>
      </c>
      <c r="E15" s="747">
        <f>'4.6 Смета'!O53</f>
        <v>13.61548056</v>
      </c>
    </row>
    <row r="16" spans="1:5" ht="12.75" customHeight="1">
      <c r="A16" s="403" t="s">
        <v>997</v>
      </c>
      <c r="B16" s="404" t="s">
        <v>900</v>
      </c>
      <c r="C16" s="747">
        <f>'4.6 Смета'!I54</f>
        <v>2.126</v>
      </c>
      <c r="D16" s="747">
        <f>'4.6 Смета'!L54</f>
        <v>2.2514339999999997</v>
      </c>
      <c r="E16" s="747">
        <f>'4.6 Смета'!O54</f>
        <v>2.3842686059999996</v>
      </c>
    </row>
    <row r="17" spans="1:5" ht="14.25">
      <c r="A17" s="403" t="s">
        <v>998</v>
      </c>
      <c r="B17" s="404" t="s">
        <v>901</v>
      </c>
      <c r="C17" s="747">
        <f>'4.6 Смета'!I57</f>
        <v>14.882</v>
      </c>
      <c r="D17" s="747">
        <f>'4.6 Смета'!L57</f>
        <v>15.760037999999998</v>
      </c>
      <c r="E17" s="747">
        <f>'4.6 Смета'!O57</f>
        <v>16.689880241999997</v>
      </c>
    </row>
    <row r="18" spans="1:5" ht="14.25">
      <c r="A18" s="403" t="s">
        <v>1250</v>
      </c>
      <c r="B18" s="404" t="s">
        <v>902</v>
      </c>
      <c r="C18" s="747">
        <f>'4.6 Смета'!I61</f>
        <v>0</v>
      </c>
      <c r="D18" s="747">
        <f>'4.6 Смета'!L61</f>
        <v>0</v>
      </c>
      <c r="E18" s="747">
        <f>'4.6 Смета'!O61</f>
        <v>31.77</v>
      </c>
    </row>
    <row r="19" spans="1:5" ht="14.25">
      <c r="A19" s="403" t="s">
        <v>1642</v>
      </c>
      <c r="B19" s="404" t="s">
        <v>903</v>
      </c>
      <c r="C19" s="747">
        <f>'4.6 Смета'!I62</f>
        <v>11.693</v>
      </c>
      <c r="D19" s="747">
        <f>'4.6 Смета'!L62</f>
        <v>12.382886999999998</v>
      </c>
      <c r="E19" s="747">
        <f>'4.6 Смета'!O62</f>
        <v>13.113477332999997</v>
      </c>
    </row>
    <row r="20" spans="1:5" ht="14.25">
      <c r="A20" s="403" t="s">
        <v>904</v>
      </c>
      <c r="B20" s="404" t="s">
        <v>834</v>
      </c>
      <c r="C20" s="400"/>
      <c r="D20" s="400"/>
      <c r="E20" s="400"/>
    </row>
    <row r="21" spans="1:5" ht="14.25">
      <c r="A21" s="403" t="s">
        <v>1674</v>
      </c>
      <c r="B21" s="404" t="s">
        <v>835</v>
      </c>
      <c r="C21" s="748">
        <f>'4.6 Смета'!I81</f>
        <v>178.584</v>
      </c>
      <c r="D21" s="748">
        <f>'4.6 Смета'!L81</f>
        <v>189.120456</v>
      </c>
      <c r="E21" s="748">
        <f>'4.6 Смета'!O81</f>
        <v>200.27856290399998</v>
      </c>
    </row>
    <row r="22" spans="1:5" ht="14.25">
      <c r="A22" s="403" t="s">
        <v>1677</v>
      </c>
      <c r="B22" s="404" t="s">
        <v>836</v>
      </c>
      <c r="C22" s="748">
        <f>'4.6 Смета'!I82</f>
        <v>31.889999999999997</v>
      </c>
      <c r="D22" s="748">
        <f>'4.6 Смета'!L82</f>
        <v>33.77150999999999</v>
      </c>
      <c r="E22" s="748">
        <f>'4.6 Смета'!O82</f>
        <v>35.76402908999999</v>
      </c>
    </row>
    <row r="23" spans="1:5" ht="14.25">
      <c r="A23" s="403" t="s">
        <v>1678</v>
      </c>
      <c r="B23" s="404" t="s">
        <v>837</v>
      </c>
      <c r="C23" s="2023"/>
      <c r="D23" s="2023"/>
      <c r="E23" s="2023"/>
    </row>
    <row r="24" spans="1:5" ht="14.25">
      <c r="A24" s="403" t="s">
        <v>1679</v>
      </c>
      <c r="B24" s="404" t="s">
        <v>838</v>
      </c>
      <c r="C24" s="748"/>
      <c r="D24" s="2023"/>
      <c r="E24" s="2023"/>
    </row>
    <row r="25" spans="1:5" ht="14.25">
      <c r="A25" s="403" t="s">
        <v>1680</v>
      </c>
      <c r="B25" s="404" t="s">
        <v>839</v>
      </c>
      <c r="C25" s="748">
        <f>C26+C27</f>
        <v>0</v>
      </c>
      <c r="D25" s="748">
        <f>D26+D27</f>
        <v>0</v>
      </c>
      <c r="E25" s="748">
        <f>E26+E27</f>
        <v>0</v>
      </c>
    </row>
    <row r="26" spans="1:5" ht="14.25">
      <c r="A26" s="403" t="s">
        <v>840</v>
      </c>
      <c r="B26" s="405" t="s">
        <v>1092</v>
      </c>
      <c r="C26" s="747"/>
      <c r="D26" s="747"/>
      <c r="E26" s="747"/>
    </row>
    <row r="27" spans="1:5" ht="14.25">
      <c r="A27" s="403" t="s">
        <v>841</v>
      </c>
      <c r="B27" s="405"/>
      <c r="C27" s="400"/>
      <c r="D27" s="400"/>
      <c r="E27" s="400"/>
    </row>
    <row r="28" spans="1:5" ht="14.25">
      <c r="A28" s="403" t="s">
        <v>1660</v>
      </c>
      <c r="B28" s="405"/>
      <c r="C28" s="400"/>
      <c r="D28" s="400"/>
      <c r="E28" s="400"/>
    </row>
    <row r="29" spans="1:5" ht="14.25">
      <c r="A29" s="403"/>
      <c r="B29" s="405" t="s">
        <v>842</v>
      </c>
      <c r="C29" s="748">
        <f>SUM(C8:C12)+SUM(C21:C25)</f>
        <v>7428.709028400161</v>
      </c>
      <c r="D29" s="748">
        <f>SUM(D8:D12)+SUM(D21:D25)</f>
        <v>7199.830079962169</v>
      </c>
      <c r="E29" s="748">
        <f>SUM(E8:E12)+SUM(E21:E25)</f>
        <v>7574.030506112087</v>
      </c>
    </row>
    <row r="32" ht="14.25">
      <c r="B32" t="s">
        <v>75</v>
      </c>
    </row>
    <row r="34" ht="14.25">
      <c r="A34" t="s">
        <v>304</v>
      </c>
    </row>
    <row r="35" spans="1:4" ht="29.25" customHeight="1">
      <c r="A35" s="408" t="s">
        <v>238</v>
      </c>
      <c r="B35" s="2327" t="s">
        <v>843</v>
      </c>
      <c r="C35" s="2327"/>
      <c r="D35" s="2327"/>
    </row>
  </sheetData>
  <sheetProtection/>
  <mergeCells count="2">
    <mergeCell ref="B35:D35"/>
    <mergeCell ref="A4:D4"/>
  </mergeCells>
  <printOptions/>
  <pageMargins left="0.7" right="0.7" top="0.75" bottom="0.75" header="0.3" footer="0.3"/>
  <pageSetup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DB25"/>
  <sheetViews>
    <sheetView zoomScaleSheetLayoutView="100" zoomScalePageLayoutView="0" workbookViewId="0" topLeftCell="A4">
      <selection activeCell="V37" sqref="V37"/>
    </sheetView>
  </sheetViews>
  <sheetFormatPr defaultColWidth="9.140625" defaultRowHeight="15"/>
  <cols>
    <col min="1" max="1" width="3.28125" style="0" customWidth="1"/>
    <col min="2" max="2" width="39.7109375" style="0" customWidth="1"/>
    <col min="3" max="3" width="10.140625" style="0" customWidth="1"/>
  </cols>
  <sheetData>
    <row r="1" spans="1:9" ht="14.25">
      <c r="A1" t="str">
        <f>'4.1'!B2</f>
        <v>Теплоснабжающая организация: ООО "Интэко"</v>
      </c>
      <c r="F1" s="2331" t="s">
        <v>857</v>
      </c>
      <c r="G1" s="2331"/>
      <c r="H1" s="1478"/>
      <c r="I1" s="516"/>
    </row>
    <row r="2" spans="1:9" ht="14.25">
      <c r="A2" s="1477" t="str">
        <f>'4.1'!B3</f>
        <v>Базовый период/Период регулирования:2016/2017-2019 г.г.</v>
      </c>
      <c r="B2" s="1477"/>
      <c r="C2" s="1477"/>
      <c r="F2" s="1114"/>
      <c r="G2" s="1114"/>
      <c r="H2" s="1114"/>
      <c r="I2" s="1114"/>
    </row>
    <row r="4" spans="1:7" ht="31.5" customHeight="1">
      <c r="A4" s="2330" t="s">
        <v>165</v>
      </c>
      <c r="B4" s="2330"/>
      <c r="C4" s="2330"/>
      <c r="D4" s="2330"/>
      <c r="E4" s="2330"/>
      <c r="F4" s="2330"/>
      <c r="G4" s="2330"/>
    </row>
    <row r="5" spans="1:7" ht="15">
      <c r="A5" s="410"/>
      <c r="B5" s="410"/>
      <c r="C5" s="410"/>
      <c r="D5" s="410"/>
      <c r="E5" s="410"/>
      <c r="F5" s="410"/>
      <c r="G5" s="410"/>
    </row>
    <row r="6" ht="14.25">
      <c r="B6" s="413" t="str">
        <f>'4.1'!B6</f>
        <v>Усть-Камчатское муниципальное образование</v>
      </c>
    </row>
    <row r="7" spans="1:7" ht="30" customHeight="1">
      <c r="A7" s="2329" t="s">
        <v>845</v>
      </c>
      <c r="B7" s="2329" t="s">
        <v>846</v>
      </c>
      <c r="C7" s="2334" t="s">
        <v>908</v>
      </c>
      <c r="D7" s="2334" t="s">
        <v>847</v>
      </c>
      <c r="E7" s="2334"/>
      <c r="F7" s="2334"/>
      <c r="G7" s="2334"/>
    </row>
    <row r="8" spans="1:7" ht="15" customHeight="1">
      <c r="A8" s="2329"/>
      <c r="B8" s="2329"/>
      <c r="C8" s="2334"/>
      <c r="D8" s="414">
        <v>2017</v>
      </c>
      <c r="E8" s="414">
        <v>2018</v>
      </c>
      <c r="F8" s="414">
        <v>2019</v>
      </c>
      <c r="G8" s="414" t="s">
        <v>848</v>
      </c>
    </row>
    <row r="9" spans="1:7" ht="14.25">
      <c r="A9" s="402">
        <v>1</v>
      </c>
      <c r="B9" s="402">
        <v>2</v>
      </c>
      <c r="C9" s="400">
        <v>3</v>
      </c>
      <c r="D9" s="402">
        <v>4</v>
      </c>
      <c r="E9" s="402">
        <v>5</v>
      </c>
      <c r="F9" s="400">
        <v>6</v>
      </c>
      <c r="G9" s="402">
        <v>7</v>
      </c>
    </row>
    <row r="10" spans="1:7" ht="30.75" customHeight="1">
      <c r="A10" s="403" t="s">
        <v>1671</v>
      </c>
      <c r="B10" s="404" t="s">
        <v>849</v>
      </c>
      <c r="C10" s="398"/>
      <c r="D10" s="740">
        <v>1.063</v>
      </c>
      <c r="E10" s="740">
        <v>1.059</v>
      </c>
      <c r="F10" s="740">
        <v>1.059</v>
      </c>
      <c r="G10" s="740"/>
    </row>
    <row r="11" spans="1:7" ht="30" customHeight="1">
      <c r="A11" s="403" t="s">
        <v>1664</v>
      </c>
      <c r="B11" s="404" t="s">
        <v>850</v>
      </c>
      <c r="C11" s="412" t="s">
        <v>427</v>
      </c>
      <c r="D11" s="398"/>
      <c r="E11" s="398"/>
      <c r="F11" s="398"/>
      <c r="G11" s="398"/>
    </row>
    <row r="12" spans="1:7" ht="30.75" customHeight="1">
      <c r="A12" s="403" t="s">
        <v>1666</v>
      </c>
      <c r="B12" s="404" t="s">
        <v>851</v>
      </c>
      <c r="C12" s="398"/>
      <c r="D12" s="398"/>
      <c r="E12" s="398"/>
      <c r="F12" s="398"/>
      <c r="G12" s="398"/>
    </row>
    <row r="13" spans="1:7" ht="60.75" customHeight="1">
      <c r="A13" s="403" t="s">
        <v>1668</v>
      </c>
      <c r="B13" s="404" t="s">
        <v>852</v>
      </c>
      <c r="C13" s="412" t="s">
        <v>853</v>
      </c>
      <c r="D13" s="398"/>
      <c r="E13" s="398"/>
      <c r="F13" s="398"/>
      <c r="G13" s="398"/>
    </row>
    <row r="14" spans="1:7" ht="30" customHeight="1">
      <c r="A14" s="403" t="s">
        <v>1669</v>
      </c>
      <c r="B14" s="404" t="s">
        <v>854</v>
      </c>
      <c r="C14" s="412" t="s">
        <v>432</v>
      </c>
      <c r="D14" s="1143">
        <f>'3.1'!E57</f>
        <v>0.48000000000000004</v>
      </c>
      <c r="E14" s="1143">
        <f>'3.1'!F57</f>
        <v>0.48000000000000004</v>
      </c>
      <c r="F14" s="1143">
        <f>'3.1'!G57</f>
        <v>0.48000000000000004</v>
      </c>
      <c r="G14" s="398"/>
    </row>
    <row r="15" spans="1:7" ht="30" customHeight="1">
      <c r="A15" s="403" t="s">
        <v>1672</v>
      </c>
      <c r="B15" s="404" t="s">
        <v>855</v>
      </c>
      <c r="C15" s="412"/>
      <c r="D15" s="398"/>
      <c r="E15" s="398"/>
      <c r="F15" s="398"/>
      <c r="G15" s="398"/>
    </row>
    <row r="16" spans="1:7" ht="30.75" customHeight="1">
      <c r="A16" s="403" t="s">
        <v>1673</v>
      </c>
      <c r="B16" s="404" t="s">
        <v>856</v>
      </c>
      <c r="C16" s="412" t="s">
        <v>1675</v>
      </c>
      <c r="D16" s="742">
        <f>'5.1'!C29</f>
        <v>7428.709028400161</v>
      </c>
      <c r="E16" s="742">
        <f>'5.1'!D29</f>
        <v>7199.830079962169</v>
      </c>
      <c r="F16" s="742">
        <f>'5.1'!E29</f>
        <v>7574.030506112087</v>
      </c>
      <c r="G16" s="398"/>
    </row>
    <row r="17" spans="1:7" ht="14.25">
      <c r="A17" s="435"/>
      <c r="B17" s="436"/>
      <c r="C17" s="130"/>
      <c r="D17" s="115"/>
      <c r="E17" s="115"/>
      <c r="F17" s="115"/>
      <c r="G17" s="115"/>
    </row>
    <row r="18" spans="1:7" ht="14.25">
      <c r="A18" s="435"/>
      <c r="B18" s="436"/>
      <c r="C18" s="130"/>
      <c r="D18" s="115"/>
      <c r="E18" s="115"/>
      <c r="F18" s="115"/>
      <c r="G18" s="115"/>
    </row>
    <row r="19" spans="1:7" ht="14.25" customHeight="1">
      <c r="A19" s="435"/>
      <c r="B19" s="436" t="s">
        <v>1362</v>
      </c>
      <c r="C19" s="2333" t="s">
        <v>874</v>
      </c>
      <c r="D19" s="2333"/>
      <c r="E19" s="2333"/>
      <c r="F19" s="2333"/>
      <c r="G19" s="2333"/>
    </row>
    <row r="21" spans="1:105" ht="14.25" hidden="1">
      <c r="A21" s="415" t="s">
        <v>858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</row>
    <row r="22" spans="1:105" ht="30" customHeight="1" hidden="1">
      <c r="A22" s="416"/>
      <c r="B22" s="2332" t="s">
        <v>107</v>
      </c>
      <c r="C22" s="2332"/>
      <c r="D22" s="2332"/>
      <c r="E22" s="2332"/>
      <c r="F22" s="2332"/>
      <c r="G22" s="2332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</row>
    <row r="23" spans="1:106" ht="45" customHeight="1" hidden="1">
      <c r="A23" s="416" t="s">
        <v>1514</v>
      </c>
      <c r="B23" s="2332" t="s">
        <v>108</v>
      </c>
      <c r="C23" s="2332"/>
      <c r="D23" s="2332"/>
      <c r="E23" s="2332"/>
      <c r="F23" s="2332"/>
      <c r="G23" s="2332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</row>
    <row r="24" spans="1:106" ht="31.5" customHeight="1" hidden="1">
      <c r="A24" s="416" t="s">
        <v>1515</v>
      </c>
      <c r="B24" s="2332" t="s">
        <v>109</v>
      </c>
      <c r="C24" s="2332"/>
      <c r="D24" s="2332"/>
      <c r="E24" s="2332"/>
      <c r="F24" s="2332"/>
      <c r="G24" s="2332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</row>
    <row r="25" spans="1:106" ht="46.5" customHeight="1" hidden="1">
      <c r="A25" s="416" t="s">
        <v>106</v>
      </c>
      <c r="B25" s="2332" t="s">
        <v>110</v>
      </c>
      <c r="C25" s="2332"/>
      <c r="D25" s="2332"/>
      <c r="E25" s="2332"/>
      <c r="F25" s="2332"/>
      <c r="G25" s="2332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</row>
  </sheetData>
  <sheetProtection/>
  <protectedRanges>
    <protectedRange password="CC01" sqref="H1:I1" name="Диапазон1_1"/>
  </protectedRanges>
  <mergeCells count="11">
    <mergeCell ref="B25:G25"/>
    <mergeCell ref="D7:G7"/>
    <mergeCell ref="C7:C8"/>
    <mergeCell ref="B7:B8"/>
    <mergeCell ref="B23:G23"/>
    <mergeCell ref="B24:G24"/>
    <mergeCell ref="A7:A8"/>
    <mergeCell ref="A4:G4"/>
    <mergeCell ref="F1:G1"/>
    <mergeCell ref="B22:G22"/>
    <mergeCell ref="C19:G19"/>
  </mergeCells>
  <printOptions horizontalCentered="1"/>
  <pageMargins left="1.1023622047244095" right="0.7086614173228347" top="0.7480314960629921" bottom="0.7480314960629921" header="0.31496062992125984" footer="0.31496062992125984"/>
  <pageSetup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EP35"/>
  <sheetViews>
    <sheetView zoomScaleSheetLayoutView="100" zoomScalePageLayoutView="0" workbookViewId="0" topLeftCell="A1">
      <selection activeCell="V37" sqref="V37"/>
    </sheetView>
  </sheetViews>
  <sheetFormatPr defaultColWidth="9.140625" defaultRowHeight="15"/>
  <cols>
    <col min="1" max="1" width="5.421875" style="0" customWidth="1"/>
    <col min="2" max="2" width="36.57421875" style="0" customWidth="1"/>
    <col min="3" max="3" width="13.140625" style="0" customWidth="1"/>
    <col min="4" max="4" width="12.28125" style="0" customWidth="1"/>
    <col min="5" max="6" width="12.57421875" style="0" customWidth="1"/>
    <col min="7" max="7" width="11.8515625" style="0" customWidth="1"/>
    <col min="8" max="8" width="13.28125" style="0" customWidth="1"/>
  </cols>
  <sheetData>
    <row r="1" spans="1:8" ht="14.25">
      <c r="A1" t="str">
        <f>'4.1'!B2</f>
        <v>Теплоснабжающая организация: ООО "Интэко"</v>
      </c>
      <c r="G1" s="2169" t="s">
        <v>1545</v>
      </c>
      <c r="H1" s="2169"/>
    </row>
    <row r="2" spans="1:4" ht="14.25">
      <c r="A2" s="1477" t="str">
        <f>'4.1'!B3</f>
        <v>Базовый период/Период регулирования:2016/2017-2019 г.г.</v>
      </c>
      <c r="B2" s="1477"/>
      <c r="C2" s="1477"/>
      <c r="D2" s="1477"/>
    </row>
    <row r="4" ht="17.25">
      <c r="A4" s="417" t="s">
        <v>166</v>
      </c>
    </row>
    <row r="5" ht="17.25">
      <c r="A5" s="417"/>
    </row>
    <row r="6" spans="1:8" ht="14.25">
      <c r="A6" s="413" t="str">
        <f>'4.1'!B6</f>
        <v>Усть-Камчатское муниципальное образование</v>
      </c>
      <c r="H6" t="s">
        <v>1538</v>
      </c>
    </row>
    <row r="7" spans="1:8" ht="14.25">
      <c r="A7" s="398"/>
      <c r="B7" s="744"/>
      <c r="C7" s="2335" t="s">
        <v>1661</v>
      </c>
      <c r="D7" s="2336"/>
      <c r="E7" s="2336"/>
      <c r="F7" s="2336"/>
      <c r="G7" s="2336"/>
      <c r="H7" s="2337"/>
    </row>
    <row r="8" spans="1:8" s="39" customFormat="1" ht="110.25">
      <c r="A8" s="158" t="s">
        <v>845</v>
      </c>
      <c r="B8" s="158" t="s">
        <v>991</v>
      </c>
      <c r="C8" s="745" t="s">
        <v>111</v>
      </c>
      <c r="D8" s="745" t="s">
        <v>357</v>
      </c>
      <c r="E8" s="745" t="s">
        <v>112</v>
      </c>
      <c r="F8" s="745" t="s">
        <v>358</v>
      </c>
      <c r="G8" s="745" t="s">
        <v>113</v>
      </c>
      <c r="H8" s="745" t="s">
        <v>359</v>
      </c>
    </row>
    <row r="9" spans="1:8" s="39" customFormat="1" ht="14.25">
      <c r="A9" s="402">
        <v>1</v>
      </c>
      <c r="B9" s="402">
        <v>2</v>
      </c>
      <c r="C9" s="400">
        <v>3</v>
      </c>
      <c r="D9" s="402">
        <v>4</v>
      </c>
      <c r="E9" s="402">
        <v>5</v>
      </c>
      <c r="F9" s="400">
        <v>6</v>
      </c>
      <c r="G9" s="402">
        <v>7</v>
      </c>
      <c r="H9" s="402">
        <v>8</v>
      </c>
    </row>
    <row r="10" spans="1:8" ht="50.25" customHeight="1">
      <c r="A10" s="403" t="s">
        <v>1663</v>
      </c>
      <c r="B10" s="404" t="s">
        <v>1539</v>
      </c>
      <c r="C10" s="2025"/>
      <c r="D10" s="2025"/>
      <c r="E10" s="2025"/>
      <c r="F10" s="2025"/>
      <c r="G10" s="2025"/>
      <c r="H10" s="2025"/>
    </row>
    <row r="11" spans="1:8" ht="14.25">
      <c r="A11" s="403" t="s">
        <v>424</v>
      </c>
      <c r="B11" s="404" t="s">
        <v>838</v>
      </c>
      <c r="C11" s="2025"/>
      <c r="D11" s="743">
        <f>'4.6 Смета'!I80</f>
        <v>229</v>
      </c>
      <c r="E11" s="2025"/>
      <c r="F11" s="743">
        <f>'4.6 Смета'!L80</f>
        <v>229</v>
      </c>
      <c r="G11" s="2025"/>
      <c r="H11" s="743">
        <f>'4.6 Смета'!O80</f>
        <v>229</v>
      </c>
    </row>
    <row r="12" spans="1:8" ht="14.25">
      <c r="A12" s="403" t="s">
        <v>425</v>
      </c>
      <c r="B12" s="404" t="s">
        <v>114</v>
      </c>
      <c r="C12" s="2025"/>
      <c r="D12" s="2025"/>
      <c r="E12" s="2025"/>
      <c r="F12" s="2025"/>
      <c r="G12" s="2025"/>
      <c r="H12" s="2025"/>
    </row>
    <row r="13" spans="1:8" ht="41.25">
      <c r="A13" s="403" t="s">
        <v>232</v>
      </c>
      <c r="B13" s="404" t="s">
        <v>1528</v>
      </c>
      <c r="C13" s="2025"/>
      <c r="D13" s="743">
        <f>SUM(D14:D16)</f>
        <v>0</v>
      </c>
      <c r="E13" s="743"/>
      <c r="F13" s="743">
        <f>SUM(F14:F16)</f>
        <v>0</v>
      </c>
      <c r="G13" s="743"/>
      <c r="H13" s="743">
        <f>SUM(H14:H16)</f>
        <v>0</v>
      </c>
    </row>
    <row r="14" spans="1:8" ht="96">
      <c r="A14" s="403" t="s">
        <v>139</v>
      </c>
      <c r="B14" s="404" t="s">
        <v>1529</v>
      </c>
      <c r="C14" s="398"/>
      <c r="D14" s="398"/>
      <c r="E14" s="398"/>
      <c r="F14" s="398"/>
      <c r="G14" s="398"/>
      <c r="H14" s="398"/>
    </row>
    <row r="15" spans="1:8" ht="14.25">
      <c r="A15" s="403" t="s">
        <v>140</v>
      </c>
      <c r="B15" s="404" t="s">
        <v>1530</v>
      </c>
      <c r="C15" s="398"/>
      <c r="D15" s="746"/>
      <c r="E15" s="398"/>
      <c r="F15" s="746"/>
      <c r="G15" s="398"/>
      <c r="H15" s="746"/>
    </row>
    <row r="16" spans="1:8" ht="14.25">
      <c r="A16" s="403" t="s">
        <v>1531</v>
      </c>
      <c r="B16" s="404" t="s">
        <v>1282</v>
      </c>
      <c r="C16" s="398"/>
      <c r="D16" s="398"/>
      <c r="E16" s="398"/>
      <c r="F16" s="398"/>
      <c r="G16" s="398"/>
      <c r="H16" s="398"/>
    </row>
    <row r="17" spans="1:8" ht="14.25">
      <c r="A17" s="403" t="s">
        <v>233</v>
      </c>
      <c r="B17" s="404" t="s">
        <v>1532</v>
      </c>
      <c r="C17" s="2025"/>
      <c r="D17" s="743">
        <f>'4.6 Смета'!I26</f>
        <v>1816.2998845768484</v>
      </c>
      <c r="E17" s="2025"/>
      <c r="F17" s="743">
        <f>'4.6 Смета'!L26</f>
        <v>1916.196378228575</v>
      </c>
      <c r="G17" s="2025"/>
      <c r="H17" s="743">
        <f>'4.6 Смета'!O26</f>
        <v>2021.5871790311464</v>
      </c>
    </row>
    <row r="18" spans="1:8" ht="15" customHeight="1">
      <c r="A18" s="403" t="s">
        <v>234</v>
      </c>
      <c r="B18" s="404" t="s">
        <v>1533</v>
      </c>
      <c r="C18" s="2025"/>
      <c r="D18" s="743">
        <f>'4.6 Смета'!I100</f>
        <v>0</v>
      </c>
      <c r="E18" s="2025"/>
      <c r="F18" s="743">
        <f>'4.6 Смета'!L100</f>
        <v>0</v>
      </c>
      <c r="G18" s="2025"/>
      <c r="H18" s="743">
        <f>'4.6 Смета'!O100</f>
        <v>0</v>
      </c>
    </row>
    <row r="19" spans="1:8" ht="27">
      <c r="A19" s="403" t="s">
        <v>235</v>
      </c>
      <c r="B19" s="404" t="s">
        <v>1534</v>
      </c>
      <c r="C19" s="2025"/>
      <c r="D19" s="743">
        <f>'4.6 Смета'!I24</f>
        <v>805.1571428571428</v>
      </c>
      <c r="E19" s="2025"/>
      <c r="F19" s="743">
        <f>'4.6 Смета'!L24</f>
        <v>544.5571428571429</v>
      </c>
      <c r="G19" s="2025"/>
      <c r="H19" s="743">
        <f>'4.6 Смета'!O24</f>
        <v>529.157142857143</v>
      </c>
    </row>
    <row r="20" spans="1:8" ht="41.25">
      <c r="A20" s="403" t="s">
        <v>236</v>
      </c>
      <c r="B20" s="404" t="s">
        <v>1535</v>
      </c>
      <c r="C20" s="2025"/>
      <c r="D20" s="2025"/>
      <c r="E20" s="2025"/>
      <c r="F20" s="2025"/>
      <c r="G20" s="2025"/>
      <c r="H20" s="2025"/>
    </row>
    <row r="21" spans="1:8" ht="14.25">
      <c r="A21" s="403" t="s">
        <v>466</v>
      </c>
      <c r="B21" s="404" t="s">
        <v>839</v>
      </c>
      <c r="C21" s="2025"/>
      <c r="D21" s="743">
        <f>D22</f>
        <v>34.016</v>
      </c>
      <c r="E21" s="2025"/>
      <c r="F21" s="743">
        <f>F22</f>
        <v>36.022943999999995</v>
      </c>
      <c r="G21" s="2025"/>
      <c r="H21" s="743">
        <f>H22</f>
        <v>38.14829769599999</v>
      </c>
    </row>
    <row r="22" spans="1:8" ht="14.25">
      <c r="A22" s="403" t="s">
        <v>363</v>
      </c>
      <c r="B22" s="405" t="s">
        <v>1092</v>
      </c>
      <c r="C22" s="398"/>
      <c r="D22" s="742">
        <f>'4.6 Смета'!I103</f>
        <v>34.016</v>
      </c>
      <c r="E22" s="398"/>
      <c r="F22" s="742">
        <f>'4.6 Смета'!L103</f>
        <v>36.022943999999995</v>
      </c>
      <c r="G22" s="398"/>
      <c r="H22" s="742">
        <f>'4.6 Смета'!O103</f>
        <v>38.14829769599999</v>
      </c>
    </row>
    <row r="23" spans="1:8" ht="14.25">
      <c r="A23" s="403"/>
      <c r="B23" s="404" t="s">
        <v>1536</v>
      </c>
      <c r="C23" s="742"/>
      <c r="D23" s="742">
        <f>SUM(D10:D13)+SUM(D17:D21)</f>
        <v>2884.4730274339913</v>
      </c>
      <c r="E23" s="742"/>
      <c r="F23" s="742">
        <f>SUM(F10:F13)+SUM(F17:F21)</f>
        <v>2725.7764650857175</v>
      </c>
      <c r="G23" s="742"/>
      <c r="H23" s="742">
        <f>SUM(H10:H13)+SUM(H17:H21)</f>
        <v>2817.8926195842896</v>
      </c>
    </row>
    <row r="24" spans="1:8" ht="14.25">
      <c r="A24" s="403" t="s">
        <v>1664</v>
      </c>
      <c r="B24" s="404" t="s">
        <v>1655</v>
      </c>
      <c r="C24" s="742"/>
      <c r="D24" s="742">
        <f>'4.6 Смета'!I114</f>
        <v>100</v>
      </c>
      <c r="E24" s="742"/>
      <c r="F24" s="742">
        <f>'4.6 Смета'!L114</f>
        <v>100</v>
      </c>
      <c r="G24" s="742"/>
      <c r="H24" s="742">
        <f>'4.6 Смета'!O114</f>
        <v>100</v>
      </c>
    </row>
    <row r="25" spans="1:8" ht="64.5" customHeight="1">
      <c r="A25" s="403" t="s">
        <v>1666</v>
      </c>
      <c r="B25" s="404" t="s">
        <v>1540</v>
      </c>
      <c r="C25" s="742"/>
      <c r="D25" s="742"/>
      <c r="E25" s="742"/>
      <c r="F25" s="742"/>
      <c r="G25" s="742"/>
      <c r="H25" s="742"/>
    </row>
    <row r="26" spans="1:8" ht="15" customHeight="1">
      <c r="A26" s="403" t="s">
        <v>1672</v>
      </c>
      <c r="B26" s="2019" t="s">
        <v>1537</v>
      </c>
      <c r="C26" s="743"/>
      <c r="D26" s="743">
        <f>SUM(D23:D25)</f>
        <v>2984.4730274339913</v>
      </c>
      <c r="E26" s="743"/>
      <c r="F26" s="743">
        <f>SUM(F23:F25)</f>
        <v>2825.7764650857175</v>
      </c>
      <c r="G26" s="743"/>
      <c r="H26" s="743">
        <f>SUM(H23:H25)</f>
        <v>2917.8926195842896</v>
      </c>
    </row>
    <row r="27" spans="1:8" ht="15" customHeight="1">
      <c r="A27" s="435"/>
      <c r="B27" s="436"/>
      <c r="C27" s="115"/>
      <c r="D27" s="115"/>
      <c r="E27" s="115"/>
      <c r="F27" s="115"/>
      <c r="G27" s="115"/>
      <c r="H27" s="115"/>
    </row>
    <row r="28" spans="1:8" ht="15" customHeight="1">
      <c r="A28" s="435"/>
      <c r="B28" s="436"/>
      <c r="C28" s="115"/>
      <c r="D28" s="115"/>
      <c r="E28" s="115"/>
      <c r="F28" s="115"/>
      <c r="G28" s="115"/>
      <c r="H28" s="115"/>
    </row>
    <row r="29" spans="1:8" ht="15" customHeight="1">
      <c r="A29" s="435"/>
      <c r="B29" s="2338" t="s">
        <v>1247</v>
      </c>
      <c r="C29" s="2338"/>
      <c r="D29" s="2338"/>
      <c r="E29" s="2338"/>
      <c r="F29" s="2338"/>
      <c r="G29" s="2338"/>
      <c r="H29" s="115"/>
    </row>
    <row r="31" ht="14.25">
      <c r="B31" t="s">
        <v>304</v>
      </c>
    </row>
    <row r="32" spans="1:146" ht="14.25">
      <c r="A32" s="407" t="s">
        <v>238</v>
      </c>
      <c r="B32" s="2140" t="s">
        <v>1541</v>
      </c>
      <c r="C32" s="2140"/>
      <c r="D32" s="2140"/>
      <c r="E32" s="2140"/>
      <c r="F32" s="2140"/>
      <c r="G32" s="2140"/>
      <c r="H32" s="214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</row>
    <row r="33" spans="1:146" ht="14.25">
      <c r="A33" s="407" t="s">
        <v>240</v>
      </c>
      <c r="B33" s="2218" t="s">
        <v>1542</v>
      </c>
      <c r="C33" s="2218"/>
      <c r="D33" s="2218"/>
      <c r="E33" s="2218"/>
      <c r="F33" s="2218"/>
      <c r="G33" s="2218"/>
      <c r="H33" s="2218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</row>
    <row r="34" spans="1:146" ht="29.25" customHeight="1">
      <c r="A34" s="407" t="s">
        <v>241</v>
      </c>
      <c r="B34" s="2140" t="s">
        <v>1543</v>
      </c>
      <c r="C34" s="2140"/>
      <c r="D34" s="2140"/>
      <c r="E34" s="2140"/>
      <c r="F34" s="2140"/>
      <c r="G34" s="2140"/>
      <c r="H34" s="214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</row>
    <row r="35" spans="1:146" ht="30.75" customHeight="1">
      <c r="A35" s="407" t="s">
        <v>242</v>
      </c>
      <c r="B35" s="2140" t="s">
        <v>1544</v>
      </c>
      <c r="C35" s="2140"/>
      <c r="D35" s="2140"/>
      <c r="E35" s="2140"/>
      <c r="F35" s="2140"/>
      <c r="G35" s="2140"/>
      <c r="H35" s="214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</row>
  </sheetData>
  <sheetProtection/>
  <mergeCells count="7">
    <mergeCell ref="B34:H34"/>
    <mergeCell ref="B35:H35"/>
    <mergeCell ref="G1:H1"/>
    <mergeCell ref="B32:H32"/>
    <mergeCell ref="B33:H33"/>
    <mergeCell ref="C7:H7"/>
    <mergeCell ref="B29:G2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EQ22"/>
  <sheetViews>
    <sheetView zoomScaleSheetLayoutView="100" zoomScalePageLayoutView="0" workbookViewId="0" topLeftCell="A1">
      <selection activeCell="V37" sqref="V37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5.8515625" style="0" hidden="1" customWidth="1"/>
    <col min="4" max="4" width="15.00390625" style="0" customWidth="1"/>
    <col min="5" max="5" width="13.7109375" style="0" customWidth="1"/>
    <col min="6" max="7" width="14.28125" style="0" customWidth="1"/>
    <col min="8" max="8" width="12.00390625" style="0" customWidth="1"/>
  </cols>
  <sheetData>
    <row r="1" spans="1:8" ht="14.25">
      <c r="A1" s="1477" t="str">
        <f>'4.1'!B2</f>
        <v>Теплоснабжающая организация: ООО "Интэко"</v>
      </c>
      <c r="B1" s="1477"/>
      <c r="C1" s="1477"/>
      <c r="D1" s="1477"/>
      <c r="E1" s="1477"/>
      <c r="G1" s="2340" t="s">
        <v>1548</v>
      </c>
      <c r="H1" s="2340"/>
    </row>
    <row r="2" spans="1:6" ht="14.25">
      <c r="A2" s="1477" t="str">
        <f>'4.1'!B3</f>
        <v>Базовый период/Период регулирования:2016/2017-2019 г.г.</v>
      </c>
      <c r="B2" s="1477"/>
      <c r="C2" s="1477"/>
      <c r="D2" s="1477"/>
      <c r="E2" s="1477"/>
      <c r="F2" s="1477"/>
    </row>
    <row r="4" spans="1:8" ht="35.25" customHeight="1">
      <c r="A4" s="2341" t="s">
        <v>1546</v>
      </c>
      <c r="B4" s="2341"/>
      <c r="C4" s="2341"/>
      <c r="D4" s="2341"/>
      <c r="E4" s="2341"/>
      <c r="F4" s="2341"/>
      <c r="G4" s="2341"/>
      <c r="H4" s="2341"/>
    </row>
    <row r="6" ht="14.25">
      <c r="B6" s="413" t="str">
        <f>'4.1'!B6</f>
        <v>Усть-Камчатское муниципальное образование</v>
      </c>
    </row>
    <row r="7" spans="1:11" s="39" customFormat="1" ht="14.25">
      <c r="A7" s="2344" t="s">
        <v>576</v>
      </c>
      <c r="B7" s="2342" t="s">
        <v>1690</v>
      </c>
      <c r="C7" s="2187" t="s">
        <v>1661</v>
      </c>
      <c r="D7" s="2188"/>
      <c r="E7" s="2188"/>
      <c r="F7" s="2188"/>
      <c r="G7" s="2188"/>
      <c r="H7" s="2189"/>
      <c r="I7" s="728"/>
      <c r="J7" s="728"/>
      <c r="K7" s="728"/>
    </row>
    <row r="8" spans="1:8" ht="96">
      <c r="A8" s="2345"/>
      <c r="B8" s="2343"/>
      <c r="C8" s="741" t="s">
        <v>317</v>
      </c>
      <c r="D8" s="741" t="s">
        <v>360</v>
      </c>
      <c r="E8" s="741" t="s">
        <v>577</v>
      </c>
      <c r="F8" s="741" t="s">
        <v>361</v>
      </c>
      <c r="G8" s="741" t="s">
        <v>493</v>
      </c>
      <c r="H8" s="741" t="s">
        <v>362</v>
      </c>
    </row>
    <row r="9" spans="1:8" s="39" customFormat="1" ht="14.25">
      <c r="A9" s="402">
        <v>1</v>
      </c>
      <c r="B9" s="402">
        <v>2</v>
      </c>
      <c r="C9" s="400">
        <v>3</v>
      </c>
      <c r="D9" s="402">
        <v>4</v>
      </c>
      <c r="E9" s="402">
        <v>5</v>
      </c>
      <c r="F9" s="400">
        <v>6</v>
      </c>
      <c r="G9" s="402">
        <v>7</v>
      </c>
      <c r="H9" s="402">
        <v>8</v>
      </c>
    </row>
    <row r="10" spans="1:8" ht="14.25">
      <c r="A10" s="411" t="s">
        <v>1671</v>
      </c>
      <c r="B10" s="405" t="s">
        <v>494</v>
      </c>
      <c r="C10" s="742"/>
      <c r="D10" s="742">
        <f>'4.4'!H133</f>
        <v>5832.249108177851</v>
      </c>
      <c r="E10" s="398"/>
      <c r="F10" s="742">
        <f>'4.4'!K133</f>
        <v>6192.407928273445</v>
      </c>
      <c r="G10" s="398"/>
      <c r="H10" s="742">
        <f>'4.4'!N133</f>
        <v>6574.81159836289</v>
      </c>
    </row>
    <row r="11" spans="1:8" ht="27">
      <c r="A11" s="411" t="s">
        <v>1664</v>
      </c>
      <c r="B11" s="404" t="s">
        <v>495</v>
      </c>
      <c r="C11" s="742"/>
      <c r="D11" s="742">
        <f>'4.6 Смета'!I21</f>
        <v>528.0647755219202</v>
      </c>
      <c r="E11" s="398"/>
      <c r="F11" s="742">
        <f>'4.6 Смета'!L21</f>
        <v>571</v>
      </c>
      <c r="G11" s="398"/>
      <c r="H11" s="742">
        <f>'4.6 Смета'!O21</f>
        <v>619</v>
      </c>
    </row>
    <row r="12" spans="1:8" ht="27">
      <c r="A12" s="411" t="s">
        <v>1666</v>
      </c>
      <c r="B12" s="404" t="s">
        <v>496</v>
      </c>
      <c r="C12" s="398"/>
      <c r="D12" s="398"/>
      <c r="E12" s="398"/>
      <c r="F12" s="398"/>
      <c r="G12" s="398"/>
      <c r="H12" s="398"/>
    </row>
    <row r="13" spans="1:8" ht="27">
      <c r="A13" s="411" t="s">
        <v>1672</v>
      </c>
      <c r="B13" s="404" t="s">
        <v>497</v>
      </c>
      <c r="C13" s="742"/>
      <c r="D13" s="742">
        <f>'4.6 Смета'!I22</f>
        <v>121.92712417799999</v>
      </c>
      <c r="E13" s="398"/>
      <c r="F13" s="742">
        <f>'4.6 Смета'!L22</f>
        <v>130.04082662361773</v>
      </c>
      <c r="G13" s="398"/>
      <c r="H13" s="742">
        <f>'4.6 Смета'!O22</f>
        <v>138.75356200740018</v>
      </c>
    </row>
    <row r="14" spans="1:8" ht="27">
      <c r="A14" s="411" t="s">
        <v>1673</v>
      </c>
      <c r="B14" s="404" t="s">
        <v>498</v>
      </c>
      <c r="C14" s="742"/>
      <c r="D14" s="742"/>
      <c r="E14" s="398"/>
      <c r="F14" s="742"/>
      <c r="G14" s="398"/>
      <c r="H14" s="742"/>
    </row>
    <row r="15" spans="1:8" ht="14.25">
      <c r="A15" s="411" t="s">
        <v>1674</v>
      </c>
      <c r="B15" s="419" t="s">
        <v>1536</v>
      </c>
      <c r="C15" s="743"/>
      <c r="D15" s="743">
        <f>SUM(D10:D14)</f>
        <v>6482.241007877771</v>
      </c>
      <c r="E15" s="743">
        <f>SUM(E10:E14)</f>
        <v>0</v>
      </c>
      <c r="F15" s="743">
        <f>SUM(F10:F14)</f>
        <v>6893.448754897063</v>
      </c>
      <c r="G15" s="743">
        <f>SUM(G10:G14)</f>
        <v>0</v>
      </c>
      <c r="H15" s="743">
        <f>SUM(H10:H14)</f>
        <v>7332.565160370291</v>
      </c>
    </row>
    <row r="17" ht="14.25">
      <c r="B17" t="s">
        <v>1570</v>
      </c>
    </row>
    <row r="19" ht="14.25" hidden="1">
      <c r="B19" t="s">
        <v>304</v>
      </c>
    </row>
    <row r="20" spans="1:147" ht="14.25" hidden="1">
      <c r="A20" s="407" t="s">
        <v>238</v>
      </c>
      <c r="B20" s="2339" t="s">
        <v>1541</v>
      </c>
      <c r="C20" s="2339"/>
      <c r="D20" s="2339"/>
      <c r="E20" s="2339"/>
      <c r="F20" s="2339"/>
      <c r="G20" s="2339"/>
      <c r="H20" s="2339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</row>
    <row r="21" spans="1:147" ht="30" customHeight="1" hidden="1">
      <c r="A21" s="407" t="s">
        <v>240</v>
      </c>
      <c r="B21" s="2140" t="s">
        <v>499</v>
      </c>
      <c r="C21" s="2140"/>
      <c r="D21" s="2140"/>
      <c r="E21" s="2140"/>
      <c r="F21" s="2140"/>
      <c r="G21" s="2140"/>
      <c r="H21" s="214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</row>
    <row r="22" spans="1:147" ht="14.25" hidden="1">
      <c r="A22" s="407" t="s">
        <v>241</v>
      </c>
      <c r="B22" s="2339" t="s">
        <v>1547</v>
      </c>
      <c r="C22" s="2339"/>
      <c r="D22" s="2339"/>
      <c r="E22" s="2339"/>
      <c r="F22" s="2339"/>
      <c r="G22" s="2339"/>
      <c r="H22" s="2339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</row>
  </sheetData>
  <sheetProtection/>
  <mergeCells count="8">
    <mergeCell ref="B20:H20"/>
    <mergeCell ref="B21:H21"/>
    <mergeCell ref="B22:H22"/>
    <mergeCell ref="G1:H1"/>
    <mergeCell ref="A4:H4"/>
    <mergeCell ref="B7:B8"/>
    <mergeCell ref="A7:A8"/>
    <mergeCell ref="C7:H7"/>
  </mergeCells>
  <printOptions/>
  <pageMargins left="0.7" right="0.7" top="0.75" bottom="0.75" header="0.3" footer="0.3"/>
  <pageSetup orientation="portrait" paperSize="9" scale="9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3"/>
  <sheetViews>
    <sheetView zoomScaleSheetLayoutView="85" workbookViewId="0" topLeftCell="A1">
      <pane xSplit="3" ySplit="7" topLeftCell="D43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/>
  <cols>
    <col min="1" max="1" width="7.421875" style="0" customWidth="1"/>
    <col min="2" max="2" width="49.28125" style="40" customWidth="1"/>
    <col min="3" max="3" width="12.140625" style="40" customWidth="1"/>
    <col min="4" max="4" width="16.7109375" style="39" customWidth="1"/>
    <col min="5" max="5" width="12.57421875" style="0" customWidth="1"/>
    <col min="6" max="6" width="12.8515625" style="0" customWidth="1"/>
    <col min="7" max="7" width="11.421875" style="0" customWidth="1"/>
  </cols>
  <sheetData>
    <row r="1" spans="1:9" ht="14.25">
      <c r="A1" s="1" t="s">
        <v>543</v>
      </c>
      <c r="E1" s="194" t="s">
        <v>1280</v>
      </c>
      <c r="H1" s="514"/>
      <c r="I1" s="515"/>
    </row>
    <row r="2" ht="14.25">
      <c r="A2" s="1" t="s">
        <v>74</v>
      </c>
    </row>
    <row r="3" ht="14.25">
      <c r="C3" s="2124"/>
    </row>
    <row r="4" spans="1:4" ht="16.5">
      <c r="A4" s="2098" t="s">
        <v>1281</v>
      </c>
      <c r="B4" s="2098"/>
      <c r="C4" s="2098"/>
      <c r="D4" s="2098"/>
    </row>
    <row r="5" ht="14.25">
      <c r="A5" s="306" t="str">
        <f>'[3]Реестр'!A5</f>
        <v>Наименование    Усть - Камчатское муниципальное образование</v>
      </c>
    </row>
    <row r="6" spans="1:7" ht="30" customHeight="1">
      <c r="A6" s="2099" t="s">
        <v>254</v>
      </c>
      <c r="B6" s="2096" t="s">
        <v>909</v>
      </c>
      <c r="C6" s="2096" t="s">
        <v>908</v>
      </c>
      <c r="D6" s="196" t="s">
        <v>1659</v>
      </c>
      <c r="E6" s="2106" t="s">
        <v>905</v>
      </c>
      <c r="F6" s="2107"/>
      <c r="G6" s="2108"/>
    </row>
    <row r="7" spans="1:7" ht="27">
      <c r="A7" s="2099"/>
      <c r="B7" s="2097"/>
      <c r="C7" s="2097"/>
      <c r="D7" s="196" t="s">
        <v>1513</v>
      </c>
      <c r="E7" s="197" t="s">
        <v>1230</v>
      </c>
      <c r="F7" s="197" t="s">
        <v>1231</v>
      </c>
      <c r="G7" s="197" t="s">
        <v>19</v>
      </c>
    </row>
    <row r="8" spans="1:7" ht="14.25">
      <c r="A8" s="197">
        <v>1</v>
      </c>
      <c r="B8" s="198">
        <v>2</v>
      </c>
      <c r="C8" s="198">
        <v>3</v>
      </c>
      <c r="D8" s="193">
        <v>4</v>
      </c>
      <c r="E8" s="198">
        <v>6</v>
      </c>
      <c r="F8" s="193">
        <v>7</v>
      </c>
      <c r="G8" s="193">
        <v>7</v>
      </c>
    </row>
    <row r="9" spans="1:9" ht="27.75">
      <c r="A9" s="149">
        <v>1</v>
      </c>
      <c r="B9" s="152" t="s">
        <v>910</v>
      </c>
      <c r="C9" s="196" t="s">
        <v>911</v>
      </c>
      <c r="D9" s="193"/>
      <c r="E9" s="361"/>
      <c r="F9" s="361"/>
      <c r="G9" s="361"/>
      <c r="H9" s="148"/>
      <c r="I9" s="148"/>
    </row>
    <row r="10" spans="1:9" ht="14.25">
      <c r="A10" s="199" t="s">
        <v>1663</v>
      </c>
      <c r="B10" s="200" t="s">
        <v>912</v>
      </c>
      <c r="C10" s="196" t="s">
        <v>911</v>
      </c>
      <c r="D10" s="193"/>
      <c r="E10" s="361"/>
      <c r="F10" s="361"/>
      <c r="G10" s="361"/>
      <c r="H10" s="148"/>
      <c r="I10" s="148"/>
    </row>
    <row r="11" spans="1:9" ht="14.25">
      <c r="A11" s="199" t="s">
        <v>228</v>
      </c>
      <c r="B11" s="201" t="s">
        <v>913</v>
      </c>
      <c r="C11" s="196" t="s">
        <v>911</v>
      </c>
      <c r="D11" s="193"/>
      <c r="E11" s="361"/>
      <c r="F11" s="361"/>
      <c r="G11" s="361"/>
      <c r="H11" s="148"/>
      <c r="I11" s="148"/>
    </row>
    <row r="12" spans="1:9" ht="14.25">
      <c r="A12" s="199" t="s">
        <v>227</v>
      </c>
      <c r="B12" s="201" t="s">
        <v>914</v>
      </c>
      <c r="C12" s="196" t="s">
        <v>911</v>
      </c>
      <c r="D12" s="193"/>
      <c r="E12" s="361"/>
      <c r="F12" s="361"/>
      <c r="G12" s="361"/>
      <c r="H12" s="148"/>
      <c r="I12" s="148"/>
    </row>
    <row r="13" spans="1:9" ht="14.25">
      <c r="A13" s="202" t="s">
        <v>229</v>
      </c>
      <c r="B13" s="201" t="s">
        <v>915</v>
      </c>
      <c r="C13" s="196" t="s">
        <v>911</v>
      </c>
      <c r="D13" s="193"/>
      <c r="E13" s="361"/>
      <c r="F13" s="361"/>
      <c r="G13" s="361"/>
      <c r="H13" s="148"/>
      <c r="I13" s="148"/>
    </row>
    <row r="14" spans="1:9" ht="14.25">
      <c r="A14" s="199" t="s">
        <v>916</v>
      </c>
      <c r="B14" s="201" t="s">
        <v>523</v>
      </c>
      <c r="C14" s="196" t="s">
        <v>911</v>
      </c>
      <c r="D14" s="193"/>
      <c r="E14" s="361"/>
      <c r="F14" s="361"/>
      <c r="G14" s="361"/>
      <c r="H14" s="148"/>
      <c r="I14" s="148"/>
    </row>
    <row r="15" spans="1:9" ht="14.25">
      <c r="A15" s="199" t="s">
        <v>524</v>
      </c>
      <c r="B15" s="201" t="s">
        <v>525</v>
      </c>
      <c r="C15" s="196" t="s">
        <v>911</v>
      </c>
      <c r="D15" s="193"/>
      <c r="E15" s="361"/>
      <c r="F15" s="361"/>
      <c r="G15" s="361"/>
      <c r="H15" s="148"/>
      <c r="I15" s="148"/>
    </row>
    <row r="16" spans="1:9" ht="14.25">
      <c r="A16" s="202" t="s">
        <v>424</v>
      </c>
      <c r="B16" s="1096" t="s">
        <v>917</v>
      </c>
      <c r="C16" s="196" t="s">
        <v>911</v>
      </c>
      <c r="D16" s="193"/>
      <c r="E16" s="361"/>
      <c r="F16" s="361"/>
      <c r="G16" s="361"/>
      <c r="H16" s="148"/>
      <c r="I16" s="148"/>
    </row>
    <row r="17" spans="1:9" ht="14.25">
      <c r="A17" s="203" t="s">
        <v>230</v>
      </c>
      <c r="B17" s="201" t="s">
        <v>918</v>
      </c>
      <c r="C17" s="196" t="s">
        <v>911</v>
      </c>
      <c r="D17" s="193"/>
      <c r="E17" s="361"/>
      <c r="F17" s="361"/>
      <c r="G17" s="361"/>
      <c r="H17" s="148"/>
      <c r="I17" s="148"/>
    </row>
    <row r="18" spans="1:9" ht="14.25">
      <c r="A18" s="204" t="s">
        <v>919</v>
      </c>
      <c r="B18" s="201" t="s">
        <v>913</v>
      </c>
      <c r="C18" s="196" t="s">
        <v>911</v>
      </c>
      <c r="D18" s="193"/>
      <c r="E18" s="193"/>
      <c r="F18" s="193"/>
      <c r="G18" s="193"/>
      <c r="H18" s="148"/>
      <c r="I18" s="148"/>
    </row>
    <row r="19" spans="1:9" ht="14.25">
      <c r="A19" s="205" t="s">
        <v>920</v>
      </c>
      <c r="B19" s="201" t="s">
        <v>914</v>
      </c>
      <c r="C19" s="196" t="s">
        <v>911</v>
      </c>
      <c r="D19" s="193"/>
      <c r="E19" s="361"/>
      <c r="F19" s="361"/>
      <c r="G19" s="361"/>
      <c r="H19" s="148"/>
      <c r="I19" s="148"/>
    </row>
    <row r="20" spans="1:9" ht="14.25">
      <c r="A20" s="204" t="s">
        <v>921</v>
      </c>
      <c r="B20" s="201" t="s">
        <v>915</v>
      </c>
      <c r="C20" s="196" t="s">
        <v>911</v>
      </c>
      <c r="D20" s="193"/>
      <c r="E20" s="361"/>
      <c r="F20" s="361"/>
      <c r="G20" s="361"/>
      <c r="H20" s="148"/>
      <c r="I20" s="148"/>
    </row>
    <row r="21" spans="1:9" ht="14.25">
      <c r="A21" s="199" t="s">
        <v>922</v>
      </c>
      <c r="B21" s="201" t="s">
        <v>523</v>
      </c>
      <c r="C21" s="196" t="s">
        <v>911</v>
      </c>
      <c r="D21" s="193"/>
      <c r="E21" s="361"/>
      <c r="F21" s="361"/>
      <c r="G21" s="361"/>
      <c r="H21" s="148"/>
      <c r="I21" s="148"/>
    </row>
    <row r="22" spans="1:9" ht="14.25">
      <c r="A22" s="204" t="s">
        <v>923</v>
      </c>
      <c r="B22" s="201" t="s">
        <v>525</v>
      </c>
      <c r="C22" s="196" t="s">
        <v>911</v>
      </c>
      <c r="D22" s="193"/>
      <c r="E22" s="361"/>
      <c r="F22" s="361"/>
      <c r="G22" s="361"/>
      <c r="H22" s="148"/>
      <c r="I22" s="148"/>
    </row>
    <row r="23" spans="1:9" ht="14.25">
      <c r="A23" s="199" t="s">
        <v>231</v>
      </c>
      <c r="B23" s="1101" t="s">
        <v>924</v>
      </c>
      <c r="C23" s="196" t="s">
        <v>911</v>
      </c>
      <c r="D23" s="193"/>
      <c r="E23" s="361"/>
      <c r="F23" s="361"/>
      <c r="G23" s="361"/>
      <c r="H23" s="148"/>
      <c r="I23" s="148"/>
    </row>
    <row r="24" spans="1:9" ht="14.25">
      <c r="A24" s="206" t="s">
        <v>925</v>
      </c>
      <c r="B24" s="201" t="s">
        <v>913</v>
      </c>
      <c r="C24" s="196" t="s">
        <v>911</v>
      </c>
      <c r="D24" s="146">
        <v>0.34</v>
      </c>
      <c r="E24" s="146">
        <v>0.34</v>
      </c>
      <c r="F24" s="146">
        <v>0.34</v>
      </c>
      <c r="G24" s="146">
        <v>0.34</v>
      </c>
      <c r="H24" s="148"/>
      <c r="I24" s="148"/>
    </row>
    <row r="25" spans="1:9" ht="14.25">
      <c r="A25" s="199" t="s">
        <v>926</v>
      </c>
      <c r="B25" s="201" t="s">
        <v>914</v>
      </c>
      <c r="C25" s="196" t="s">
        <v>911</v>
      </c>
      <c r="D25" s="193"/>
      <c r="E25" s="361"/>
      <c r="F25" s="361"/>
      <c r="G25" s="361"/>
      <c r="H25" s="148"/>
      <c r="I25" s="148"/>
    </row>
    <row r="26" spans="1:9" ht="14.25">
      <c r="A26" s="206" t="s">
        <v>927</v>
      </c>
      <c r="B26" s="201" t="s">
        <v>915</v>
      </c>
      <c r="C26" s="196" t="s">
        <v>911</v>
      </c>
      <c r="D26" s="193"/>
      <c r="E26" s="361"/>
      <c r="F26" s="361"/>
      <c r="G26" s="361"/>
      <c r="H26" s="148"/>
      <c r="I26" s="148"/>
    </row>
    <row r="27" spans="1:9" ht="14.25">
      <c r="A27" s="199" t="s">
        <v>928</v>
      </c>
      <c r="B27" s="201" t="s">
        <v>523</v>
      </c>
      <c r="C27" s="196" t="s">
        <v>911</v>
      </c>
      <c r="D27" s="193"/>
      <c r="E27" s="361"/>
      <c r="F27" s="361"/>
      <c r="G27" s="361"/>
      <c r="H27" s="148"/>
      <c r="I27" s="148"/>
    </row>
    <row r="28" spans="1:9" ht="14.25">
      <c r="A28" s="206" t="s">
        <v>929</v>
      </c>
      <c r="B28" s="201" t="s">
        <v>525</v>
      </c>
      <c r="C28" s="196" t="s">
        <v>911</v>
      </c>
      <c r="D28" s="193"/>
      <c r="E28" s="361"/>
      <c r="F28" s="361"/>
      <c r="G28" s="361"/>
      <c r="H28" s="148"/>
      <c r="I28" s="148"/>
    </row>
    <row r="29" spans="1:9" ht="27.75">
      <c r="A29" s="151" t="s">
        <v>1664</v>
      </c>
      <c r="B29" s="152" t="s">
        <v>930</v>
      </c>
      <c r="C29" s="134"/>
      <c r="D29" s="193"/>
      <c r="E29" s="361"/>
      <c r="F29" s="361"/>
      <c r="G29" s="361"/>
      <c r="H29" s="148"/>
      <c r="I29" s="148"/>
    </row>
    <row r="30" spans="1:9" ht="14.25">
      <c r="A30" s="199" t="s">
        <v>1665</v>
      </c>
      <c r="B30" s="200" t="s">
        <v>931</v>
      </c>
      <c r="C30" s="196"/>
      <c r="D30" s="193"/>
      <c r="E30" s="361"/>
      <c r="F30" s="361"/>
      <c r="G30" s="361"/>
      <c r="H30" s="148"/>
      <c r="I30" s="148"/>
    </row>
    <row r="31" spans="1:9" ht="27.75">
      <c r="A31" s="202" t="s">
        <v>932</v>
      </c>
      <c r="B31" s="200" t="s">
        <v>933</v>
      </c>
      <c r="C31" s="196" t="s">
        <v>432</v>
      </c>
      <c r="D31" s="193"/>
      <c r="E31" s="361"/>
      <c r="F31" s="361"/>
      <c r="G31" s="361"/>
      <c r="H31" s="148"/>
      <c r="I31" s="148"/>
    </row>
    <row r="32" spans="1:9" ht="14.25" hidden="1">
      <c r="A32" s="206"/>
      <c r="B32" s="200"/>
      <c r="C32" s="196"/>
      <c r="D32" s="193"/>
      <c r="E32" s="361"/>
      <c r="F32" s="361"/>
      <c r="G32" s="361"/>
      <c r="H32" s="148"/>
      <c r="I32" s="148"/>
    </row>
    <row r="33" spans="1:9" ht="14.25" hidden="1">
      <c r="A33" s="206"/>
      <c r="B33" s="200"/>
      <c r="C33" s="196"/>
      <c r="D33" s="193"/>
      <c r="E33" s="361"/>
      <c r="F33" s="361"/>
      <c r="G33" s="361"/>
      <c r="H33" s="148"/>
      <c r="I33" s="148"/>
    </row>
    <row r="34" spans="1:9" ht="14.25" hidden="1">
      <c r="A34" s="206"/>
      <c r="B34" s="200"/>
      <c r="C34" s="196"/>
      <c r="D34" s="193"/>
      <c r="E34" s="361"/>
      <c r="F34" s="361"/>
      <c r="G34" s="361"/>
      <c r="H34" s="148"/>
      <c r="I34" s="148"/>
    </row>
    <row r="35" spans="1:9" ht="14.25">
      <c r="A35" s="205" t="s">
        <v>1660</v>
      </c>
      <c r="B35" s="200" t="s">
        <v>934</v>
      </c>
      <c r="C35" s="134"/>
      <c r="D35" s="193"/>
      <c r="E35" s="361"/>
      <c r="F35" s="361"/>
      <c r="G35" s="361"/>
      <c r="H35" s="148"/>
      <c r="I35" s="148"/>
    </row>
    <row r="36" spans="1:9" ht="27.75">
      <c r="A36" s="151" t="s">
        <v>1666</v>
      </c>
      <c r="B36" s="1095" t="s">
        <v>935</v>
      </c>
      <c r="C36" s="203"/>
      <c r="D36" s="193"/>
      <c r="E36" s="361"/>
      <c r="F36" s="361"/>
      <c r="G36" s="361"/>
      <c r="H36" s="148"/>
      <c r="I36" s="148"/>
    </row>
    <row r="37" spans="1:9" ht="21" customHeight="1">
      <c r="A37" s="206" t="s">
        <v>1668</v>
      </c>
      <c r="B37" s="1096" t="s">
        <v>535</v>
      </c>
      <c r="C37" s="203"/>
      <c r="D37" s="1106" t="s">
        <v>1237</v>
      </c>
      <c r="E37" s="1106" t="s">
        <v>1237</v>
      </c>
      <c r="F37" s="1106" t="s">
        <v>1237</v>
      </c>
      <c r="G37" s="1106" t="s">
        <v>1237</v>
      </c>
      <c r="H37" s="148"/>
      <c r="I37" s="148"/>
    </row>
    <row r="38" spans="1:9" ht="27.75">
      <c r="A38" s="199" t="s">
        <v>936</v>
      </c>
      <c r="B38" s="200" t="s">
        <v>1232</v>
      </c>
      <c r="C38" s="196" t="s">
        <v>432</v>
      </c>
      <c r="D38" s="1102">
        <v>0.05</v>
      </c>
      <c r="E38" s="1102">
        <v>0.05</v>
      </c>
      <c r="F38" s="1102">
        <v>0.05</v>
      </c>
      <c r="G38" s="1102">
        <v>0.05</v>
      </c>
      <c r="H38" s="148"/>
      <c r="I38" s="148"/>
    </row>
    <row r="39" spans="1:9" ht="27.75">
      <c r="A39" s="199" t="s">
        <v>1340</v>
      </c>
      <c r="B39" s="200" t="s">
        <v>1233</v>
      </c>
      <c r="C39" s="196" t="s">
        <v>432</v>
      </c>
      <c r="D39" s="1102">
        <v>0.05</v>
      </c>
      <c r="E39" s="1102">
        <v>0.05</v>
      </c>
      <c r="F39" s="1102">
        <v>0.05</v>
      </c>
      <c r="G39" s="1102">
        <v>0.05</v>
      </c>
      <c r="H39" s="148"/>
      <c r="I39" s="148"/>
    </row>
    <row r="40" spans="1:9" ht="17.25" customHeight="1">
      <c r="A40" s="206"/>
      <c r="B40" s="1096" t="s">
        <v>536</v>
      </c>
      <c r="C40" s="203"/>
      <c r="D40" s="1106" t="s">
        <v>1237</v>
      </c>
      <c r="E40" s="1106" t="s">
        <v>1237</v>
      </c>
      <c r="F40" s="1106" t="s">
        <v>1237</v>
      </c>
      <c r="G40" s="1106" t="s">
        <v>1237</v>
      </c>
      <c r="H40" s="148"/>
      <c r="I40" s="148"/>
    </row>
    <row r="41" spans="1:9" ht="27.75">
      <c r="A41" s="199" t="s">
        <v>686</v>
      </c>
      <c r="B41" s="200" t="s">
        <v>1234</v>
      </c>
      <c r="C41" s="196" t="s">
        <v>432</v>
      </c>
      <c r="D41" s="1102">
        <v>0.05</v>
      </c>
      <c r="E41" s="1102">
        <v>0.05</v>
      </c>
      <c r="F41" s="1102">
        <v>0.05</v>
      </c>
      <c r="G41" s="1102">
        <v>0.05</v>
      </c>
      <c r="H41" s="148"/>
      <c r="I41" s="148"/>
    </row>
    <row r="42" spans="1:9" ht="27.75">
      <c r="A42" s="199" t="s">
        <v>688</v>
      </c>
      <c r="B42" s="200" t="s">
        <v>278</v>
      </c>
      <c r="C42" s="196" t="s">
        <v>432</v>
      </c>
      <c r="D42" s="1102">
        <v>0.05</v>
      </c>
      <c r="E42" s="1102">
        <v>0.05</v>
      </c>
      <c r="F42" s="1102">
        <v>0.05</v>
      </c>
      <c r="G42" s="1102">
        <v>0.05</v>
      </c>
      <c r="H42" s="148"/>
      <c r="I42" s="148"/>
    </row>
    <row r="43" spans="1:9" ht="27.75">
      <c r="A43" s="206"/>
      <c r="B43" s="1096" t="s">
        <v>537</v>
      </c>
      <c r="C43" s="203"/>
      <c r="D43" s="1106" t="s">
        <v>310</v>
      </c>
      <c r="E43" s="1106" t="s">
        <v>310</v>
      </c>
      <c r="F43" s="1106" t="s">
        <v>310</v>
      </c>
      <c r="G43" s="1106" t="s">
        <v>310</v>
      </c>
      <c r="H43" s="148"/>
      <c r="I43" s="148"/>
    </row>
    <row r="44" spans="1:9" ht="27.75">
      <c r="A44" s="199" t="s">
        <v>690</v>
      </c>
      <c r="B44" s="200" t="s">
        <v>279</v>
      </c>
      <c r="C44" s="196" t="s">
        <v>432</v>
      </c>
      <c r="D44" s="1102">
        <v>0.07</v>
      </c>
      <c r="E44" s="1102">
        <v>0.07</v>
      </c>
      <c r="F44" s="1102">
        <v>0.07</v>
      </c>
      <c r="G44" s="1102">
        <v>0.07</v>
      </c>
      <c r="H44" s="148"/>
      <c r="I44" s="148"/>
    </row>
    <row r="45" spans="1:9" ht="27.75">
      <c r="A45" s="199" t="s">
        <v>1235</v>
      </c>
      <c r="B45" s="200" t="s">
        <v>538</v>
      </c>
      <c r="C45" s="196" t="s">
        <v>432</v>
      </c>
      <c r="D45" s="1102">
        <v>0.07</v>
      </c>
      <c r="E45" s="1102">
        <v>0.07</v>
      </c>
      <c r="F45" s="1102">
        <v>0.07</v>
      </c>
      <c r="G45" s="1102">
        <v>0.07</v>
      </c>
      <c r="H45" s="148"/>
      <c r="I45" s="148"/>
    </row>
    <row r="46" spans="1:9" ht="27.75" hidden="1">
      <c r="A46" s="199" t="s">
        <v>1340</v>
      </c>
      <c r="B46" s="200" t="s">
        <v>685</v>
      </c>
      <c r="C46" s="154"/>
      <c r="D46" s="193"/>
      <c r="E46" s="1103"/>
      <c r="F46" s="1103"/>
      <c r="G46" s="1103"/>
      <c r="H46" s="148"/>
      <c r="I46" s="148"/>
    </row>
    <row r="47" spans="1:9" ht="27.75" hidden="1">
      <c r="A47" s="199" t="s">
        <v>686</v>
      </c>
      <c r="B47" s="200" t="s">
        <v>687</v>
      </c>
      <c r="C47" s="154"/>
      <c r="D47" s="193"/>
      <c r="E47" s="1103"/>
      <c r="F47" s="1103"/>
      <c r="G47" s="1103"/>
      <c r="H47" s="148"/>
      <c r="I47" s="148"/>
    </row>
    <row r="48" spans="1:9" ht="27.75" hidden="1">
      <c r="A48" s="199" t="s">
        <v>688</v>
      </c>
      <c r="B48" s="200" t="s">
        <v>689</v>
      </c>
      <c r="C48" s="154"/>
      <c r="D48" s="193"/>
      <c r="E48" s="1103"/>
      <c r="F48" s="1103"/>
      <c r="G48" s="1103"/>
      <c r="H48" s="148"/>
      <c r="I48" s="148"/>
    </row>
    <row r="49" spans="1:9" ht="27.75" hidden="1">
      <c r="A49" s="199" t="s">
        <v>690</v>
      </c>
      <c r="B49" s="200" t="s">
        <v>691</v>
      </c>
      <c r="C49" s="154"/>
      <c r="D49" s="193"/>
      <c r="E49" s="1103"/>
      <c r="F49" s="1103"/>
      <c r="G49" s="1103"/>
      <c r="H49" s="148"/>
      <c r="I49" s="148"/>
    </row>
    <row r="50" spans="1:9" ht="14.25" hidden="1">
      <c r="A50" s="206" t="s">
        <v>1660</v>
      </c>
      <c r="B50" s="200" t="s">
        <v>934</v>
      </c>
      <c r="C50" s="196" t="s">
        <v>432</v>
      </c>
      <c r="D50" s="193"/>
      <c r="E50" s="1103"/>
      <c r="F50" s="1103"/>
      <c r="G50" s="1103"/>
      <c r="H50" s="148"/>
      <c r="I50" s="148"/>
    </row>
    <row r="51" spans="2:9" ht="27.75">
      <c r="B51" s="1096" t="s">
        <v>539</v>
      </c>
      <c r="C51" s="203"/>
      <c r="D51" s="1106" t="s">
        <v>310</v>
      </c>
      <c r="E51" s="1106" t="s">
        <v>310</v>
      </c>
      <c r="F51" s="1106" t="s">
        <v>310</v>
      </c>
      <c r="G51" s="1106" t="s">
        <v>310</v>
      </c>
      <c r="H51" s="148"/>
      <c r="I51" s="148"/>
    </row>
    <row r="52" spans="1:9" ht="27.75">
      <c r="A52" s="199" t="s">
        <v>1236</v>
      </c>
      <c r="B52" s="200" t="s">
        <v>540</v>
      </c>
      <c r="C52" s="196" t="s">
        <v>432</v>
      </c>
      <c r="D52" s="1102">
        <v>0.07</v>
      </c>
      <c r="E52" s="1102">
        <v>0.07</v>
      </c>
      <c r="F52" s="1102">
        <v>0.07</v>
      </c>
      <c r="G52" s="1102">
        <v>0.07</v>
      </c>
      <c r="H52" s="148"/>
      <c r="I52" s="148"/>
    </row>
    <row r="53" spans="1:9" ht="27.75">
      <c r="A53" s="199" t="s">
        <v>191</v>
      </c>
      <c r="B53" s="200" t="s">
        <v>541</v>
      </c>
      <c r="C53" s="196" t="s">
        <v>432</v>
      </c>
      <c r="D53" s="1102">
        <v>0.07</v>
      </c>
      <c r="E53" s="1102">
        <v>0.07</v>
      </c>
      <c r="F53" s="1102">
        <v>0.07</v>
      </c>
      <c r="G53" s="1102">
        <v>0.07</v>
      </c>
      <c r="H53" s="148"/>
      <c r="I53" s="148"/>
    </row>
    <row r="54" spans="1:9" ht="27.75">
      <c r="A54" s="149">
        <v>4</v>
      </c>
      <c r="B54" s="153" t="s">
        <v>937</v>
      </c>
      <c r="C54" s="196" t="s">
        <v>432</v>
      </c>
      <c r="D54" s="193"/>
      <c r="E54" s="1103"/>
      <c r="F54" s="1103"/>
      <c r="G54" s="1103"/>
      <c r="H54" s="148"/>
      <c r="I54" s="148"/>
    </row>
    <row r="55" spans="1:9" ht="14.25">
      <c r="A55" s="205" t="s">
        <v>203</v>
      </c>
      <c r="B55" s="207" t="s">
        <v>938</v>
      </c>
      <c r="C55" s="196" t="s">
        <v>432</v>
      </c>
      <c r="D55" s="193"/>
      <c r="E55" s="1103"/>
      <c r="F55" s="1103"/>
      <c r="G55" s="1103"/>
      <c r="H55" s="148"/>
      <c r="I55" s="148"/>
    </row>
    <row r="56" spans="1:9" ht="14.25">
      <c r="A56" s="199" t="s">
        <v>205</v>
      </c>
      <c r="B56" s="208" t="s">
        <v>939</v>
      </c>
      <c r="C56" s="203"/>
      <c r="D56" s="193"/>
      <c r="E56" s="1103"/>
      <c r="F56" s="1103"/>
      <c r="G56" s="1103"/>
      <c r="H56" s="148"/>
      <c r="I56" s="148"/>
    </row>
    <row r="57" spans="1:9" ht="14.25">
      <c r="A57" s="1097" t="s">
        <v>207</v>
      </c>
      <c r="B57" s="1098" t="s">
        <v>940</v>
      </c>
      <c r="C57" s="1099" t="s">
        <v>432</v>
      </c>
      <c r="D57" s="1100">
        <f>D38+D39+D41+D42+D44+D45+D52+D53</f>
        <v>0.48000000000000004</v>
      </c>
      <c r="E57" s="1100">
        <f>E38+E39+E41+E42+E44+E45+E52+E53</f>
        <v>0.48000000000000004</v>
      </c>
      <c r="F57" s="1100">
        <f>F38+F39+F41+F42+F44+F45+F52+F53</f>
        <v>0.48000000000000004</v>
      </c>
      <c r="G57" s="1100">
        <f>G38+G39+G41+G42+G44+G45+G52+G53</f>
        <v>0.48000000000000004</v>
      </c>
      <c r="H57" s="148"/>
      <c r="I57" s="148"/>
    </row>
    <row r="58" spans="1:9" ht="14.25">
      <c r="A58" s="202" t="s">
        <v>214</v>
      </c>
      <c r="B58" s="208" t="s">
        <v>941</v>
      </c>
      <c r="C58" s="196" t="s">
        <v>432</v>
      </c>
      <c r="D58" s="1104"/>
      <c r="E58" s="1105"/>
      <c r="F58" s="1105"/>
      <c r="G58" s="1105"/>
      <c r="H58" s="148"/>
      <c r="I58" s="148"/>
    </row>
    <row r="59" spans="1:4" ht="30.75" customHeight="1" hidden="1" outlineLevel="1">
      <c r="A59" s="2109" t="s">
        <v>542</v>
      </c>
      <c r="B59" s="2109"/>
      <c r="C59" s="2109"/>
      <c r="D59" s="2109"/>
    </row>
    <row r="60" ht="14.25" collapsed="1"/>
    <row r="62" spans="1:4" ht="14.25">
      <c r="A62" s="195"/>
      <c r="B62" s="195"/>
      <c r="C62" s="195"/>
      <c r="D62" s="195"/>
    </row>
    <row r="63" spans="1:4" ht="14.25">
      <c r="A63" s="195" t="s">
        <v>1155</v>
      </c>
      <c r="B63" s="195"/>
      <c r="C63" s="195"/>
      <c r="D63" s="195"/>
    </row>
  </sheetData>
  <sheetProtection/>
  <protectedRanges>
    <protectedRange password="CC01" sqref="H1:I1" name="Диапазон1_1"/>
  </protectedRanges>
  <mergeCells count="6">
    <mergeCell ref="E6:G6"/>
    <mergeCell ref="A59:D59"/>
    <mergeCell ref="C6:C7"/>
    <mergeCell ref="A4:D4"/>
    <mergeCell ref="A6:A7"/>
    <mergeCell ref="B6:B7"/>
  </mergeCells>
  <printOptions/>
  <pageMargins left="0.7480314960629921" right="0.2755905511811024" top="0.7480314960629921" bottom="0.3937007874015748" header="0.31496062992125984" footer="0.31496062992125984"/>
  <pageSetup fitToHeight="1" fitToWidth="1"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zoomScalePageLayoutView="0" workbookViewId="0" topLeftCell="A4">
      <selection activeCell="V37" sqref="V37"/>
    </sheetView>
  </sheetViews>
  <sheetFormatPr defaultColWidth="9.140625" defaultRowHeight="15"/>
  <cols>
    <col min="1" max="1" width="4.57421875" style="0" customWidth="1"/>
    <col min="2" max="2" width="61.00390625" style="0" customWidth="1"/>
    <col min="3" max="3" width="12.00390625" style="0" customWidth="1"/>
  </cols>
  <sheetData>
    <row r="1" spans="1:8" ht="14.25">
      <c r="A1" s="1477" t="str">
        <f>'4.1'!B2</f>
        <v>Теплоснабжающая организация: ООО "Интэко"</v>
      </c>
      <c r="B1" s="1477"/>
      <c r="G1" s="2340" t="s">
        <v>515</v>
      </c>
      <c r="H1" s="2340"/>
    </row>
    <row r="2" spans="1:2" ht="14.25">
      <c r="A2" s="1477" t="str">
        <f>'4.1'!B3</f>
        <v>Базовый период/Период регулирования:2016/2017-2019 г.г.</v>
      </c>
      <c r="B2" s="1477"/>
    </row>
    <row r="4" ht="14.25">
      <c r="A4" t="s">
        <v>167</v>
      </c>
    </row>
    <row r="6" ht="14.25">
      <c r="A6" s="413" t="str">
        <f>'4.1'!B6</f>
        <v>Усть-Камчатское муниципальное образование</v>
      </c>
    </row>
    <row r="7" spans="1:8" s="421" customFormat="1" ht="30.75" customHeight="1">
      <c r="A7" s="157" t="s">
        <v>576</v>
      </c>
      <c r="B7" s="157" t="s">
        <v>1670</v>
      </c>
      <c r="C7" s="406" t="s">
        <v>908</v>
      </c>
      <c r="D7" s="406">
        <v>2017</v>
      </c>
      <c r="E7" s="406">
        <v>2018</v>
      </c>
      <c r="F7" s="406">
        <v>2019</v>
      </c>
      <c r="G7" s="406" t="s">
        <v>1549</v>
      </c>
      <c r="H7" s="406" t="s">
        <v>1549</v>
      </c>
    </row>
    <row r="8" spans="1:8" s="420" customFormat="1" ht="13.5" customHeight="1">
      <c r="A8" s="399">
        <v>1</v>
      </c>
      <c r="B8" s="402">
        <v>1</v>
      </c>
      <c r="C8" s="424">
        <v>2</v>
      </c>
      <c r="D8" s="402">
        <v>3</v>
      </c>
      <c r="E8" s="402">
        <v>4</v>
      </c>
      <c r="F8" s="424">
        <v>5</v>
      </c>
      <c r="G8" s="402">
        <v>6</v>
      </c>
      <c r="H8" s="402">
        <v>7</v>
      </c>
    </row>
    <row r="9" spans="1:8" s="113" customFormat="1" ht="14.25" customHeight="1">
      <c r="A9" s="425" t="s">
        <v>1671</v>
      </c>
      <c r="B9" s="422" t="s">
        <v>1550</v>
      </c>
      <c r="C9" s="406" t="s">
        <v>1675</v>
      </c>
      <c r="D9" s="423"/>
      <c r="E9" s="423"/>
      <c r="F9" s="423"/>
      <c r="G9" s="423"/>
      <c r="H9" s="423"/>
    </row>
    <row r="10" spans="1:8" s="113" customFormat="1" ht="14.25" customHeight="1">
      <c r="A10" s="425" t="s">
        <v>1664</v>
      </c>
      <c r="B10" s="396" t="s">
        <v>1551</v>
      </c>
      <c r="C10" s="406" t="s">
        <v>1675</v>
      </c>
      <c r="D10" s="423"/>
      <c r="E10" s="423"/>
      <c r="F10" s="423"/>
      <c r="G10" s="423"/>
      <c r="H10" s="423"/>
    </row>
    <row r="11" spans="1:8" s="113" customFormat="1" ht="14.25" customHeight="1">
      <c r="A11" s="425" t="s">
        <v>1666</v>
      </c>
      <c r="B11" s="396" t="s">
        <v>1552</v>
      </c>
      <c r="C11" s="406" t="s">
        <v>1675</v>
      </c>
      <c r="D11" s="423"/>
      <c r="E11" s="423"/>
      <c r="F11" s="423"/>
      <c r="G11" s="423"/>
      <c r="H11" s="423"/>
    </row>
    <row r="12" spans="1:8" s="113" customFormat="1" ht="14.25" customHeight="1">
      <c r="A12" s="425" t="s">
        <v>1672</v>
      </c>
      <c r="B12" s="396" t="s">
        <v>1553</v>
      </c>
      <c r="C12" s="406" t="s">
        <v>1675</v>
      </c>
      <c r="D12" s="423"/>
      <c r="E12" s="423"/>
      <c r="F12" s="423"/>
      <c r="G12" s="423"/>
      <c r="H12" s="423"/>
    </row>
    <row r="13" spans="1:8" s="113" customFormat="1" ht="14.25" customHeight="1">
      <c r="A13" s="425" t="s">
        <v>1673</v>
      </c>
      <c r="B13" s="396" t="s">
        <v>1554</v>
      </c>
      <c r="C13" s="406"/>
      <c r="D13" s="423"/>
      <c r="E13" s="423"/>
      <c r="F13" s="423"/>
      <c r="G13" s="423"/>
      <c r="H13" s="423"/>
    </row>
    <row r="14" spans="1:8" s="113" customFormat="1" ht="14.25" customHeight="1">
      <c r="A14" s="425" t="s">
        <v>1674</v>
      </c>
      <c r="B14" s="396" t="s">
        <v>293</v>
      </c>
      <c r="C14" s="406"/>
      <c r="D14" s="418" t="s">
        <v>1218</v>
      </c>
      <c r="E14" s="418"/>
      <c r="F14" s="418"/>
      <c r="G14" s="418"/>
      <c r="H14" s="418" t="s">
        <v>1218</v>
      </c>
    </row>
    <row r="15" spans="1:8" s="113" customFormat="1" ht="14.25" customHeight="1">
      <c r="A15" s="425" t="s">
        <v>1677</v>
      </c>
      <c r="B15" s="396" t="s">
        <v>1555</v>
      </c>
      <c r="C15" s="406"/>
      <c r="D15" s="418" t="s">
        <v>1218</v>
      </c>
      <c r="E15" s="418"/>
      <c r="F15" s="418"/>
      <c r="G15" s="418"/>
      <c r="H15" s="418"/>
    </row>
    <row r="16" spans="1:8" s="113" customFormat="1" ht="30" customHeight="1">
      <c r="A16" s="425" t="s">
        <v>1678</v>
      </c>
      <c r="B16" s="396" t="s">
        <v>1556</v>
      </c>
      <c r="C16" s="406" t="s">
        <v>1675</v>
      </c>
      <c r="D16" s="418" t="s">
        <v>1218</v>
      </c>
      <c r="E16" s="418" t="s">
        <v>1218</v>
      </c>
      <c r="F16" s="418" t="s">
        <v>1218</v>
      </c>
      <c r="G16" s="418" t="s">
        <v>1218</v>
      </c>
      <c r="H16" s="418"/>
    </row>
    <row r="18" spans="2:5" ht="14.25">
      <c r="B18" s="749" t="s">
        <v>1076</v>
      </c>
      <c r="D18" s="750" t="s">
        <v>1077</v>
      </c>
      <c r="E18" s="750"/>
    </row>
    <row r="20" ht="14.25">
      <c r="B20" t="s">
        <v>304</v>
      </c>
    </row>
    <row r="21" spans="1:7" ht="14.25">
      <c r="A21" s="426" t="s">
        <v>238</v>
      </c>
      <c r="B21" s="113" t="s">
        <v>1557</v>
      </c>
      <c r="C21" s="113"/>
      <c r="D21" s="113"/>
      <c r="E21" s="113"/>
      <c r="F21" s="113"/>
      <c r="G21" s="113"/>
    </row>
    <row r="22" spans="1:7" ht="14.25">
      <c r="A22" s="426" t="s">
        <v>240</v>
      </c>
      <c r="B22" s="113" t="s">
        <v>526</v>
      </c>
      <c r="C22" s="113"/>
      <c r="D22" s="113"/>
      <c r="E22" s="113"/>
      <c r="F22" s="113"/>
      <c r="G22" s="113"/>
    </row>
    <row r="23" spans="1:7" ht="14.25">
      <c r="A23" s="426" t="s">
        <v>241</v>
      </c>
      <c r="B23" s="113" t="s">
        <v>527</v>
      </c>
      <c r="C23" s="113"/>
      <c r="D23" s="113"/>
      <c r="E23" s="113"/>
      <c r="F23" s="113"/>
      <c r="G23" s="113"/>
    </row>
    <row r="24" spans="1:7" ht="14.25">
      <c r="A24" s="426" t="s">
        <v>242</v>
      </c>
      <c r="B24" s="113" t="s">
        <v>528</v>
      </c>
      <c r="C24" s="113"/>
      <c r="D24" s="113"/>
      <c r="E24" s="113"/>
      <c r="F24" s="113"/>
      <c r="G24" s="113"/>
    </row>
    <row r="25" spans="2:7" ht="14.25">
      <c r="B25" s="113" t="s">
        <v>529</v>
      </c>
      <c r="C25" s="113"/>
      <c r="D25" s="113"/>
      <c r="E25" s="113"/>
      <c r="F25" s="113"/>
      <c r="G25" s="113"/>
    </row>
    <row r="26" spans="2:7" ht="14.25">
      <c r="B26" s="113" t="s">
        <v>530</v>
      </c>
      <c r="C26" s="113"/>
      <c r="D26" s="113"/>
      <c r="E26" s="113"/>
      <c r="F26" s="113"/>
      <c r="G26" s="113"/>
    </row>
    <row r="27" spans="2:7" ht="14.25">
      <c r="B27" s="113" t="s">
        <v>531</v>
      </c>
      <c r="C27" s="113"/>
      <c r="D27" s="113"/>
      <c r="E27" s="113"/>
      <c r="F27" s="113"/>
      <c r="G27" s="113"/>
    </row>
    <row r="28" spans="2:7" ht="14.25">
      <c r="B28" s="113" t="s">
        <v>532</v>
      </c>
      <c r="C28" s="113"/>
      <c r="D28" s="113"/>
      <c r="E28" s="113"/>
      <c r="F28" s="113"/>
      <c r="G28" s="113"/>
    </row>
    <row r="29" spans="1:7" ht="14.25">
      <c r="A29" t="s">
        <v>243</v>
      </c>
      <c r="B29" s="113" t="s">
        <v>1497</v>
      </c>
      <c r="C29" s="113"/>
      <c r="D29" s="113"/>
      <c r="E29" s="113"/>
      <c r="F29" s="113"/>
      <c r="G29" s="113"/>
    </row>
    <row r="30" spans="2:7" ht="14.25">
      <c r="B30" s="113" t="s">
        <v>1498</v>
      </c>
      <c r="C30" s="113"/>
      <c r="D30" s="113"/>
      <c r="E30" s="113"/>
      <c r="F30" s="113"/>
      <c r="G30" s="113"/>
    </row>
    <row r="31" spans="2:7" ht="14.25">
      <c r="B31" s="113" t="s">
        <v>1499</v>
      </c>
      <c r="C31" s="113"/>
      <c r="D31" s="113"/>
      <c r="E31" s="113"/>
      <c r="F31" s="113"/>
      <c r="G31" s="113"/>
    </row>
    <row r="32" spans="1:7" ht="14.25">
      <c r="A32" t="s">
        <v>244</v>
      </c>
      <c r="B32" s="113" t="s">
        <v>1500</v>
      </c>
      <c r="C32" s="113"/>
      <c r="D32" s="113"/>
      <c r="E32" s="113"/>
      <c r="F32" s="113"/>
      <c r="G32" s="113"/>
    </row>
    <row r="33" spans="2:7" ht="14.25">
      <c r="B33" s="113" t="s">
        <v>1501</v>
      </c>
      <c r="C33" s="113"/>
      <c r="D33" s="113"/>
      <c r="E33" s="113"/>
      <c r="F33" s="113"/>
      <c r="G33" s="113"/>
    </row>
    <row r="34" spans="1:7" ht="14.25">
      <c r="A34" t="s">
        <v>245</v>
      </c>
      <c r="B34" s="113" t="s">
        <v>1502</v>
      </c>
      <c r="C34" s="113"/>
      <c r="D34" s="113"/>
      <c r="E34" s="113"/>
      <c r="F34" s="113"/>
      <c r="G34" s="113"/>
    </row>
    <row r="35" spans="2:7" ht="14.25">
      <c r="B35" s="113" t="s">
        <v>1503</v>
      </c>
      <c r="C35" s="113"/>
      <c r="D35" s="113"/>
      <c r="E35" s="113"/>
      <c r="F35" s="113"/>
      <c r="G35" s="113"/>
    </row>
    <row r="36" spans="2:7" ht="15.75">
      <c r="B36" s="113" t="s">
        <v>512</v>
      </c>
      <c r="C36" s="113"/>
      <c r="D36" s="113"/>
      <c r="E36" s="113"/>
      <c r="F36" s="113"/>
      <c r="G36" s="113"/>
    </row>
    <row r="37" spans="2:7" ht="14.25">
      <c r="B37" s="113" t="s">
        <v>513</v>
      </c>
      <c r="C37" s="113"/>
      <c r="D37" s="113"/>
      <c r="E37" s="113"/>
      <c r="F37" s="113"/>
      <c r="G37" s="113"/>
    </row>
    <row r="38" spans="2:7" ht="15.75">
      <c r="B38" s="114" t="s">
        <v>514</v>
      </c>
      <c r="C38" s="114"/>
      <c r="D38" s="114"/>
      <c r="E38" s="114"/>
      <c r="F38" s="114"/>
      <c r="G38" s="114"/>
    </row>
  </sheetData>
  <sheetProtection/>
  <mergeCells count="1">
    <mergeCell ref="G1:H1"/>
  </mergeCells>
  <printOptions/>
  <pageMargins left="0.7" right="0.7" top="0.75" bottom="0.75" header="0.3" footer="0.3"/>
  <pageSetup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EY39"/>
  <sheetViews>
    <sheetView zoomScaleSheetLayoutView="100" zoomScalePageLayoutView="0" workbookViewId="0" topLeftCell="A4">
      <selection activeCell="V37" sqref="V37"/>
    </sheetView>
  </sheetViews>
  <sheetFormatPr defaultColWidth="9.140625" defaultRowHeight="15"/>
  <cols>
    <col min="1" max="1" width="4.57421875" style="0" customWidth="1"/>
    <col min="2" max="2" width="54.57421875" style="0" customWidth="1"/>
    <col min="3" max="3" width="15.140625" style="0" customWidth="1"/>
  </cols>
  <sheetData>
    <row r="1" spans="1:10" ht="14.25">
      <c r="A1" t="str">
        <f>'4.1'!B2</f>
        <v>Теплоснабжающая организация: ООО "Интэко"</v>
      </c>
      <c r="G1" s="2340" t="s">
        <v>1606</v>
      </c>
      <c r="H1" s="2340"/>
      <c r="I1" s="514"/>
      <c r="J1" s="513"/>
    </row>
    <row r="2" spans="1:2" ht="14.25">
      <c r="A2" s="1477" t="str">
        <f>'4.1'!B3</f>
        <v>Базовый период/Период регулирования:2016/2017-2019 г.г.</v>
      </c>
      <c r="B2" s="1477"/>
    </row>
    <row r="4" spans="1:8" ht="37.5" customHeight="1">
      <c r="A4" s="2348" t="s">
        <v>168</v>
      </c>
      <c r="B4" s="2348"/>
      <c r="C4" s="2348"/>
      <c r="D4" s="2348"/>
      <c r="E4" s="2348"/>
      <c r="F4" s="2348"/>
      <c r="G4" s="2348"/>
      <c r="H4" s="2348"/>
    </row>
    <row r="6" ht="14.25">
      <c r="A6" s="413" t="str">
        <f>'4.1'!B6</f>
        <v>Усть-Камчатское муниципальное образование</v>
      </c>
    </row>
    <row r="7" spans="1:8" s="421" customFormat="1" ht="29.25" customHeight="1">
      <c r="A7" s="157" t="s">
        <v>845</v>
      </c>
      <c r="B7" s="158" t="s">
        <v>1670</v>
      </c>
      <c r="C7" s="406" t="s">
        <v>908</v>
      </c>
      <c r="D7" s="406">
        <v>2017</v>
      </c>
      <c r="E7" s="406">
        <v>2018</v>
      </c>
      <c r="F7" s="406">
        <v>2019</v>
      </c>
      <c r="G7" s="406" t="s">
        <v>516</v>
      </c>
      <c r="H7" s="406" t="s">
        <v>1549</v>
      </c>
    </row>
    <row r="8" spans="1:8" s="420" customFormat="1" ht="13.5">
      <c r="A8" s="399">
        <v>1</v>
      </c>
      <c r="B8" s="402">
        <v>2</v>
      </c>
      <c r="C8" s="400">
        <v>3</v>
      </c>
      <c r="D8" s="400">
        <v>4</v>
      </c>
      <c r="E8" s="400">
        <v>5</v>
      </c>
      <c r="F8" s="400">
        <v>6</v>
      </c>
      <c r="G8" s="400">
        <v>7</v>
      </c>
      <c r="H8" s="400">
        <v>8</v>
      </c>
    </row>
    <row r="9" spans="1:8" s="113" customFormat="1" ht="13.5">
      <c r="A9" s="425" t="s">
        <v>1671</v>
      </c>
      <c r="B9" s="430" t="s">
        <v>1126</v>
      </c>
      <c r="C9" s="418" t="s">
        <v>1131</v>
      </c>
      <c r="D9" s="423">
        <v>182</v>
      </c>
      <c r="E9" s="423">
        <v>182</v>
      </c>
      <c r="F9" s="423">
        <v>182</v>
      </c>
      <c r="G9" s="423"/>
      <c r="H9" s="423"/>
    </row>
    <row r="10" spans="1:8" s="113" customFormat="1" ht="15" customHeight="1">
      <c r="A10" s="425" t="s">
        <v>1664</v>
      </c>
      <c r="B10" s="401" t="s">
        <v>1127</v>
      </c>
      <c r="C10" s="418" t="s">
        <v>1131</v>
      </c>
      <c r="D10" s="423">
        <v>182</v>
      </c>
      <c r="E10" s="423">
        <v>182</v>
      </c>
      <c r="F10" s="423">
        <v>182</v>
      </c>
      <c r="G10" s="423"/>
      <c r="H10" s="423"/>
    </row>
    <row r="11" spans="1:8" s="113" customFormat="1" ht="28.5" customHeight="1">
      <c r="A11" s="425" t="s">
        <v>1666</v>
      </c>
      <c r="B11" s="401" t="s">
        <v>1128</v>
      </c>
      <c r="C11" s="418" t="s">
        <v>517</v>
      </c>
      <c r="D11" s="512">
        <f>'4.1'!AJ14</f>
        <v>0.9808697404200001</v>
      </c>
      <c r="E11" s="512">
        <f>D11</f>
        <v>0.9808697404200001</v>
      </c>
      <c r="F11" s="512">
        <f>E11</f>
        <v>0.9808697404200001</v>
      </c>
      <c r="G11" s="423"/>
      <c r="H11" s="423"/>
    </row>
    <row r="12" spans="1:8" s="113" customFormat="1" ht="28.5" customHeight="1">
      <c r="A12" s="425" t="s">
        <v>1672</v>
      </c>
      <c r="B12" s="401" t="s">
        <v>1129</v>
      </c>
      <c r="C12" s="418" t="s">
        <v>1167</v>
      </c>
      <c r="D12" s="423"/>
      <c r="E12" s="423"/>
      <c r="F12" s="423"/>
      <c r="G12" s="423"/>
      <c r="H12" s="423"/>
    </row>
    <row r="13" spans="1:8" s="113" customFormat="1" ht="15" customHeight="1">
      <c r="A13" s="425" t="s">
        <v>1673</v>
      </c>
      <c r="B13" s="401" t="s">
        <v>1130</v>
      </c>
      <c r="C13" s="418" t="s">
        <v>1168</v>
      </c>
      <c r="D13" s="423"/>
      <c r="E13" s="423"/>
      <c r="F13" s="423"/>
      <c r="G13" s="423"/>
      <c r="H13" s="423"/>
    </row>
    <row r="14" spans="1:8" s="113" customFormat="1" ht="15" customHeight="1">
      <c r="A14" s="425" t="s">
        <v>1674</v>
      </c>
      <c r="B14" s="401" t="s">
        <v>518</v>
      </c>
      <c r="C14" s="418" t="s">
        <v>1675</v>
      </c>
      <c r="D14" s="423"/>
      <c r="E14" s="423"/>
      <c r="F14" s="423"/>
      <c r="G14" s="423"/>
      <c r="H14" s="423"/>
    </row>
    <row r="15" spans="1:8" s="113" customFormat="1" ht="15" customHeight="1">
      <c r="A15" s="425" t="s">
        <v>1677</v>
      </c>
      <c r="B15" s="401" t="s">
        <v>519</v>
      </c>
      <c r="C15" s="406"/>
      <c r="D15" s="423"/>
      <c r="E15" s="423"/>
      <c r="F15" s="423"/>
      <c r="G15" s="423"/>
      <c r="H15" s="423"/>
    </row>
    <row r="16" spans="1:8" s="113" customFormat="1" ht="15" customHeight="1">
      <c r="A16" s="425" t="s">
        <v>1678</v>
      </c>
      <c r="B16" s="401" t="s">
        <v>293</v>
      </c>
      <c r="C16" s="406"/>
      <c r="D16" s="423"/>
      <c r="E16" s="423"/>
      <c r="F16" s="423"/>
      <c r="G16" s="423"/>
      <c r="H16" s="423"/>
    </row>
    <row r="17" spans="1:8" s="113" customFormat="1" ht="48" customHeight="1">
      <c r="A17" s="425" t="s">
        <v>1679</v>
      </c>
      <c r="B17" s="401" t="s">
        <v>520</v>
      </c>
      <c r="C17" s="406"/>
      <c r="D17" s="423"/>
      <c r="E17" s="423"/>
      <c r="F17" s="423"/>
      <c r="G17" s="423"/>
      <c r="H17" s="423"/>
    </row>
    <row r="18" spans="1:8" s="113" customFormat="1" ht="28.5" customHeight="1">
      <c r="A18" s="425" t="s">
        <v>1680</v>
      </c>
      <c r="B18" s="401" t="s">
        <v>521</v>
      </c>
      <c r="C18" s="418" t="s">
        <v>1675</v>
      </c>
      <c r="D18" s="423"/>
      <c r="E18" s="423"/>
      <c r="F18" s="423"/>
      <c r="G18" s="423"/>
      <c r="H18" s="423"/>
    </row>
    <row r="19" s="113" customFormat="1" ht="12.75" customHeight="1"/>
    <row r="20" s="113" customFormat="1" ht="12.75" customHeight="1"/>
    <row r="21" s="113" customFormat="1" ht="12.75" customHeight="1"/>
    <row r="22" s="113" customFormat="1" ht="12.75" customHeight="1"/>
    <row r="23" s="141" customFormat="1" ht="12" hidden="1">
      <c r="B23" s="141" t="s">
        <v>304</v>
      </c>
    </row>
    <row r="24" spans="1:5" s="141" customFormat="1" ht="12" hidden="1">
      <c r="A24" s="141" t="s">
        <v>238</v>
      </c>
      <c r="B24" s="141" t="s">
        <v>522</v>
      </c>
      <c r="D24" s="2346"/>
      <c r="E24" s="2346"/>
    </row>
    <row r="25" spans="1:5" s="141" customFormat="1" ht="12" hidden="1">
      <c r="A25" s="141" t="s">
        <v>240</v>
      </c>
      <c r="B25" s="141" t="s">
        <v>522</v>
      </c>
      <c r="D25" s="2346"/>
      <c r="E25" s="2346"/>
    </row>
    <row r="26" spans="1:155" s="427" customFormat="1" ht="25.5" customHeight="1" hidden="1">
      <c r="A26" s="427" t="s">
        <v>241</v>
      </c>
      <c r="B26" s="2347" t="s">
        <v>1597</v>
      </c>
      <c r="C26" s="2347"/>
      <c r="D26" s="2347"/>
      <c r="E26" s="2347"/>
      <c r="F26" s="2347"/>
      <c r="G26" s="2347"/>
      <c r="H26" s="2347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  <c r="EV26" s="429"/>
      <c r="EW26" s="429"/>
      <c r="EX26" s="429"/>
      <c r="EY26" s="429"/>
    </row>
    <row r="27" spans="1:5" s="141" customFormat="1" ht="12" hidden="1">
      <c r="A27" s="141">
        <v>4</v>
      </c>
      <c r="B27" s="141" t="s">
        <v>1134</v>
      </c>
      <c r="D27" s="143"/>
      <c r="E27" s="143"/>
    </row>
    <row r="28" spans="1:155" s="427" customFormat="1" ht="25.5" customHeight="1" hidden="1">
      <c r="A28" s="427" t="s">
        <v>243</v>
      </c>
      <c r="B28" s="2347" t="s">
        <v>681</v>
      </c>
      <c r="C28" s="2347"/>
      <c r="D28" s="2347"/>
      <c r="E28" s="2347"/>
      <c r="F28" s="2347"/>
      <c r="G28" s="2347"/>
      <c r="H28" s="2347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</row>
    <row r="29" spans="1:5" s="141" customFormat="1" ht="12" hidden="1">
      <c r="A29" s="141" t="s">
        <v>244</v>
      </c>
      <c r="B29" s="141" t="s">
        <v>1598</v>
      </c>
      <c r="D29" s="2346"/>
      <c r="E29" s="2346"/>
    </row>
    <row r="30" spans="2:5" s="141" customFormat="1" ht="12" hidden="1">
      <c r="B30" s="141" t="s">
        <v>1599</v>
      </c>
      <c r="D30" s="2346"/>
      <c r="E30" s="2346"/>
    </row>
    <row r="31" spans="2:5" s="141" customFormat="1" ht="12" hidden="1">
      <c r="B31" s="141" t="s">
        <v>1600</v>
      </c>
      <c r="D31" s="2346"/>
      <c r="E31" s="2346"/>
    </row>
    <row r="32" spans="1:5" s="141" customFormat="1" ht="12" hidden="1">
      <c r="A32" s="141" t="s">
        <v>245</v>
      </c>
      <c r="B32" s="141" t="s">
        <v>1601</v>
      </c>
      <c r="D32" s="2346"/>
      <c r="E32" s="2346"/>
    </row>
    <row r="33" spans="2:5" s="141" customFormat="1" ht="12" hidden="1">
      <c r="B33" s="141" t="s">
        <v>1602</v>
      </c>
      <c r="D33" s="2346"/>
      <c r="E33" s="2346"/>
    </row>
    <row r="34" spans="1:5" s="141" customFormat="1" ht="12" hidden="1">
      <c r="A34" s="141" t="s">
        <v>246</v>
      </c>
      <c r="B34" s="141" t="s">
        <v>1603</v>
      </c>
      <c r="D34" s="2346"/>
      <c r="E34" s="2346"/>
    </row>
    <row r="35" s="141" customFormat="1" ht="12" hidden="1">
      <c r="B35" s="141" t="s">
        <v>1503</v>
      </c>
    </row>
    <row r="36" s="428" customFormat="1" ht="14.25" customHeight="1" hidden="1">
      <c r="B36" s="428" t="s">
        <v>1604</v>
      </c>
    </row>
    <row r="37" s="141" customFormat="1" ht="12" hidden="1">
      <c r="B37" s="141" t="s">
        <v>513</v>
      </c>
    </row>
    <row r="38" s="428" customFormat="1" ht="14.25" customHeight="1" hidden="1">
      <c r="B38" s="428" t="s">
        <v>1605</v>
      </c>
    </row>
    <row r="39" spans="2:7" ht="14.25">
      <c r="B39" s="1479" t="s">
        <v>1362</v>
      </c>
      <c r="C39" s="2340" t="s">
        <v>875</v>
      </c>
      <c r="D39" s="2340"/>
      <c r="E39" s="2340"/>
      <c r="F39" s="2340"/>
      <c r="G39" s="2340"/>
    </row>
  </sheetData>
  <sheetProtection/>
  <protectedRanges>
    <protectedRange password="CC01" sqref="I1:J1" name="Диапазон1_1"/>
  </protectedRanges>
  <mergeCells count="13">
    <mergeCell ref="B28:H28"/>
    <mergeCell ref="G1:H1"/>
    <mergeCell ref="D24:E24"/>
    <mergeCell ref="D25:E25"/>
    <mergeCell ref="B26:H26"/>
    <mergeCell ref="A4:H4"/>
    <mergeCell ref="C39:G39"/>
    <mergeCell ref="D33:E33"/>
    <mergeCell ref="D34:E34"/>
    <mergeCell ref="D29:E29"/>
    <mergeCell ref="D30:E30"/>
    <mergeCell ref="D31:E31"/>
    <mergeCell ref="D32:E32"/>
  </mergeCells>
  <printOptions horizontalCentered="1"/>
  <pageMargins left="0.9055118110236221" right="0.7086614173228347" top="0.7480314960629921" bottom="0.7480314960629921" header="0.31496062992125984" footer="0.31496062992125984"/>
  <pageSetup orientation="portrait" paperSize="9" scale="67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ES38"/>
  <sheetViews>
    <sheetView zoomScaleSheetLayoutView="100" zoomScalePageLayoutView="0" workbookViewId="0" topLeftCell="A1">
      <selection activeCell="V37" sqref="V37"/>
    </sheetView>
  </sheetViews>
  <sheetFormatPr defaultColWidth="9.140625" defaultRowHeight="15"/>
  <cols>
    <col min="1" max="1" width="5.57421875" style="0" customWidth="1"/>
    <col min="2" max="2" width="52.28125" style="0" customWidth="1"/>
    <col min="3" max="3" width="10.28125" style="0" customWidth="1"/>
  </cols>
  <sheetData>
    <row r="1" spans="1:8" ht="14.25">
      <c r="A1" t="str">
        <f>'4.1'!B2</f>
        <v>Теплоснабжающая организация: ООО "Интэко"</v>
      </c>
      <c r="G1" s="2340" t="s">
        <v>135</v>
      </c>
      <c r="H1" s="2340"/>
    </row>
    <row r="2" spans="1:2" ht="14.25">
      <c r="A2" s="1477" t="str">
        <f>'4.1'!B3</f>
        <v>Базовый период/Период регулирования:2016/2017-2019 г.г.</v>
      </c>
      <c r="B2" s="1477"/>
    </row>
    <row r="4" spans="1:8" ht="69" customHeight="1">
      <c r="A4" s="2349" t="s">
        <v>125</v>
      </c>
      <c r="B4" s="2349"/>
      <c r="C4" s="2349"/>
      <c r="D4" s="2349"/>
      <c r="E4" s="2349"/>
      <c r="F4" s="2349"/>
      <c r="G4" s="2349"/>
      <c r="H4" s="2349"/>
    </row>
    <row r="6" ht="14.25">
      <c r="A6" s="413" t="str">
        <f>'4.1'!B6</f>
        <v>Усть-Камчатское муниципальное образование</v>
      </c>
    </row>
    <row r="7" spans="1:8" s="421" customFormat="1" ht="39" customHeight="1">
      <c r="A7" s="158" t="s">
        <v>845</v>
      </c>
      <c r="B7" s="158" t="s">
        <v>1670</v>
      </c>
      <c r="C7" s="406" t="s">
        <v>908</v>
      </c>
      <c r="D7" s="406">
        <v>2017</v>
      </c>
      <c r="E7" s="406">
        <v>2018</v>
      </c>
      <c r="F7" s="406">
        <v>2019</v>
      </c>
      <c r="G7" s="406" t="s">
        <v>516</v>
      </c>
      <c r="H7" s="406" t="s">
        <v>1549</v>
      </c>
    </row>
    <row r="8" spans="1:8" s="420" customFormat="1" ht="13.5" customHeight="1">
      <c r="A8" s="402">
        <v>1</v>
      </c>
      <c r="B8" s="402">
        <v>2</v>
      </c>
      <c r="C8" s="400">
        <v>3</v>
      </c>
      <c r="D8" s="400">
        <v>4</v>
      </c>
      <c r="E8" s="400">
        <v>5</v>
      </c>
      <c r="F8" s="400">
        <v>6</v>
      </c>
      <c r="G8" s="400">
        <v>7</v>
      </c>
      <c r="H8" s="400">
        <v>8</v>
      </c>
    </row>
    <row r="9" spans="1:8" s="113" customFormat="1" ht="27">
      <c r="A9" s="167" t="s">
        <v>1671</v>
      </c>
      <c r="B9" s="401" t="s">
        <v>126</v>
      </c>
      <c r="C9" s="397"/>
      <c r="D9" s="423"/>
      <c r="E9" s="423"/>
      <c r="F9" s="423"/>
      <c r="G9" s="423"/>
      <c r="H9" s="423"/>
    </row>
    <row r="10" spans="1:8" s="113" customFormat="1" ht="27">
      <c r="A10" s="167" t="s">
        <v>1664</v>
      </c>
      <c r="B10" s="401" t="s">
        <v>127</v>
      </c>
      <c r="C10" s="397"/>
      <c r="D10" s="423"/>
      <c r="E10" s="423"/>
      <c r="F10" s="423"/>
      <c r="G10" s="423"/>
      <c r="H10" s="423"/>
    </row>
    <row r="11" spans="1:8" s="113" customFormat="1" ht="27">
      <c r="A11" s="167" t="s">
        <v>1666</v>
      </c>
      <c r="B11" s="401" t="s">
        <v>128</v>
      </c>
      <c r="C11" s="397"/>
      <c r="D11" s="423"/>
      <c r="E11" s="423"/>
      <c r="F11" s="423"/>
      <c r="G11" s="423"/>
      <c r="H11" s="423"/>
    </row>
    <row r="12" spans="1:8" s="113" customFormat="1" ht="13.5">
      <c r="A12" s="167" t="s">
        <v>1672</v>
      </c>
      <c r="B12" s="401" t="s">
        <v>129</v>
      </c>
      <c r="C12" s="397"/>
      <c r="D12" s="423"/>
      <c r="E12" s="423"/>
      <c r="F12" s="423"/>
      <c r="G12" s="423"/>
      <c r="H12" s="423"/>
    </row>
    <row r="13" spans="1:8" s="113" customFormat="1" ht="27">
      <c r="A13" s="167" t="s">
        <v>1673</v>
      </c>
      <c r="B13" s="401" t="s">
        <v>130</v>
      </c>
      <c r="C13" s="397"/>
      <c r="D13" s="423"/>
      <c r="E13" s="423"/>
      <c r="F13" s="423"/>
      <c r="G13" s="423"/>
      <c r="H13" s="423"/>
    </row>
    <row r="14" spans="1:8" s="113" customFormat="1" ht="17.25" customHeight="1">
      <c r="A14" s="167" t="s">
        <v>1674</v>
      </c>
      <c r="B14" s="401" t="s">
        <v>131</v>
      </c>
      <c r="C14" s="397" t="s">
        <v>1675</v>
      </c>
      <c r="D14" s="423"/>
      <c r="E14" s="423"/>
      <c r="F14" s="423"/>
      <c r="G14" s="423"/>
      <c r="H14" s="423"/>
    </row>
    <row r="15" spans="1:8" s="113" customFormat="1" ht="17.25" customHeight="1">
      <c r="A15" s="167" t="s">
        <v>1677</v>
      </c>
      <c r="B15" s="401" t="s">
        <v>132</v>
      </c>
      <c r="C15" s="397" t="s">
        <v>1675</v>
      </c>
      <c r="D15" s="423"/>
      <c r="E15" s="423"/>
      <c r="F15" s="423"/>
      <c r="G15" s="423"/>
      <c r="H15" s="423"/>
    </row>
    <row r="16" spans="1:8" s="113" customFormat="1" ht="13.5">
      <c r="A16" s="167" t="s">
        <v>1678</v>
      </c>
      <c r="B16" s="401" t="s">
        <v>519</v>
      </c>
      <c r="C16" s="397"/>
      <c r="D16" s="423"/>
      <c r="E16" s="423"/>
      <c r="F16" s="423"/>
      <c r="G16" s="423"/>
      <c r="H16" s="423"/>
    </row>
    <row r="17" spans="1:8" s="113" customFormat="1" ht="13.5">
      <c r="A17" s="167" t="s">
        <v>1679</v>
      </c>
      <c r="B17" s="401" t="s">
        <v>293</v>
      </c>
      <c r="C17" s="397"/>
      <c r="D17" s="423"/>
      <c r="E17" s="423"/>
      <c r="F17" s="423"/>
      <c r="G17" s="423"/>
      <c r="H17" s="423"/>
    </row>
    <row r="18" spans="1:8" s="113" customFormat="1" ht="27">
      <c r="A18" s="167" t="s">
        <v>1680</v>
      </c>
      <c r="B18" s="401" t="s">
        <v>133</v>
      </c>
      <c r="C18" s="397" t="s">
        <v>1675</v>
      </c>
      <c r="D18" s="423"/>
      <c r="E18" s="423"/>
      <c r="F18" s="423"/>
      <c r="G18" s="423"/>
      <c r="H18" s="423"/>
    </row>
    <row r="19" spans="1:8" s="113" customFormat="1" ht="41.25">
      <c r="A19" s="167" t="s">
        <v>1681</v>
      </c>
      <c r="B19" s="401" t="s">
        <v>134</v>
      </c>
      <c r="C19" s="397" t="s">
        <v>1675</v>
      </c>
      <c r="D19" s="423"/>
      <c r="E19" s="423"/>
      <c r="F19" s="423"/>
      <c r="G19" s="423"/>
      <c r="H19" s="423"/>
    </row>
    <row r="22" spans="2:4" ht="27">
      <c r="B22" s="749" t="s">
        <v>559</v>
      </c>
      <c r="D22" s="750" t="s">
        <v>1077</v>
      </c>
    </row>
    <row r="24" ht="14.25">
      <c r="B24" t="s">
        <v>304</v>
      </c>
    </row>
    <row r="25" spans="1:149" ht="14.25">
      <c r="A25" s="426" t="s">
        <v>238</v>
      </c>
      <c r="B25" s="141" t="s">
        <v>1557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</row>
    <row r="26" spans="1:149" ht="14.25">
      <c r="A26" s="426" t="s">
        <v>240</v>
      </c>
      <c r="B26" s="141" t="s">
        <v>1587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</row>
    <row r="27" spans="1:149" ht="14.25">
      <c r="A27" s="426" t="s">
        <v>241</v>
      </c>
      <c r="B27" s="141" t="s">
        <v>1588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</row>
    <row r="28" spans="1:149" ht="39.75" customHeight="1">
      <c r="A28" s="426" t="s">
        <v>242</v>
      </c>
      <c r="B28" s="2347" t="s">
        <v>1589</v>
      </c>
      <c r="C28" s="2347"/>
      <c r="D28" s="2347"/>
      <c r="E28" s="2347"/>
      <c r="F28" s="2347"/>
      <c r="G28" s="2347"/>
      <c r="H28" s="2347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</row>
    <row r="29" spans="1:149" ht="14.25">
      <c r="A29" s="426" t="s">
        <v>243</v>
      </c>
      <c r="B29" s="141" t="s">
        <v>1607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</row>
    <row r="30" spans="2:149" ht="14.25">
      <c r="B30" s="141" t="s">
        <v>1608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</row>
    <row r="31" spans="2:149" ht="14.25">
      <c r="B31" s="141" t="s">
        <v>1609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</row>
    <row r="32" spans="1:149" ht="14.25">
      <c r="A32" s="426" t="s">
        <v>244</v>
      </c>
      <c r="B32" s="141" t="s">
        <v>1610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</row>
    <row r="33" spans="2:149" ht="14.25">
      <c r="B33" s="141" t="s">
        <v>1611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</row>
    <row r="34" spans="1:149" ht="14.25">
      <c r="A34" s="39" t="s">
        <v>245</v>
      </c>
      <c r="B34" s="141" t="s">
        <v>1612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</row>
    <row r="35" spans="2:149" ht="14.25">
      <c r="B35" s="141" t="s">
        <v>1503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</row>
    <row r="36" spans="2:149" ht="14.25">
      <c r="B36" s="428" t="s">
        <v>86</v>
      </c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428"/>
      <c r="BM36" s="428"/>
      <c r="BN36" s="428"/>
      <c r="BO36" s="428"/>
      <c r="BP36" s="428"/>
      <c r="BQ36" s="428"/>
      <c r="BR36" s="428"/>
      <c r="BS36" s="428"/>
      <c r="BT36" s="428"/>
      <c r="BU36" s="428"/>
      <c r="BV36" s="428"/>
      <c r="BW36" s="428"/>
      <c r="BX36" s="428"/>
      <c r="BY36" s="428"/>
      <c r="BZ36" s="428"/>
      <c r="CA36" s="428"/>
      <c r="CB36" s="428"/>
      <c r="CC36" s="428"/>
      <c r="CD36" s="428"/>
      <c r="CE36" s="428"/>
      <c r="CF36" s="428"/>
      <c r="CG36" s="428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8"/>
      <c r="CS36" s="428"/>
      <c r="CT36" s="428"/>
      <c r="CU36" s="428"/>
      <c r="CV36" s="428"/>
      <c r="CW36" s="428"/>
      <c r="CX36" s="428"/>
      <c r="CY36" s="428"/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8"/>
      <c r="DM36" s="428"/>
      <c r="DN36" s="428"/>
      <c r="DO36" s="428"/>
      <c r="DP36" s="428"/>
      <c r="DQ36" s="428"/>
      <c r="DR36" s="428"/>
      <c r="DS36" s="428"/>
      <c r="DT36" s="428"/>
      <c r="DU36" s="428"/>
      <c r="DV36" s="428"/>
      <c r="DW36" s="428"/>
      <c r="DX36" s="428"/>
      <c r="DY36" s="428"/>
      <c r="DZ36" s="428"/>
      <c r="EA36" s="428"/>
      <c r="EB36" s="428"/>
      <c r="EC36" s="428"/>
      <c r="ED36" s="428"/>
      <c r="EE36" s="428"/>
      <c r="EF36" s="428"/>
      <c r="EG36" s="428"/>
      <c r="EH36" s="428"/>
      <c r="EI36" s="428"/>
      <c r="EJ36" s="428"/>
      <c r="EK36" s="428"/>
      <c r="EL36" s="428"/>
      <c r="EM36" s="428"/>
      <c r="EN36" s="428"/>
      <c r="EO36" s="428"/>
      <c r="EP36" s="428"/>
      <c r="EQ36" s="428"/>
      <c r="ER36" s="428"/>
      <c r="ES36" s="428"/>
    </row>
    <row r="37" spans="2:149" ht="14.25">
      <c r="B37" s="141" t="s">
        <v>513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</row>
    <row r="38" spans="2:149" ht="14.25">
      <c r="B38" s="428" t="s">
        <v>87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428"/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428"/>
      <c r="CE38" s="428"/>
      <c r="CF38" s="428"/>
      <c r="CG38" s="428"/>
      <c r="CH38" s="428"/>
      <c r="CI38" s="428"/>
      <c r="CJ38" s="428"/>
      <c r="CK38" s="428"/>
      <c r="CL38" s="428"/>
      <c r="CM38" s="428"/>
      <c r="CN38" s="428"/>
      <c r="CO38" s="428"/>
      <c r="CP38" s="428"/>
      <c r="CQ38" s="428"/>
      <c r="CR38" s="428"/>
      <c r="CS38" s="428"/>
      <c r="CT38" s="428"/>
      <c r="CU38" s="428"/>
      <c r="CV38" s="428"/>
      <c r="CW38" s="428"/>
      <c r="CX38" s="428"/>
      <c r="CY38" s="428"/>
      <c r="CZ38" s="428"/>
      <c r="DA38" s="428"/>
      <c r="DB38" s="428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28"/>
      <c r="DN38" s="428"/>
      <c r="DO38" s="428"/>
      <c r="DP38" s="428"/>
      <c r="DQ38" s="428"/>
      <c r="DR38" s="428"/>
      <c r="DS38" s="428"/>
      <c r="DT38" s="428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8"/>
      <c r="EN38" s="428"/>
      <c r="EO38" s="428"/>
      <c r="EP38" s="428"/>
      <c r="EQ38" s="428"/>
      <c r="ER38" s="428"/>
      <c r="ES38" s="428"/>
    </row>
  </sheetData>
  <sheetProtection/>
  <mergeCells count="3">
    <mergeCell ref="A4:H4"/>
    <mergeCell ref="G1:H1"/>
    <mergeCell ref="B28:H28"/>
  </mergeCells>
  <printOptions/>
  <pageMargins left="0.7" right="0.7" top="0.75" bottom="0.75" header="0.3" footer="0.3"/>
  <pageSetup orientation="portrait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BK36"/>
  <sheetViews>
    <sheetView zoomScalePageLayoutView="0" workbookViewId="0" topLeftCell="A1">
      <selection activeCell="V37" sqref="V37"/>
    </sheetView>
  </sheetViews>
  <sheetFormatPr defaultColWidth="9.140625" defaultRowHeight="15"/>
  <cols>
    <col min="1" max="1" width="3.00390625" style="0" customWidth="1"/>
    <col min="2" max="2" width="40.28125" style="0" customWidth="1"/>
    <col min="3" max="3" width="11.8515625" style="0" customWidth="1"/>
    <col min="4" max="4" width="13.140625" style="0" customWidth="1"/>
    <col min="5" max="5" width="12.28125" style="0" customWidth="1"/>
    <col min="6" max="6" width="12.00390625" style="0" customWidth="1"/>
    <col min="7" max="7" width="12.7109375" style="0" customWidth="1"/>
    <col min="8" max="8" width="14.00390625" style="0" customWidth="1"/>
  </cols>
  <sheetData>
    <row r="1" spans="1:8" ht="14.25">
      <c r="A1" t="str">
        <f>'4.1'!B2</f>
        <v>Теплоснабжающая организация: ООО "Интэко"</v>
      </c>
      <c r="G1" s="2340" t="s">
        <v>1137</v>
      </c>
      <c r="H1" s="2340"/>
    </row>
    <row r="2" spans="1:3" ht="14.25">
      <c r="A2" s="1477" t="str">
        <f>'4.1'!B3</f>
        <v>Базовый период/Период регулирования:2016/2017-2019 г.г.</v>
      </c>
      <c r="B2" s="1477"/>
      <c r="C2" s="1477"/>
    </row>
    <row r="4" ht="17.25">
      <c r="A4" s="417" t="s">
        <v>1243</v>
      </c>
    </row>
    <row r="6" ht="14.25">
      <c r="A6" s="413" t="str">
        <f>'4.1'!B6</f>
        <v>Усть-Камчатское муниципальное образование</v>
      </c>
    </row>
    <row r="7" spans="1:8" s="114" customFormat="1" ht="13.5" customHeight="1">
      <c r="A7" s="2329" t="s">
        <v>845</v>
      </c>
      <c r="B7" s="2350" t="s">
        <v>991</v>
      </c>
      <c r="C7" s="2351" t="s">
        <v>1661</v>
      </c>
      <c r="D7" s="2352"/>
      <c r="E7" s="2352"/>
      <c r="F7" s="2352"/>
      <c r="G7" s="2352"/>
      <c r="H7" s="2353"/>
    </row>
    <row r="8" spans="1:8" s="421" customFormat="1" ht="89.25" customHeight="1">
      <c r="A8" s="2329"/>
      <c r="B8" s="2329"/>
      <c r="C8" s="741" t="s">
        <v>88</v>
      </c>
      <c r="D8" s="741" t="s">
        <v>876</v>
      </c>
      <c r="E8" s="741" t="s">
        <v>89</v>
      </c>
      <c r="F8" s="741" t="s">
        <v>877</v>
      </c>
      <c r="G8" s="741" t="s">
        <v>77</v>
      </c>
      <c r="H8" s="741" t="s">
        <v>878</v>
      </c>
    </row>
    <row r="9" spans="1:8" s="420" customFormat="1" ht="13.5" customHeight="1">
      <c r="A9" s="402">
        <v>1</v>
      </c>
      <c r="B9" s="402">
        <v>2</v>
      </c>
      <c r="C9" s="400">
        <v>3</v>
      </c>
      <c r="D9" s="400">
        <v>4</v>
      </c>
      <c r="E9" s="400">
        <v>5</v>
      </c>
      <c r="F9" s="400">
        <v>6</v>
      </c>
      <c r="G9" s="400" t="s">
        <v>90</v>
      </c>
      <c r="H9" s="400" t="s">
        <v>72</v>
      </c>
    </row>
    <row r="10" spans="1:8" s="113" customFormat="1" ht="13.5">
      <c r="A10" s="403" t="s">
        <v>1671</v>
      </c>
      <c r="B10" s="404" t="s">
        <v>91</v>
      </c>
      <c r="C10" s="400"/>
      <c r="D10" s="747">
        <f>'5.1'!C29</f>
        <v>7428.709028400161</v>
      </c>
      <c r="E10" s="400"/>
      <c r="F10" s="747">
        <f>'5.1'!D29</f>
        <v>7199.830079962169</v>
      </c>
      <c r="G10" s="400"/>
      <c r="H10" s="747">
        <f>'5.1'!E29</f>
        <v>7574.030506112087</v>
      </c>
    </row>
    <row r="11" spans="1:8" s="113" customFormat="1" ht="15" customHeight="1">
      <c r="A11" s="403" t="s">
        <v>1664</v>
      </c>
      <c r="B11" s="405" t="s">
        <v>92</v>
      </c>
      <c r="C11" s="400"/>
      <c r="D11" s="747">
        <f>'5.3'!D26</f>
        <v>2984.4730274339913</v>
      </c>
      <c r="E11" s="400"/>
      <c r="F11" s="747">
        <f>'5.3'!F26</f>
        <v>2825.7764650857175</v>
      </c>
      <c r="G11" s="400"/>
      <c r="H11" s="747">
        <f>'5.3'!H26</f>
        <v>2917.8926195842896</v>
      </c>
    </row>
    <row r="12" spans="1:8" s="113" customFormat="1" ht="45" customHeight="1">
      <c r="A12" s="403" t="s">
        <v>1666</v>
      </c>
      <c r="B12" s="404" t="s">
        <v>97</v>
      </c>
      <c r="C12" s="400"/>
      <c r="D12" s="747">
        <f>'5.4'!D15</f>
        <v>6482.241007877771</v>
      </c>
      <c r="E12" s="400"/>
      <c r="F12" s="747">
        <f>'5.4'!F15</f>
        <v>6893.448754897063</v>
      </c>
      <c r="G12" s="400"/>
      <c r="H12" s="747">
        <f>'5.4'!H15</f>
        <v>7332.565160370291</v>
      </c>
    </row>
    <row r="13" spans="1:8" s="113" customFormat="1" ht="15" customHeight="1">
      <c r="A13" s="403" t="s">
        <v>1672</v>
      </c>
      <c r="B13" s="404" t="s">
        <v>788</v>
      </c>
      <c r="C13" s="400"/>
      <c r="D13" s="400"/>
      <c r="E13" s="400"/>
      <c r="F13" s="400"/>
      <c r="G13" s="400"/>
      <c r="H13" s="400"/>
    </row>
    <row r="14" spans="1:8" s="113" customFormat="1" ht="41.25">
      <c r="A14" s="403" t="s">
        <v>1673</v>
      </c>
      <c r="B14" s="404" t="s">
        <v>93</v>
      </c>
      <c r="C14" s="400"/>
      <c r="D14" s="400"/>
      <c r="E14" s="400"/>
      <c r="F14" s="400"/>
      <c r="G14" s="400"/>
      <c r="H14" s="400"/>
    </row>
    <row r="15" spans="1:8" s="113" customFormat="1" ht="54.75">
      <c r="A15" s="403" t="s">
        <v>1674</v>
      </c>
      <c r="B15" s="404" t="s">
        <v>94</v>
      </c>
      <c r="C15" s="400"/>
      <c r="D15" s="400"/>
      <c r="E15" s="400"/>
      <c r="F15" s="400"/>
      <c r="G15" s="400"/>
      <c r="H15" s="400"/>
    </row>
    <row r="16" spans="1:8" s="113" customFormat="1" ht="60" customHeight="1">
      <c r="A16" s="403" t="s">
        <v>1677</v>
      </c>
      <c r="B16" s="404" t="s">
        <v>98</v>
      </c>
      <c r="C16" s="400"/>
      <c r="D16" s="400"/>
      <c r="E16" s="400"/>
      <c r="F16" s="400"/>
      <c r="G16" s="400"/>
      <c r="H16" s="400"/>
    </row>
    <row r="17" spans="1:8" s="113" customFormat="1" ht="45" customHeight="1">
      <c r="A17" s="403" t="s">
        <v>1678</v>
      </c>
      <c r="B17" s="404" t="s">
        <v>99</v>
      </c>
      <c r="C17" s="400"/>
      <c r="D17" s="400"/>
      <c r="E17" s="400"/>
      <c r="F17" s="400"/>
      <c r="G17" s="400"/>
      <c r="H17" s="400"/>
    </row>
    <row r="18" spans="1:8" s="113" customFormat="1" ht="174" customHeight="1">
      <c r="A18" s="403" t="s">
        <v>1679</v>
      </c>
      <c r="B18" s="404" t="s">
        <v>1091</v>
      </c>
      <c r="C18" s="400"/>
      <c r="D18" s="400"/>
      <c r="E18" s="400"/>
      <c r="F18" s="400"/>
      <c r="G18" s="400"/>
      <c r="H18" s="400"/>
    </row>
    <row r="19" spans="1:8" s="113" customFormat="1" ht="13.5">
      <c r="A19" s="403" t="s">
        <v>1680</v>
      </c>
      <c r="B19" s="404" t="s">
        <v>95</v>
      </c>
      <c r="C19" s="400"/>
      <c r="D19" s="748">
        <f>SUM(D10:D18)</f>
        <v>16895.42306371192</v>
      </c>
      <c r="E19" s="2023"/>
      <c r="F19" s="748">
        <f>SUM(F10:F18)</f>
        <v>16919.05529994495</v>
      </c>
      <c r="G19" s="2023"/>
      <c r="H19" s="748">
        <f>SUM(H10:H18)</f>
        <v>17824.488286066666</v>
      </c>
    </row>
    <row r="20" spans="1:8" s="113" customFormat="1" ht="15" customHeight="1">
      <c r="A20" s="403" t="s">
        <v>1681</v>
      </c>
      <c r="B20" s="405" t="s">
        <v>96</v>
      </c>
      <c r="C20" s="400"/>
      <c r="D20" s="400"/>
      <c r="E20" s="400"/>
      <c r="F20" s="400"/>
      <c r="G20" s="400"/>
      <c r="H20" s="400"/>
    </row>
    <row r="22" ht="14.25">
      <c r="C22" t="s">
        <v>1078</v>
      </c>
    </row>
    <row r="25" ht="14.25">
      <c r="B25" s="431" t="s">
        <v>304</v>
      </c>
    </row>
    <row r="26" spans="1:63" ht="14.25">
      <c r="A26" s="433" t="s">
        <v>238</v>
      </c>
      <c r="B26" s="113" t="s">
        <v>1541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</row>
    <row r="27" spans="1:63" ht="14.25">
      <c r="A27" s="433" t="s">
        <v>240</v>
      </c>
      <c r="B27" s="113" t="s">
        <v>119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</row>
    <row r="28" spans="1:63" ht="14.25">
      <c r="A28" s="433" t="s">
        <v>241</v>
      </c>
      <c r="B28" s="113" t="s">
        <v>120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</row>
    <row r="29" spans="1:63" ht="14.25">
      <c r="A29" s="433" t="s">
        <v>242</v>
      </c>
      <c r="B29" s="113" t="s">
        <v>121</v>
      </c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</row>
    <row r="30" spans="1:63" ht="14.25">
      <c r="A30" s="433" t="s">
        <v>243</v>
      </c>
      <c r="B30" s="113" t="s">
        <v>122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</row>
    <row r="31" spans="1:63" ht="14.25">
      <c r="A31" s="433" t="s">
        <v>244</v>
      </c>
      <c r="B31" s="113" t="s">
        <v>123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</row>
    <row r="32" spans="1:63" ht="14.25">
      <c r="A32" s="409"/>
      <c r="B32" s="113" t="s">
        <v>124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</row>
    <row r="33" spans="1:63" ht="14.25">
      <c r="A33" s="409"/>
      <c r="B33" s="113" t="s">
        <v>100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</row>
    <row r="34" spans="1:63" ht="14.25">
      <c r="A34" s="409"/>
      <c r="B34" s="113" t="s">
        <v>101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</row>
    <row r="35" spans="1:63" ht="14.25">
      <c r="A35" s="409" t="s">
        <v>245</v>
      </c>
      <c r="B35" s="113" t="s">
        <v>102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</row>
    <row r="36" spans="1:63" ht="14.25">
      <c r="A36" s="409" t="s">
        <v>246</v>
      </c>
      <c r="B36" s="113" t="s">
        <v>1136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</row>
  </sheetData>
  <sheetProtection/>
  <mergeCells count="4">
    <mergeCell ref="G1:H1"/>
    <mergeCell ref="B7:B8"/>
    <mergeCell ref="A7:A8"/>
    <mergeCell ref="C7:H7"/>
  </mergeCells>
  <printOptions/>
  <pageMargins left="0.7" right="0.7" top="0.75" bottom="0.75" header="0.3" footer="0.3"/>
  <pageSetup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Y49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"/>
    </sheetView>
  </sheetViews>
  <sheetFormatPr defaultColWidth="9.140625" defaultRowHeight="15" outlineLevelRow="1" outlineLevelCol="1"/>
  <cols>
    <col min="1" max="1" width="6.28125" style="1" customWidth="1"/>
    <col min="2" max="2" width="30.140625" style="1" customWidth="1"/>
    <col min="3" max="9" width="11.8515625" style="1" customWidth="1"/>
    <col min="10" max="26" width="11.140625" style="1" customWidth="1"/>
    <col min="27" max="38" width="11.140625" style="1" customWidth="1" outlineLevel="1"/>
    <col min="39" max="16384" width="9.140625" style="1" customWidth="1"/>
  </cols>
  <sheetData>
    <row r="1" spans="1:38" ht="15" customHeight="1">
      <c r="A1" s="52" t="s">
        <v>1491</v>
      </c>
      <c r="B1" s="52"/>
      <c r="C1" s="52"/>
      <c r="D1" s="52"/>
      <c r="E1" s="52"/>
      <c r="F1" s="52"/>
      <c r="G1" s="52"/>
      <c r="H1" s="37"/>
      <c r="I1" s="64"/>
      <c r="J1" s="64"/>
      <c r="Z1" s="2" t="s">
        <v>1341</v>
      </c>
      <c r="AB1" s="52"/>
      <c r="AC1" s="64"/>
      <c r="AH1" s="2"/>
      <c r="AL1" s="52"/>
    </row>
    <row r="2" spans="1:10" ht="12.75">
      <c r="A2" s="52" t="s">
        <v>1279</v>
      </c>
      <c r="B2" s="52"/>
      <c r="C2" s="52"/>
      <c r="D2" s="52"/>
      <c r="E2" s="52"/>
      <c r="F2" s="52"/>
      <c r="G2" s="52"/>
      <c r="H2" s="37"/>
      <c r="I2" s="37"/>
      <c r="J2" s="37"/>
    </row>
    <row r="4" spans="1:38" ht="16.5" customHeight="1">
      <c r="A4" s="131" t="s">
        <v>1342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</row>
    <row r="6" spans="1:38" ht="12.75">
      <c r="A6" s="2069" t="s">
        <v>1662</v>
      </c>
      <c r="B6" s="2073" t="s">
        <v>1670</v>
      </c>
      <c r="C6" s="2214" t="s">
        <v>1659</v>
      </c>
      <c r="D6" s="2215"/>
      <c r="E6" s="2215"/>
      <c r="F6" s="2215"/>
      <c r="G6" s="2215"/>
      <c r="H6" s="2215"/>
      <c r="I6" s="2215"/>
      <c r="J6" s="2215"/>
      <c r="K6" s="2215"/>
      <c r="L6" s="2215"/>
      <c r="M6" s="2215"/>
      <c r="N6" s="2215"/>
      <c r="O6" s="2214" t="s">
        <v>1661</v>
      </c>
      <c r="P6" s="2215"/>
      <c r="Q6" s="2215"/>
      <c r="R6" s="2215"/>
      <c r="S6" s="2215"/>
      <c r="T6" s="2215"/>
      <c r="U6" s="2215"/>
      <c r="V6" s="2215"/>
      <c r="W6" s="2215"/>
      <c r="X6" s="2215"/>
      <c r="Y6" s="2215"/>
      <c r="Z6" s="2215"/>
      <c r="AA6" s="2215"/>
      <c r="AB6" s="2215"/>
      <c r="AC6" s="2215"/>
      <c r="AD6" s="2215"/>
      <c r="AE6" s="2215"/>
      <c r="AF6" s="2215"/>
      <c r="AG6" s="2215"/>
      <c r="AH6" s="2215"/>
      <c r="AI6" s="2215"/>
      <c r="AJ6" s="2215"/>
      <c r="AK6" s="2215"/>
      <c r="AL6" s="2216"/>
    </row>
    <row r="7" spans="1:38" ht="12.75" customHeight="1">
      <c r="A7" s="2070"/>
      <c r="B7" s="2064"/>
      <c r="C7" s="2073" t="s">
        <v>268</v>
      </c>
      <c r="D7" s="2066"/>
      <c r="E7" s="2066"/>
      <c r="F7" s="2066"/>
      <c r="G7" s="2073" t="s">
        <v>269</v>
      </c>
      <c r="H7" s="2066"/>
      <c r="I7" s="2066"/>
      <c r="J7" s="2066"/>
      <c r="K7" s="2073" t="s">
        <v>270</v>
      </c>
      <c r="L7" s="2066"/>
      <c r="M7" s="2066"/>
      <c r="N7" s="2066"/>
      <c r="O7" s="2085" t="s">
        <v>906</v>
      </c>
      <c r="P7" s="2086"/>
      <c r="Q7" s="2086"/>
      <c r="R7" s="2086"/>
      <c r="S7" s="2086"/>
      <c r="T7" s="2086"/>
      <c r="U7" s="2086"/>
      <c r="V7" s="2086"/>
      <c r="W7" s="2086"/>
      <c r="X7" s="2086"/>
      <c r="Y7" s="2086"/>
      <c r="Z7" s="2074"/>
      <c r="AA7" s="2085" t="s">
        <v>944</v>
      </c>
      <c r="AB7" s="2086"/>
      <c r="AC7" s="2086"/>
      <c r="AD7" s="2086"/>
      <c r="AE7" s="2086"/>
      <c r="AF7" s="2086"/>
      <c r="AG7" s="2086"/>
      <c r="AH7" s="2086"/>
      <c r="AI7" s="2086"/>
      <c r="AJ7" s="2086"/>
      <c r="AK7" s="2086"/>
      <c r="AL7" s="2074"/>
    </row>
    <row r="8" spans="1:38" ht="12.75" customHeight="1">
      <c r="A8" s="2070"/>
      <c r="B8" s="2064"/>
      <c r="C8" s="2065"/>
      <c r="D8" s="2055"/>
      <c r="E8" s="2055"/>
      <c r="F8" s="2055"/>
      <c r="G8" s="2065"/>
      <c r="H8" s="2055"/>
      <c r="I8" s="2055"/>
      <c r="J8" s="2055"/>
      <c r="K8" s="2065"/>
      <c r="L8" s="2055"/>
      <c r="M8" s="2055"/>
      <c r="N8" s="2055"/>
      <c r="O8" s="2085" t="s">
        <v>421</v>
      </c>
      <c r="P8" s="2086"/>
      <c r="Q8" s="2086"/>
      <c r="R8" s="2074"/>
      <c r="S8" s="2085" t="s">
        <v>271</v>
      </c>
      <c r="T8" s="2086"/>
      <c r="U8" s="2086"/>
      <c r="V8" s="2086"/>
      <c r="W8" s="2085" t="s">
        <v>272</v>
      </c>
      <c r="X8" s="2086"/>
      <c r="Y8" s="2086"/>
      <c r="Z8" s="2086"/>
      <c r="AA8" s="2085" t="s">
        <v>421</v>
      </c>
      <c r="AB8" s="2086"/>
      <c r="AC8" s="2086"/>
      <c r="AD8" s="2074"/>
      <c r="AE8" s="2085" t="s">
        <v>271</v>
      </c>
      <c r="AF8" s="2086"/>
      <c r="AG8" s="2086"/>
      <c r="AH8" s="2086"/>
      <c r="AI8" s="2085" t="s">
        <v>272</v>
      </c>
      <c r="AJ8" s="2086"/>
      <c r="AK8" s="2086"/>
      <c r="AL8" s="2086"/>
    </row>
    <row r="9" spans="1:38" ht="105">
      <c r="A9" s="2048"/>
      <c r="B9" s="2065"/>
      <c r="C9" s="43" t="s">
        <v>1343</v>
      </c>
      <c r="D9" s="43" t="s">
        <v>1322</v>
      </c>
      <c r="E9" s="43" t="s">
        <v>1344</v>
      </c>
      <c r="F9" s="43" t="s">
        <v>769</v>
      </c>
      <c r="G9" s="43" t="s">
        <v>1343</v>
      </c>
      <c r="H9" s="43" t="s">
        <v>1322</v>
      </c>
      <c r="I9" s="43" t="s">
        <v>1344</v>
      </c>
      <c r="J9" s="43" t="s">
        <v>769</v>
      </c>
      <c r="K9" s="43" t="s">
        <v>1343</v>
      </c>
      <c r="L9" s="43" t="s">
        <v>1322</v>
      </c>
      <c r="M9" s="43" t="s">
        <v>1344</v>
      </c>
      <c r="N9" s="43" t="s">
        <v>769</v>
      </c>
      <c r="O9" s="43" t="s">
        <v>1343</v>
      </c>
      <c r="P9" s="43" t="s">
        <v>1322</v>
      </c>
      <c r="Q9" s="43" t="s">
        <v>1344</v>
      </c>
      <c r="R9" s="43" t="s">
        <v>769</v>
      </c>
      <c r="S9" s="43" t="s">
        <v>1343</v>
      </c>
      <c r="T9" s="43" t="s">
        <v>1322</v>
      </c>
      <c r="U9" s="43" t="s">
        <v>1344</v>
      </c>
      <c r="V9" s="43" t="s">
        <v>769</v>
      </c>
      <c r="W9" s="43" t="s">
        <v>1343</v>
      </c>
      <c r="X9" s="43" t="s">
        <v>1322</v>
      </c>
      <c r="Y9" s="43" t="s">
        <v>1344</v>
      </c>
      <c r="Z9" s="43" t="s">
        <v>769</v>
      </c>
      <c r="AA9" s="43" t="s">
        <v>1343</v>
      </c>
      <c r="AB9" s="43" t="s">
        <v>1322</v>
      </c>
      <c r="AC9" s="43" t="s">
        <v>1344</v>
      </c>
      <c r="AD9" s="43" t="s">
        <v>769</v>
      </c>
      <c r="AE9" s="43" t="s">
        <v>1343</v>
      </c>
      <c r="AF9" s="43" t="s">
        <v>1322</v>
      </c>
      <c r="AG9" s="43" t="s">
        <v>1344</v>
      </c>
      <c r="AH9" s="43" t="s">
        <v>769</v>
      </c>
      <c r="AI9" s="43" t="s">
        <v>1343</v>
      </c>
      <c r="AJ9" s="43" t="s">
        <v>1322</v>
      </c>
      <c r="AK9" s="43" t="s">
        <v>1344</v>
      </c>
      <c r="AL9" s="43" t="s">
        <v>769</v>
      </c>
    </row>
    <row r="10" spans="1:38" ht="12.75">
      <c r="A10" s="43">
        <v>1</v>
      </c>
      <c r="B10" s="49">
        <v>2</v>
      </c>
      <c r="C10" s="43">
        <v>3</v>
      </c>
      <c r="D10" s="43">
        <v>4</v>
      </c>
      <c r="E10" s="49">
        <v>5</v>
      </c>
      <c r="F10" s="43">
        <v>6</v>
      </c>
      <c r="G10" s="43">
        <v>7</v>
      </c>
      <c r="H10" s="49">
        <v>8</v>
      </c>
      <c r="I10" s="43">
        <v>9</v>
      </c>
      <c r="J10" s="43">
        <v>10</v>
      </c>
      <c r="K10" s="49">
        <v>11</v>
      </c>
      <c r="L10" s="43">
        <v>12</v>
      </c>
      <c r="M10" s="43">
        <v>13</v>
      </c>
      <c r="N10" s="49">
        <v>14</v>
      </c>
      <c r="O10" s="43">
        <v>15</v>
      </c>
      <c r="P10" s="43">
        <v>16</v>
      </c>
      <c r="Q10" s="49">
        <v>17</v>
      </c>
      <c r="R10" s="43">
        <v>18</v>
      </c>
      <c r="S10" s="43">
        <v>19</v>
      </c>
      <c r="T10" s="49">
        <v>20</v>
      </c>
      <c r="U10" s="43">
        <v>21</v>
      </c>
      <c r="V10" s="43">
        <v>22</v>
      </c>
      <c r="W10" s="49">
        <v>23</v>
      </c>
      <c r="X10" s="43">
        <v>24</v>
      </c>
      <c r="Y10" s="43">
        <v>25</v>
      </c>
      <c r="Z10" s="49">
        <v>26</v>
      </c>
      <c r="AA10" s="43">
        <v>27</v>
      </c>
      <c r="AB10" s="43">
        <v>28</v>
      </c>
      <c r="AC10" s="49">
        <v>29</v>
      </c>
      <c r="AD10" s="43">
        <v>30</v>
      </c>
      <c r="AE10" s="43">
        <v>31</v>
      </c>
      <c r="AF10" s="49">
        <v>32</v>
      </c>
      <c r="AG10" s="43">
        <v>33</v>
      </c>
      <c r="AH10" s="43">
        <v>34</v>
      </c>
      <c r="AI10" s="49">
        <v>35</v>
      </c>
      <c r="AJ10" s="43">
        <v>36</v>
      </c>
      <c r="AK10" s="43">
        <v>37</v>
      </c>
      <c r="AL10" s="49">
        <v>38</v>
      </c>
    </row>
    <row r="11" spans="1:38" ht="12.75">
      <c r="A11" s="47" t="s">
        <v>1671</v>
      </c>
      <c r="B11" s="26" t="s">
        <v>1345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 ht="52.5">
      <c r="A12" s="30" t="s">
        <v>1663</v>
      </c>
      <c r="B12" s="77" t="s">
        <v>1334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ht="26.25">
      <c r="A13" s="30" t="s">
        <v>228</v>
      </c>
      <c r="B13" s="77" t="s">
        <v>1332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ht="12.75">
      <c r="A14" s="30"/>
      <c r="B14" s="61" t="s">
        <v>1288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2.75">
      <c r="A15" s="30"/>
      <c r="B15" s="61" t="s">
        <v>1289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ht="52.5">
      <c r="A16" s="30" t="s">
        <v>424</v>
      </c>
      <c r="B16" s="77" t="s">
        <v>1336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ht="66">
      <c r="A17" s="30" t="s">
        <v>230</v>
      </c>
      <c r="B17" s="77" t="s">
        <v>1337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ht="12.75">
      <c r="A18" s="30"/>
      <c r="B18" s="61" t="s">
        <v>1288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ht="12.75">
      <c r="A19" s="30"/>
      <c r="B19" s="61" t="s">
        <v>1289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ht="66">
      <c r="A20" s="30" t="s">
        <v>231</v>
      </c>
      <c r="B20" s="77" t="s">
        <v>1339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ht="12.75">
      <c r="A21" s="30"/>
      <c r="B21" s="61" t="s">
        <v>1288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ht="12.75">
      <c r="A22" s="30"/>
      <c r="B22" s="61" t="s">
        <v>1289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ht="12.75">
      <c r="A23" s="30"/>
      <c r="B23" s="61" t="s">
        <v>1660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ht="12.75">
      <c r="A24" s="47" t="s">
        <v>72</v>
      </c>
      <c r="B24" s="88" t="s">
        <v>1346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ht="12.75">
      <c r="A25" s="30"/>
      <c r="B25" s="77" t="s">
        <v>1660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ht="52.5">
      <c r="A26" s="30" t="s">
        <v>281</v>
      </c>
      <c r="B26" s="21" t="s">
        <v>1333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ht="52.5">
      <c r="A27" s="30" t="s">
        <v>1347</v>
      </c>
      <c r="B27" s="77" t="s">
        <v>1334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ht="12.75">
      <c r="A28" s="30" t="s">
        <v>1348</v>
      </c>
      <c r="B28" s="61" t="s">
        <v>1288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12.75">
      <c r="A29" s="30" t="s">
        <v>1349</v>
      </c>
      <c r="B29" s="77" t="s">
        <v>1289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52.5">
      <c r="A30" s="30" t="s">
        <v>1350</v>
      </c>
      <c r="B30" s="77" t="s">
        <v>1336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66">
      <c r="A31" s="30" t="s">
        <v>1351</v>
      </c>
      <c r="B31" s="77" t="s">
        <v>1337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ht="12.75">
      <c r="A32" s="30"/>
      <c r="B32" s="6" t="s">
        <v>1288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ht="12.75">
      <c r="A33" s="30"/>
      <c r="B33" s="77" t="s">
        <v>1289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66">
      <c r="A34" s="30" t="s">
        <v>1352</v>
      </c>
      <c r="B34" s="77" t="s">
        <v>1339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ht="12.75">
      <c r="A35" s="30"/>
      <c r="B35" s="61" t="s">
        <v>1288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12.75">
      <c r="A36" s="30"/>
      <c r="B36" s="61" t="s">
        <v>1289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7"/>
      <c r="AE36" s="27"/>
      <c r="AF36" s="27"/>
      <c r="AG36" s="27"/>
      <c r="AH36" s="27"/>
      <c r="AI36" s="27"/>
      <c r="AJ36" s="27"/>
      <c r="AK36" s="27"/>
      <c r="AL36" s="27"/>
    </row>
    <row r="37" ht="13.5" hidden="1" outlineLevel="1">
      <c r="A37" s="113" t="s">
        <v>304</v>
      </c>
    </row>
    <row r="38" spans="1:155" ht="13.5" hidden="1" outlineLevel="1">
      <c r="A38" s="115" t="s">
        <v>238</v>
      </c>
      <c r="B38" s="2155" t="s">
        <v>1700</v>
      </c>
      <c r="C38" s="2155"/>
      <c r="D38" s="2155"/>
      <c r="E38" s="2155"/>
      <c r="F38" s="2155"/>
      <c r="G38" s="2155"/>
      <c r="H38" s="2155"/>
      <c r="I38" s="2155"/>
      <c r="J38" s="2155"/>
      <c r="K38" s="2155"/>
      <c r="L38" s="2155"/>
      <c r="M38" s="2155"/>
      <c r="N38" s="2155"/>
      <c r="O38" s="2155"/>
      <c r="P38" s="2155"/>
      <c r="Q38" s="2155"/>
      <c r="R38" s="2155"/>
      <c r="S38" s="2155"/>
      <c r="T38" s="2155"/>
      <c r="U38" s="2155"/>
      <c r="V38" s="2155"/>
      <c r="W38" s="2155"/>
      <c r="X38" s="2155"/>
      <c r="Y38" s="2155"/>
      <c r="Z38" s="2155"/>
      <c r="AA38" s="2155"/>
      <c r="AB38" s="2155"/>
      <c r="AC38" s="2155"/>
      <c r="AD38" s="2155"/>
      <c r="AE38" s="2155"/>
      <c r="AF38" s="2155"/>
      <c r="AG38" s="2155"/>
      <c r="AH38" s="2155"/>
      <c r="AI38" s="2155"/>
      <c r="AJ38" s="2155"/>
      <c r="AK38" s="2155"/>
      <c r="AL38" s="2155"/>
      <c r="AM38" s="2155"/>
      <c r="AN38" s="2155"/>
      <c r="AO38" s="2155"/>
      <c r="AP38" s="2155"/>
      <c r="AQ38" s="2155"/>
      <c r="AR38" s="2155"/>
      <c r="AS38" s="2155"/>
      <c r="AT38" s="2155"/>
      <c r="AU38" s="2155"/>
      <c r="AV38" s="2155"/>
      <c r="AW38" s="2155"/>
      <c r="AX38" s="2155"/>
      <c r="AY38" s="2155"/>
      <c r="AZ38" s="2155"/>
      <c r="BA38" s="2155"/>
      <c r="BB38" s="2155"/>
      <c r="BC38" s="2155"/>
      <c r="BD38" s="2155"/>
      <c r="BE38" s="2155"/>
      <c r="BF38" s="2155"/>
      <c r="BG38" s="2155"/>
      <c r="BH38" s="2155"/>
      <c r="BI38" s="2155"/>
      <c r="BJ38" s="2155"/>
      <c r="BK38" s="2155"/>
      <c r="BL38" s="2155"/>
      <c r="BM38" s="2155"/>
      <c r="BN38" s="2155"/>
      <c r="BO38" s="2155"/>
      <c r="BP38" s="2155"/>
      <c r="BQ38" s="2155"/>
      <c r="BR38" s="2155"/>
      <c r="BS38" s="2155"/>
      <c r="BT38" s="2155"/>
      <c r="BU38" s="2155"/>
      <c r="BV38" s="2155"/>
      <c r="BW38" s="2155"/>
      <c r="BX38" s="2155"/>
      <c r="BY38" s="2155"/>
      <c r="BZ38" s="2155"/>
      <c r="CA38" s="2155"/>
      <c r="CB38" s="2155"/>
      <c r="CC38" s="2155"/>
      <c r="CD38" s="2155"/>
      <c r="CE38" s="2155"/>
      <c r="CF38" s="2155"/>
      <c r="CG38" s="2155"/>
      <c r="CH38" s="2155"/>
      <c r="CI38" s="2155"/>
      <c r="CJ38" s="2155"/>
      <c r="CK38" s="2155"/>
      <c r="CL38" s="2155"/>
      <c r="CM38" s="2155"/>
      <c r="CN38" s="2155"/>
      <c r="CO38" s="2155"/>
      <c r="CP38" s="2155"/>
      <c r="CQ38" s="2155"/>
      <c r="CR38" s="2155"/>
      <c r="CS38" s="2155"/>
      <c r="CT38" s="2155"/>
      <c r="CU38" s="2155"/>
      <c r="CV38" s="2155"/>
      <c r="CW38" s="2155"/>
      <c r="CX38" s="2155"/>
      <c r="CY38" s="2155"/>
      <c r="CZ38" s="2155"/>
      <c r="DA38" s="2155"/>
      <c r="DB38" s="2155"/>
      <c r="DC38" s="2155"/>
      <c r="DD38" s="2155"/>
      <c r="DE38" s="2155"/>
      <c r="DF38" s="2155"/>
      <c r="DG38" s="2155"/>
      <c r="DH38" s="2155"/>
      <c r="DI38" s="2155"/>
      <c r="DJ38" s="2155"/>
      <c r="DK38" s="2155"/>
      <c r="DL38" s="2155"/>
      <c r="DM38" s="2155"/>
      <c r="DN38" s="2155"/>
      <c r="DO38" s="2155"/>
      <c r="DP38" s="2155"/>
      <c r="DQ38" s="2155"/>
      <c r="DR38" s="2155"/>
      <c r="DS38" s="2155"/>
      <c r="DT38" s="2155"/>
      <c r="DU38" s="2155"/>
      <c r="DV38" s="2155"/>
      <c r="DW38" s="2155"/>
      <c r="DX38" s="2155"/>
      <c r="DY38" s="2155"/>
      <c r="DZ38" s="2155"/>
      <c r="EA38" s="2155"/>
      <c r="EB38" s="2155"/>
      <c r="EC38" s="2155"/>
      <c r="ED38" s="2155"/>
      <c r="EE38" s="2155"/>
      <c r="EF38" s="2155"/>
      <c r="EG38" s="2155"/>
      <c r="EH38" s="2155"/>
      <c r="EI38" s="2155"/>
      <c r="EJ38" s="2155"/>
      <c r="EK38" s="2155"/>
      <c r="EL38" s="2155"/>
      <c r="EM38" s="2155"/>
      <c r="EN38" s="2155"/>
      <c r="EO38" s="2155"/>
      <c r="EP38" s="2155"/>
      <c r="EQ38" s="2155"/>
      <c r="ER38" s="2155"/>
      <c r="ES38" s="2155"/>
      <c r="ET38" s="2155"/>
      <c r="EU38" s="2155"/>
      <c r="EV38" s="2155"/>
      <c r="EW38" s="2155"/>
      <c r="EX38" s="2155"/>
      <c r="EY38" s="2155"/>
    </row>
    <row r="39" spans="1:155" ht="13.5" hidden="1" outlineLevel="1">
      <c r="A39" s="115" t="s">
        <v>240</v>
      </c>
      <c r="B39" s="2155" t="s">
        <v>1701</v>
      </c>
      <c r="C39" s="2155"/>
      <c r="D39" s="2155"/>
      <c r="E39" s="2155"/>
      <c r="F39" s="2155"/>
      <c r="G39" s="2155"/>
      <c r="H39" s="2155"/>
      <c r="I39" s="2155"/>
      <c r="J39" s="2155"/>
      <c r="K39" s="2155"/>
      <c r="L39" s="2155"/>
      <c r="M39" s="2155"/>
      <c r="N39" s="2155"/>
      <c r="O39" s="2155"/>
      <c r="P39" s="2155"/>
      <c r="Q39" s="2155"/>
      <c r="R39" s="2155"/>
      <c r="S39" s="2155"/>
      <c r="T39" s="2155"/>
      <c r="U39" s="2155"/>
      <c r="V39" s="2155"/>
      <c r="W39" s="2155"/>
      <c r="X39" s="2155"/>
      <c r="Y39" s="2155"/>
      <c r="Z39" s="2155"/>
      <c r="AA39" s="2155"/>
      <c r="AB39" s="2155"/>
      <c r="AC39" s="2155"/>
      <c r="AD39" s="2155"/>
      <c r="AE39" s="2155"/>
      <c r="AF39" s="2155"/>
      <c r="AG39" s="2155"/>
      <c r="AH39" s="2155"/>
      <c r="AI39" s="2155"/>
      <c r="AJ39" s="2155"/>
      <c r="AK39" s="2155"/>
      <c r="AL39" s="2155"/>
      <c r="AM39" s="2155"/>
      <c r="AN39" s="2155"/>
      <c r="AO39" s="2155"/>
      <c r="AP39" s="2155"/>
      <c r="AQ39" s="2155"/>
      <c r="AR39" s="2155"/>
      <c r="AS39" s="2155"/>
      <c r="AT39" s="2155"/>
      <c r="AU39" s="2155"/>
      <c r="AV39" s="2155"/>
      <c r="AW39" s="2155"/>
      <c r="AX39" s="2155"/>
      <c r="AY39" s="2155"/>
      <c r="AZ39" s="2155"/>
      <c r="BA39" s="2155"/>
      <c r="BB39" s="2155"/>
      <c r="BC39" s="2155"/>
      <c r="BD39" s="2155"/>
      <c r="BE39" s="2155"/>
      <c r="BF39" s="2155"/>
      <c r="BG39" s="2155"/>
      <c r="BH39" s="2155"/>
      <c r="BI39" s="2155"/>
      <c r="BJ39" s="2155"/>
      <c r="BK39" s="2155"/>
      <c r="BL39" s="2155"/>
      <c r="BM39" s="2155"/>
      <c r="BN39" s="2155"/>
      <c r="BO39" s="2155"/>
      <c r="BP39" s="2155"/>
      <c r="BQ39" s="2155"/>
      <c r="BR39" s="2155"/>
      <c r="BS39" s="2155"/>
      <c r="BT39" s="2155"/>
      <c r="BU39" s="2155"/>
      <c r="BV39" s="2155"/>
      <c r="BW39" s="2155"/>
      <c r="BX39" s="2155"/>
      <c r="BY39" s="2155"/>
      <c r="BZ39" s="2155"/>
      <c r="CA39" s="2155"/>
      <c r="CB39" s="2155"/>
      <c r="CC39" s="2155"/>
      <c r="CD39" s="2155"/>
      <c r="CE39" s="2155"/>
      <c r="CF39" s="2155"/>
      <c r="CG39" s="2155"/>
      <c r="CH39" s="2155"/>
      <c r="CI39" s="2155"/>
      <c r="CJ39" s="2155"/>
      <c r="CK39" s="2155"/>
      <c r="CL39" s="2155"/>
      <c r="CM39" s="2155"/>
      <c r="CN39" s="2155"/>
      <c r="CO39" s="2155"/>
      <c r="CP39" s="2155"/>
      <c r="CQ39" s="2155"/>
      <c r="CR39" s="2155"/>
      <c r="CS39" s="2155"/>
      <c r="CT39" s="2155"/>
      <c r="CU39" s="2155"/>
      <c r="CV39" s="2155"/>
      <c r="CW39" s="2155"/>
      <c r="CX39" s="2155"/>
      <c r="CY39" s="2155"/>
      <c r="CZ39" s="2155"/>
      <c r="DA39" s="2155"/>
      <c r="DB39" s="2155"/>
      <c r="DC39" s="2155"/>
      <c r="DD39" s="2155"/>
      <c r="DE39" s="2155"/>
      <c r="DF39" s="2155"/>
      <c r="DG39" s="2155"/>
      <c r="DH39" s="2155"/>
      <c r="DI39" s="2155"/>
      <c r="DJ39" s="2155"/>
      <c r="DK39" s="2155"/>
      <c r="DL39" s="2155"/>
      <c r="DM39" s="2155"/>
      <c r="DN39" s="2155"/>
      <c r="DO39" s="2155"/>
      <c r="DP39" s="2155"/>
      <c r="DQ39" s="2155"/>
      <c r="DR39" s="2155"/>
      <c r="DS39" s="2155"/>
      <c r="DT39" s="2155"/>
      <c r="DU39" s="2155"/>
      <c r="DV39" s="2155"/>
      <c r="DW39" s="2155"/>
      <c r="DX39" s="2155"/>
      <c r="DY39" s="2155"/>
      <c r="DZ39" s="2155"/>
      <c r="EA39" s="2155"/>
      <c r="EB39" s="2155"/>
      <c r="EC39" s="2155"/>
      <c r="ED39" s="2155"/>
      <c r="EE39" s="2155"/>
      <c r="EF39" s="2155"/>
      <c r="EG39" s="2155"/>
      <c r="EH39" s="2155"/>
      <c r="EI39" s="2155"/>
      <c r="EJ39" s="2155"/>
      <c r="EK39" s="2155"/>
      <c r="EL39" s="2155"/>
      <c r="EM39" s="2155"/>
      <c r="EN39" s="2155"/>
      <c r="EO39" s="2155"/>
      <c r="EP39" s="2155"/>
      <c r="EQ39" s="2155"/>
      <c r="ER39" s="2155"/>
      <c r="ES39" s="2155"/>
      <c r="ET39" s="2155"/>
      <c r="EU39" s="2155"/>
      <c r="EV39" s="2155"/>
      <c r="EW39" s="2155"/>
      <c r="EX39" s="2155"/>
      <c r="EY39" s="2155"/>
    </row>
    <row r="40" spans="1:155" ht="13.5" hidden="1" outlineLevel="1">
      <c r="A40" s="115" t="s">
        <v>241</v>
      </c>
      <c r="B40" s="2155" t="s">
        <v>257</v>
      </c>
      <c r="C40" s="2155"/>
      <c r="D40" s="2155"/>
      <c r="E40" s="2155"/>
      <c r="F40" s="2155"/>
      <c r="G40" s="2155"/>
      <c r="H40" s="2155"/>
      <c r="I40" s="2155"/>
      <c r="J40" s="2155"/>
      <c r="K40" s="2155"/>
      <c r="L40" s="2155"/>
      <c r="M40" s="2155"/>
      <c r="N40" s="2155"/>
      <c r="O40" s="2155"/>
      <c r="P40" s="2155"/>
      <c r="Q40" s="2155"/>
      <c r="R40" s="2155"/>
      <c r="S40" s="2155"/>
      <c r="T40" s="2155"/>
      <c r="U40" s="2155"/>
      <c r="V40" s="2155"/>
      <c r="W40" s="2155"/>
      <c r="X40" s="2155"/>
      <c r="Y40" s="2155"/>
      <c r="Z40" s="2155"/>
      <c r="AA40" s="2155"/>
      <c r="AB40" s="2155"/>
      <c r="AC40" s="2155"/>
      <c r="AD40" s="2155"/>
      <c r="AE40" s="2155"/>
      <c r="AF40" s="2155"/>
      <c r="AG40" s="2155"/>
      <c r="AH40" s="2155"/>
      <c r="AI40" s="2155"/>
      <c r="AJ40" s="2155"/>
      <c r="AK40" s="2155"/>
      <c r="AL40" s="2155"/>
      <c r="AM40" s="2155"/>
      <c r="AN40" s="2155"/>
      <c r="AO40" s="2155"/>
      <c r="AP40" s="2155"/>
      <c r="AQ40" s="2155"/>
      <c r="AR40" s="2155"/>
      <c r="AS40" s="2155"/>
      <c r="AT40" s="2155"/>
      <c r="AU40" s="2155"/>
      <c r="AV40" s="2155"/>
      <c r="AW40" s="2155"/>
      <c r="AX40" s="2155"/>
      <c r="AY40" s="2155"/>
      <c r="AZ40" s="2155"/>
      <c r="BA40" s="2155"/>
      <c r="BB40" s="2155"/>
      <c r="BC40" s="2155"/>
      <c r="BD40" s="2155"/>
      <c r="BE40" s="2155"/>
      <c r="BF40" s="2155"/>
      <c r="BG40" s="2155"/>
      <c r="BH40" s="2155"/>
      <c r="BI40" s="2155"/>
      <c r="BJ40" s="2155"/>
      <c r="BK40" s="2155"/>
      <c r="BL40" s="2155"/>
      <c r="BM40" s="2155"/>
      <c r="BN40" s="2155"/>
      <c r="BO40" s="2155"/>
      <c r="BP40" s="2155"/>
      <c r="BQ40" s="2155"/>
      <c r="BR40" s="2155"/>
      <c r="BS40" s="2155"/>
      <c r="BT40" s="2155"/>
      <c r="BU40" s="2155"/>
      <c r="BV40" s="2155"/>
      <c r="BW40" s="2155"/>
      <c r="BX40" s="2155"/>
      <c r="BY40" s="2155"/>
      <c r="BZ40" s="2155"/>
      <c r="CA40" s="2155"/>
      <c r="CB40" s="2155"/>
      <c r="CC40" s="2155"/>
      <c r="CD40" s="2155"/>
      <c r="CE40" s="2155"/>
      <c r="CF40" s="2155"/>
      <c r="CG40" s="2155"/>
      <c r="CH40" s="2155"/>
      <c r="CI40" s="2155"/>
      <c r="CJ40" s="2155"/>
      <c r="CK40" s="2155"/>
      <c r="CL40" s="2155"/>
      <c r="CM40" s="2155"/>
      <c r="CN40" s="2155"/>
      <c r="CO40" s="2155"/>
      <c r="CP40" s="2155"/>
      <c r="CQ40" s="2155"/>
      <c r="CR40" s="2155"/>
      <c r="CS40" s="2155"/>
      <c r="CT40" s="2155"/>
      <c r="CU40" s="2155"/>
      <c r="CV40" s="2155"/>
      <c r="CW40" s="2155"/>
      <c r="CX40" s="2155"/>
      <c r="CY40" s="2155"/>
      <c r="CZ40" s="2155"/>
      <c r="DA40" s="2155"/>
      <c r="DB40" s="2155"/>
      <c r="DC40" s="2155"/>
      <c r="DD40" s="2155"/>
      <c r="DE40" s="2155"/>
      <c r="DF40" s="2155"/>
      <c r="DG40" s="2155"/>
      <c r="DH40" s="2155"/>
      <c r="DI40" s="2155"/>
      <c r="DJ40" s="2155"/>
      <c r="DK40" s="2155"/>
      <c r="DL40" s="2155"/>
      <c r="DM40" s="2155"/>
      <c r="DN40" s="2155"/>
      <c r="DO40" s="2155"/>
      <c r="DP40" s="2155"/>
      <c r="DQ40" s="2155"/>
      <c r="DR40" s="2155"/>
      <c r="DS40" s="2155"/>
      <c r="DT40" s="2155"/>
      <c r="DU40" s="2155"/>
      <c r="DV40" s="2155"/>
      <c r="DW40" s="2155"/>
      <c r="DX40" s="2155"/>
      <c r="DY40" s="2155"/>
      <c r="DZ40" s="2155"/>
      <c r="EA40" s="2155"/>
      <c r="EB40" s="2155"/>
      <c r="EC40" s="2155"/>
      <c r="ED40" s="2155"/>
      <c r="EE40" s="2155"/>
      <c r="EF40" s="2155"/>
      <c r="EG40" s="2155"/>
      <c r="EH40" s="2155"/>
      <c r="EI40" s="2155"/>
      <c r="EJ40" s="2155"/>
      <c r="EK40" s="2155"/>
      <c r="EL40" s="2155"/>
      <c r="EM40" s="2155"/>
      <c r="EN40" s="2155"/>
      <c r="EO40" s="2155"/>
      <c r="EP40" s="2155"/>
      <c r="EQ40" s="2155"/>
      <c r="ER40" s="2155"/>
      <c r="ES40" s="2155"/>
      <c r="ET40" s="2155"/>
      <c r="EU40" s="2155"/>
      <c r="EV40" s="2155"/>
      <c r="EW40" s="2155"/>
      <c r="EX40" s="2155"/>
      <c r="EY40" s="2155"/>
    </row>
    <row r="41" spans="1:155" ht="13.5" hidden="1" outlineLevel="1">
      <c r="A41" s="140" t="s">
        <v>242</v>
      </c>
      <c r="B41" s="113" t="s">
        <v>258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</row>
    <row r="42" spans="1:155" ht="13.5" hidden="1" outlineLevel="1">
      <c r="A42" s="140" t="s">
        <v>243</v>
      </c>
      <c r="B42" s="113" t="s">
        <v>1333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</row>
    <row r="43" spans="1:155" ht="13.5" hidden="1" outlineLevel="1">
      <c r="A43" s="113"/>
      <c r="B43" s="113" t="s">
        <v>1311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</row>
    <row r="44" spans="1:155" ht="13.5" hidden="1" outlineLevel="1">
      <c r="A44" s="113"/>
      <c r="B44" s="113" t="s">
        <v>1312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</row>
    <row r="45" spans="1:155" ht="13.5" hidden="1" outlineLevel="1">
      <c r="A45" s="113"/>
      <c r="B45" s="113" t="s">
        <v>1313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</row>
    <row r="46" spans="1:155" ht="13.5" hidden="1" outlineLevel="1">
      <c r="A46" s="113"/>
      <c r="B46" s="113" t="s">
        <v>1314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</row>
    <row r="47" ht="12.75" collapsed="1"/>
    <row r="49" ht="13.5">
      <c r="A49" s="7" t="s">
        <v>1244</v>
      </c>
    </row>
  </sheetData>
  <sheetProtection/>
  <mergeCells count="18">
    <mergeCell ref="B40:EY40"/>
    <mergeCell ref="AI8:AL8"/>
    <mergeCell ref="A6:A9"/>
    <mergeCell ref="B6:B9"/>
    <mergeCell ref="C6:N6"/>
    <mergeCell ref="AE8:AH8"/>
    <mergeCell ref="W8:Z8"/>
    <mergeCell ref="O7:Z7"/>
    <mergeCell ref="C7:F8"/>
    <mergeCell ref="G7:J8"/>
    <mergeCell ref="O6:AL6"/>
    <mergeCell ref="AA7:AL7"/>
    <mergeCell ref="S8:V8"/>
    <mergeCell ref="AA8:AD8"/>
    <mergeCell ref="B38:EY38"/>
    <mergeCell ref="B39:EY39"/>
    <mergeCell ref="K7:N8"/>
    <mergeCell ref="O8:R8"/>
  </mergeCells>
  <printOptions/>
  <pageMargins left="0.7086614173228347" right="0.7086614173228347" top="0.46" bottom="0.43" header="0.31496062992125984" footer="0.31496062992125984"/>
  <pageSetup fitToHeight="3" fitToWidth="1" horizontalDpi="600" verticalDpi="600" orientation="landscape" paperSize="9" scale="2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D69"/>
  <sheetViews>
    <sheetView zoomScale="80" zoomScaleNormal="80" zoomScaleSheetLayoutView="100" workbookViewId="0" topLeftCell="A1">
      <pane xSplit="3" ySplit="11" topLeftCell="J32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/>
  <cols>
    <col min="1" max="1" width="4.28125" style="210" hidden="1" customWidth="1"/>
    <col min="2" max="2" width="4.7109375" style="1" customWidth="1"/>
    <col min="3" max="3" width="27.28125" style="1" customWidth="1"/>
    <col min="4" max="4" width="11.140625" style="1" hidden="1" customWidth="1"/>
    <col min="5" max="5" width="11.7109375" style="1" hidden="1" customWidth="1"/>
    <col min="6" max="6" width="12.421875" style="1" hidden="1" customWidth="1"/>
    <col min="7" max="7" width="11.140625" style="1" hidden="1" customWidth="1"/>
    <col min="8" max="8" width="11.7109375" style="1" hidden="1" customWidth="1"/>
    <col min="9" max="9" width="12.421875" style="1" hidden="1" customWidth="1"/>
    <col min="10" max="10" width="10.7109375" style="1" customWidth="1"/>
    <col min="11" max="11" width="11.8515625" style="1" customWidth="1"/>
    <col min="12" max="12" width="12.28125" style="1" customWidth="1"/>
    <col min="13" max="13" width="11.00390625" style="1" customWidth="1"/>
    <col min="14" max="14" width="12.28125" style="1" customWidth="1"/>
    <col min="15" max="15" width="12.421875" style="1" customWidth="1"/>
    <col min="16" max="18" width="10.7109375" style="1" customWidth="1"/>
    <col min="19" max="19" width="10.8515625" style="1" customWidth="1"/>
    <col min="20" max="21" width="9.140625" style="1" customWidth="1"/>
    <col min="22" max="22" width="10.8515625" style="1" customWidth="1"/>
    <col min="23" max="24" width="9.140625" style="1" customWidth="1"/>
    <col min="25" max="25" width="11.28125" style="1" customWidth="1"/>
    <col min="26" max="27" width="9.140625" style="1" customWidth="1"/>
    <col min="28" max="28" width="11.00390625" style="1" customWidth="1"/>
    <col min="29" max="30" width="9.140625" style="1" customWidth="1"/>
    <col min="31" max="31" width="11.421875" style="1" customWidth="1"/>
    <col min="32" max="33" width="9.140625" style="1" customWidth="1"/>
    <col min="34" max="34" width="11.00390625" style="1" customWidth="1"/>
    <col min="35" max="36" width="9.140625" style="1" customWidth="1"/>
    <col min="37" max="37" width="10.7109375" style="1" customWidth="1"/>
    <col min="38" max="39" width="9.140625" style="1" customWidth="1"/>
    <col min="40" max="40" width="10.7109375" style="1" customWidth="1"/>
    <col min="41" max="16384" width="9.140625" style="1" customWidth="1"/>
  </cols>
  <sheetData>
    <row r="1" spans="1:18" ht="12.75" hidden="1">
      <c r="A1" s="210">
        <v>1</v>
      </c>
      <c r="B1" s="210">
        <v>2</v>
      </c>
      <c r="C1" s="210">
        <v>3</v>
      </c>
      <c r="D1" s="210">
        <v>4</v>
      </c>
      <c r="E1" s="210">
        <v>5</v>
      </c>
      <c r="F1" s="210">
        <v>6</v>
      </c>
      <c r="G1" s="210">
        <v>4</v>
      </c>
      <c r="H1" s="210">
        <v>5</v>
      </c>
      <c r="I1" s="210">
        <v>6</v>
      </c>
      <c r="J1" s="210">
        <v>7</v>
      </c>
      <c r="K1" s="210">
        <v>8</v>
      </c>
      <c r="L1" s="210">
        <v>9</v>
      </c>
      <c r="M1" s="210">
        <v>10</v>
      </c>
      <c r="N1" s="210">
        <v>11</v>
      </c>
      <c r="O1" s="210">
        <v>12</v>
      </c>
      <c r="P1" s="210">
        <v>19</v>
      </c>
      <c r="Q1" s="210">
        <v>20</v>
      </c>
      <c r="R1" s="210">
        <v>21</v>
      </c>
    </row>
    <row r="2" spans="2:18" ht="15" customHeight="1" outlineLevel="1">
      <c r="B2" s="7" t="s">
        <v>455</v>
      </c>
      <c r="C2" s="147"/>
      <c r="D2" s="52"/>
      <c r="E2" s="52"/>
      <c r="F2" s="52"/>
      <c r="G2" s="52"/>
      <c r="H2" s="52"/>
      <c r="I2" s="52"/>
      <c r="J2" s="52"/>
      <c r="K2" s="64"/>
      <c r="L2" s="7"/>
      <c r="M2" s="147"/>
      <c r="N2" s="52"/>
      <c r="O2" s="52"/>
      <c r="R2" s="2" t="s">
        <v>1591</v>
      </c>
    </row>
    <row r="3" spans="2:15" ht="14.25" outlineLevel="1">
      <c r="B3" s="1" t="s">
        <v>879</v>
      </c>
      <c r="C3" s="147"/>
      <c r="D3" s="52"/>
      <c r="E3" s="52"/>
      <c r="F3" s="52"/>
      <c r="G3" s="52"/>
      <c r="H3" s="52"/>
      <c r="I3" s="52"/>
      <c r="J3" s="52"/>
      <c r="K3" s="37"/>
      <c r="M3" s="147"/>
      <c r="N3" s="52"/>
      <c r="O3" s="52"/>
    </row>
    <row r="4" ht="12.75" outlineLevel="1"/>
    <row r="5" spans="2:18" ht="16.5" customHeight="1" outlineLevel="1">
      <c r="B5" s="33" t="s">
        <v>1331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ht="13.5" outlineLevel="1">
      <c r="B6" s="674" t="str">
        <f>'[2]4.1'!B6</f>
        <v>Усть-Камчатское сельское поселение Усть-Камчатского муниципального района</v>
      </c>
    </row>
    <row r="7" spans="2:40" ht="12.75">
      <c r="B7" s="2069" t="s">
        <v>1662</v>
      </c>
      <c r="C7" s="2069" t="s">
        <v>1670</v>
      </c>
      <c r="D7" s="717" t="s">
        <v>1659</v>
      </c>
      <c r="E7" s="718"/>
      <c r="F7" s="718"/>
      <c r="G7" s="718"/>
      <c r="H7" s="718"/>
      <c r="I7" s="718"/>
      <c r="J7" s="2357" t="s">
        <v>1659</v>
      </c>
      <c r="K7" s="2358"/>
      <c r="L7" s="2358"/>
      <c r="M7" s="2358"/>
      <c r="N7" s="2358"/>
      <c r="O7" s="2358"/>
      <c r="P7" s="2357" t="s">
        <v>1661</v>
      </c>
      <c r="Q7" s="2358"/>
      <c r="R7" s="2358"/>
      <c r="S7" s="2358"/>
      <c r="T7" s="2358"/>
      <c r="U7" s="2358"/>
      <c r="V7" s="2358"/>
      <c r="W7" s="2358"/>
      <c r="X7" s="2358"/>
      <c r="Y7" s="2358"/>
      <c r="Z7" s="2358"/>
      <c r="AA7" s="2358"/>
      <c r="AB7" s="2358"/>
      <c r="AC7" s="2358"/>
      <c r="AD7" s="2358"/>
      <c r="AE7" s="2358"/>
      <c r="AF7" s="2358"/>
      <c r="AG7" s="2358"/>
      <c r="AH7" s="2358"/>
      <c r="AI7" s="2358"/>
      <c r="AJ7" s="2358"/>
      <c r="AK7" s="2358"/>
      <c r="AL7" s="2358"/>
      <c r="AM7" s="2358"/>
      <c r="AN7" s="2359"/>
    </row>
    <row r="8" spans="2:56" ht="12.75" customHeight="1">
      <c r="B8" s="2070"/>
      <c r="C8" s="2070"/>
      <c r="D8" s="2073" t="s">
        <v>268</v>
      </c>
      <c r="E8" s="2066"/>
      <c r="F8" s="2054"/>
      <c r="G8" s="2073" t="s">
        <v>314</v>
      </c>
      <c r="H8" s="2066"/>
      <c r="I8" s="2054"/>
      <c r="J8" s="2073" t="s">
        <v>1590</v>
      </c>
      <c r="K8" s="2066"/>
      <c r="L8" s="2054"/>
      <c r="M8" s="2073" t="s">
        <v>17</v>
      </c>
      <c r="N8" s="2066"/>
      <c r="O8" s="2054"/>
      <c r="P8" s="2354" t="s">
        <v>1143</v>
      </c>
      <c r="Q8" s="2355"/>
      <c r="R8" s="2355"/>
      <c r="S8" s="2355"/>
      <c r="T8" s="2355"/>
      <c r="U8" s="2355"/>
      <c r="V8" s="2356"/>
      <c r="W8" s="720"/>
      <c r="X8" s="720"/>
      <c r="Y8" s="2354" t="s">
        <v>1148</v>
      </c>
      <c r="Z8" s="2355"/>
      <c r="AA8" s="2355"/>
      <c r="AB8" s="2355"/>
      <c r="AC8" s="2355"/>
      <c r="AD8" s="2355"/>
      <c r="AE8" s="2356"/>
      <c r="AF8" s="720"/>
      <c r="AG8" s="720"/>
      <c r="AH8" s="2354" t="s">
        <v>18</v>
      </c>
      <c r="AI8" s="2355"/>
      <c r="AJ8" s="2355"/>
      <c r="AK8" s="2355"/>
      <c r="AL8" s="2355"/>
      <c r="AM8" s="2355"/>
      <c r="AN8" s="2356"/>
      <c r="AO8" s="721"/>
      <c r="AP8" s="721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2:56" ht="12.75" customHeight="1">
      <c r="B9" s="2070"/>
      <c r="C9" s="2070"/>
      <c r="D9" s="2065"/>
      <c r="E9" s="2055"/>
      <c r="F9" s="2056"/>
      <c r="G9" s="2065"/>
      <c r="H9" s="2055"/>
      <c r="I9" s="2056"/>
      <c r="J9" s="2065"/>
      <c r="K9" s="2055"/>
      <c r="L9" s="2056"/>
      <c r="M9" s="2065"/>
      <c r="N9" s="2055"/>
      <c r="O9" s="2056"/>
      <c r="P9" s="2085" t="s">
        <v>421</v>
      </c>
      <c r="Q9" s="2086"/>
      <c r="R9" s="2074"/>
      <c r="S9" s="2085" t="s">
        <v>271</v>
      </c>
      <c r="T9" s="2086"/>
      <c r="U9" s="2074"/>
      <c r="V9" s="2085" t="s">
        <v>272</v>
      </c>
      <c r="W9" s="2086"/>
      <c r="X9" s="2074"/>
      <c r="Y9" s="2085" t="s">
        <v>421</v>
      </c>
      <c r="Z9" s="2086"/>
      <c r="AA9" s="2074"/>
      <c r="AB9" s="2085" t="s">
        <v>271</v>
      </c>
      <c r="AC9" s="2086"/>
      <c r="AD9" s="2074"/>
      <c r="AE9" s="2085" t="s">
        <v>272</v>
      </c>
      <c r="AF9" s="2086"/>
      <c r="AG9" s="2074"/>
      <c r="AH9" s="2085" t="s">
        <v>421</v>
      </c>
      <c r="AI9" s="2086"/>
      <c r="AJ9" s="2074"/>
      <c r="AK9" s="2085" t="s">
        <v>271</v>
      </c>
      <c r="AL9" s="2086"/>
      <c r="AM9" s="2074"/>
      <c r="AN9" s="726" t="s">
        <v>272</v>
      </c>
      <c r="AO9" s="721"/>
      <c r="AP9" s="721"/>
      <c r="AQ9" s="2271"/>
      <c r="AR9" s="2271"/>
      <c r="AS9" s="2271"/>
      <c r="AT9" s="2271"/>
      <c r="AU9" s="2271"/>
      <c r="AV9" s="2271"/>
      <c r="AW9" s="2271"/>
      <c r="AX9" s="2271"/>
      <c r="AY9" s="2271"/>
      <c r="AZ9" s="16"/>
      <c r="BA9" s="16"/>
      <c r="BB9" s="16"/>
      <c r="BC9" s="16"/>
      <c r="BD9" s="16"/>
    </row>
    <row r="10" spans="2:56" ht="210.75">
      <c r="B10" s="2048"/>
      <c r="C10" s="2048"/>
      <c r="D10" s="43" t="s">
        <v>1592</v>
      </c>
      <c r="E10" s="43" t="s">
        <v>259</v>
      </c>
      <c r="F10" s="43" t="s">
        <v>260</v>
      </c>
      <c r="G10" s="43" t="s">
        <v>1592</v>
      </c>
      <c r="H10" s="43" t="s">
        <v>259</v>
      </c>
      <c r="I10" s="43" t="s">
        <v>260</v>
      </c>
      <c r="J10" s="43" t="s">
        <v>1592</v>
      </c>
      <c r="K10" s="43" t="s">
        <v>259</v>
      </c>
      <c r="L10" s="43" t="s">
        <v>260</v>
      </c>
      <c r="M10" s="43" t="s">
        <v>1592</v>
      </c>
      <c r="N10" s="43" t="s">
        <v>259</v>
      </c>
      <c r="O10" s="43" t="s">
        <v>260</v>
      </c>
      <c r="P10" s="2026" t="s">
        <v>1592</v>
      </c>
      <c r="Q10" s="22" t="s">
        <v>259</v>
      </c>
      <c r="R10" s="22" t="s">
        <v>260</v>
      </c>
      <c r="S10" s="22" t="s">
        <v>1592</v>
      </c>
      <c r="T10" s="22" t="s">
        <v>259</v>
      </c>
      <c r="U10" s="22" t="s">
        <v>260</v>
      </c>
      <c r="V10" s="22" t="s">
        <v>1592</v>
      </c>
      <c r="W10" s="22" t="s">
        <v>259</v>
      </c>
      <c r="X10" s="22" t="s">
        <v>260</v>
      </c>
      <c r="Y10" s="2026" t="s">
        <v>1592</v>
      </c>
      <c r="Z10" s="22" t="s">
        <v>259</v>
      </c>
      <c r="AA10" s="22" t="s">
        <v>260</v>
      </c>
      <c r="AB10" s="22" t="s">
        <v>1592</v>
      </c>
      <c r="AC10" s="22" t="s">
        <v>259</v>
      </c>
      <c r="AD10" s="22" t="s">
        <v>260</v>
      </c>
      <c r="AE10" s="22" t="s">
        <v>1592</v>
      </c>
      <c r="AF10" s="22" t="s">
        <v>259</v>
      </c>
      <c r="AG10" s="22" t="s">
        <v>260</v>
      </c>
      <c r="AH10" s="2026" t="s">
        <v>1592</v>
      </c>
      <c r="AI10" s="22" t="s">
        <v>259</v>
      </c>
      <c r="AJ10" s="22" t="s">
        <v>260</v>
      </c>
      <c r="AK10" s="22" t="s">
        <v>1592</v>
      </c>
      <c r="AL10" s="22" t="s">
        <v>259</v>
      </c>
      <c r="AM10" s="22" t="s">
        <v>260</v>
      </c>
      <c r="AN10" s="22" t="s">
        <v>1592</v>
      </c>
      <c r="AO10" s="722"/>
      <c r="AP10" s="722"/>
      <c r="AQ10" s="722"/>
      <c r="AR10" s="722"/>
      <c r="AS10" s="722"/>
      <c r="AT10" s="722"/>
      <c r="AU10" s="722"/>
      <c r="AV10" s="722"/>
      <c r="AW10" s="722"/>
      <c r="AX10" s="722"/>
      <c r="AY10" s="722"/>
      <c r="AZ10" s="16"/>
      <c r="BA10" s="16"/>
      <c r="BB10" s="16"/>
      <c r="BC10" s="16"/>
      <c r="BD10" s="16"/>
    </row>
    <row r="11" spans="2:56" ht="12.75">
      <c r="B11" s="43">
        <v>1</v>
      </c>
      <c r="C11" s="49">
        <v>2</v>
      </c>
      <c r="D11" s="43">
        <v>3</v>
      </c>
      <c r="E11" s="43">
        <v>4</v>
      </c>
      <c r="F11" s="49">
        <v>5</v>
      </c>
      <c r="G11" s="43">
        <v>6</v>
      </c>
      <c r="H11" s="43">
        <v>7</v>
      </c>
      <c r="I11" s="49">
        <v>8</v>
      </c>
      <c r="J11" s="43">
        <v>9</v>
      </c>
      <c r="K11" s="43">
        <v>10</v>
      </c>
      <c r="L11" s="49">
        <v>11</v>
      </c>
      <c r="M11" s="43">
        <v>12</v>
      </c>
      <c r="N11" s="43">
        <v>13</v>
      </c>
      <c r="O11" s="49">
        <v>14</v>
      </c>
      <c r="P11" s="439">
        <v>21</v>
      </c>
      <c r="Q11" s="43">
        <v>22</v>
      </c>
      <c r="R11" s="49">
        <v>23</v>
      </c>
      <c r="S11" s="43">
        <v>15</v>
      </c>
      <c r="T11" s="43">
        <v>16</v>
      </c>
      <c r="U11" s="49">
        <v>17</v>
      </c>
      <c r="V11" s="43">
        <v>18</v>
      </c>
      <c r="W11" s="43">
        <v>19</v>
      </c>
      <c r="X11" s="49">
        <v>20</v>
      </c>
      <c r="Y11" s="439">
        <v>21</v>
      </c>
      <c r="Z11" s="43">
        <v>22</v>
      </c>
      <c r="AA11" s="49">
        <v>23</v>
      </c>
      <c r="AB11" s="43">
        <v>21</v>
      </c>
      <c r="AC11" s="43">
        <v>22</v>
      </c>
      <c r="AD11" s="49">
        <v>23</v>
      </c>
      <c r="AE11" s="43">
        <v>21</v>
      </c>
      <c r="AF11" s="43">
        <v>22</v>
      </c>
      <c r="AG11" s="49">
        <v>23</v>
      </c>
      <c r="AH11" s="439">
        <v>21</v>
      </c>
      <c r="AI11" s="43">
        <v>22</v>
      </c>
      <c r="AJ11" s="49">
        <v>23</v>
      </c>
      <c r="AK11" s="43">
        <v>21</v>
      </c>
      <c r="AL11" s="43">
        <v>22</v>
      </c>
      <c r="AM11" s="49">
        <v>23</v>
      </c>
      <c r="AN11" s="43">
        <v>21</v>
      </c>
      <c r="AO11" s="722"/>
      <c r="AP11" s="722"/>
      <c r="AQ11" s="722"/>
      <c r="AR11" s="722"/>
      <c r="AS11" s="722"/>
      <c r="AT11" s="722"/>
      <c r="AU11" s="722"/>
      <c r="AV11" s="722"/>
      <c r="AW11" s="722"/>
      <c r="AX11" s="722"/>
      <c r="AY11" s="722"/>
      <c r="AZ11" s="16"/>
      <c r="BA11" s="16"/>
      <c r="BB11" s="16"/>
      <c r="BC11" s="16"/>
      <c r="BD11" s="16"/>
    </row>
    <row r="12" spans="2:56" ht="63.75" customHeight="1">
      <c r="B12" s="47" t="s">
        <v>1671</v>
      </c>
      <c r="C12" s="26" t="s">
        <v>1325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21"/>
      <c r="Q12" s="4"/>
      <c r="R12" s="4"/>
      <c r="S12" s="4"/>
      <c r="T12" s="4"/>
      <c r="U12" s="4"/>
      <c r="V12" s="4"/>
      <c r="W12" s="4"/>
      <c r="X12" s="4"/>
      <c r="Y12" s="1121"/>
      <c r="Z12" s="4"/>
      <c r="AA12" s="4"/>
      <c r="AB12" s="4"/>
      <c r="AC12" s="4"/>
      <c r="AD12" s="4"/>
      <c r="AE12" s="4"/>
      <c r="AF12" s="4"/>
      <c r="AG12" s="4"/>
      <c r="AH12" s="1121"/>
      <c r="AI12" s="4"/>
      <c r="AJ12" s="4"/>
      <c r="AK12" s="4"/>
      <c r="AL12" s="4"/>
      <c r="AM12" s="4"/>
      <c r="AN12" s="4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16"/>
      <c r="BA12" s="16"/>
      <c r="BB12" s="16"/>
      <c r="BC12" s="16"/>
      <c r="BD12" s="16"/>
    </row>
    <row r="13" spans="2:56" ht="26.25" customHeight="1" hidden="1" outlineLevel="1">
      <c r="B13" s="30" t="s">
        <v>1663</v>
      </c>
      <c r="C13" s="77" t="s">
        <v>261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21"/>
      <c r="Q13" s="4"/>
      <c r="R13" s="4"/>
      <c r="S13" s="4"/>
      <c r="T13" s="4"/>
      <c r="U13" s="4"/>
      <c r="V13" s="4"/>
      <c r="W13" s="4"/>
      <c r="X13" s="4"/>
      <c r="Y13" s="1121"/>
      <c r="Z13" s="4"/>
      <c r="AA13" s="4"/>
      <c r="AB13" s="4"/>
      <c r="AC13" s="4"/>
      <c r="AD13" s="4"/>
      <c r="AE13" s="4"/>
      <c r="AF13" s="4"/>
      <c r="AG13" s="4"/>
      <c r="AH13" s="1121"/>
      <c r="AI13" s="4"/>
      <c r="AJ13" s="4"/>
      <c r="AK13" s="4"/>
      <c r="AL13" s="4"/>
      <c r="AM13" s="4"/>
      <c r="AN13" s="4"/>
      <c r="AO13" s="723"/>
      <c r="AP13" s="723"/>
      <c r="AQ13" s="723"/>
      <c r="AR13" s="723"/>
      <c r="AS13" s="723"/>
      <c r="AT13" s="723"/>
      <c r="AU13" s="723"/>
      <c r="AV13" s="723"/>
      <c r="AW13" s="723"/>
      <c r="AX13" s="723"/>
      <c r="AY13" s="723"/>
      <c r="AZ13" s="16"/>
      <c r="BA13" s="16"/>
      <c r="BB13" s="16"/>
      <c r="BC13" s="16"/>
      <c r="BD13" s="16"/>
    </row>
    <row r="14" spans="2:56" ht="26.25" customHeight="1" hidden="1" outlineLevel="1">
      <c r="B14" s="30" t="s">
        <v>424</v>
      </c>
      <c r="C14" s="77" t="s">
        <v>1332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21"/>
      <c r="Q14" s="4"/>
      <c r="R14" s="4"/>
      <c r="S14" s="4"/>
      <c r="T14" s="4"/>
      <c r="U14" s="4"/>
      <c r="V14" s="4"/>
      <c r="W14" s="4"/>
      <c r="X14" s="4"/>
      <c r="Y14" s="1121"/>
      <c r="Z14" s="4"/>
      <c r="AA14" s="4"/>
      <c r="AB14" s="4"/>
      <c r="AC14" s="4"/>
      <c r="AD14" s="4"/>
      <c r="AE14" s="4"/>
      <c r="AF14" s="4"/>
      <c r="AG14" s="4"/>
      <c r="AH14" s="1121"/>
      <c r="AI14" s="4"/>
      <c r="AJ14" s="4"/>
      <c r="AK14" s="4"/>
      <c r="AL14" s="4"/>
      <c r="AM14" s="4"/>
      <c r="AN14" s="4"/>
      <c r="AO14" s="723"/>
      <c r="AP14" s="723"/>
      <c r="AQ14" s="723"/>
      <c r="AR14" s="723"/>
      <c r="AS14" s="723"/>
      <c r="AT14" s="723"/>
      <c r="AU14" s="723"/>
      <c r="AV14" s="723"/>
      <c r="AW14" s="723"/>
      <c r="AX14" s="723"/>
      <c r="AY14" s="723"/>
      <c r="AZ14" s="16"/>
      <c r="BA14" s="16"/>
      <c r="BB14" s="16"/>
      <c r="BC14" s="16"/>
      <c r="BD14" s="16"/>
    </row>
    <row r="15" spans="2:56" ht="12.75" customHeight="1" hidden="1" outlineLevel="1">
      <c r="B15" s="30"/>
      <c r="C15" s="61" t="s">
        <v>1288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21"/>
      <c r="Q15" s="4"/>
      <c r="R15" s="4"/>
      <c r="S15" s="4"/>
      <c r="T15" s="4"/>
      <c r="U15" s="4"/>
      <c r="V15" s="4"/>
      <c r="W15" s="4"/>
      <c r="X15" s="4"/>
      <c r="Y15" s="1121"/>
      <c r="Z15" s="4"/>
      <c r="AA15" s="4"/>
      <c r="AB15" s="4"/>
      <c r="AC15" s="4"/>
      <c r="AD15" s="4"/>
      <c r="AE15" s="4"/>
      <c r="AF15" s="4"/>
      <c r="AG15" s="4"/>
      <c r="AH15" s="1121"/>
      <c r="AI15" s="4"/>
      <c r="AJ15" s="4"/>
      <c r="AK15" s="4"/>
      <c r="AL15" s="4"/>
      <c r="AM15" s="4"/>
      <c r="AN15" s="4"/>
      <c r="AO15" s="723"/>
      <c r="AP15" s="723"/>
      <c r="AQ15" s="723"/>
      <c r="AR15" s="723"/>
      <c r="AS15" s="723"/>
      <c r="AT15" s="723"/>
      <c r="AU15" s="723"/>
      <c r="AV15" s="723"/>
      <c r="AW15" s="723"/>
      <c r="AX15" s="723"/>
      <c r="AY15" s="723"/>
      <c r="AZ15" s="16"/>
      <c r="BA15" s="16"/>
      <c r="BB15" s="16"/>
      <c r="BC15" s="16"/>
      <c r="BD15" s="16"/>
    </row>
    <row r="16" spans="2:56" ht="26.25" customHeight="1" hidden="1" outlineLevel="1">
      <c r="B16" s="30"/>
      <c r="C16" s="61" t="s">
        <v>771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21"/>
      <c r="Q16" s="4"/>
      <c r="R16" s="4"/>
      <c r="S16" s="4"/>
      <c r="T16" s="4"/>
      <c r="U16" s="4"/>
      <c r="V16" s="4"/>
      <c r="W16" s="4"/>
      <c r="X16" s="4"/>
      <c r="Y16" s="1121"/>
      <c r="Z16" s="4"/>
      <c r="AA16" s="4"/>
      <c r="AB16" s="4"/>
      <c r="AC16" s="4"/>
      <c r="AD16" s="4"/>
      <c r="AE16" s="4"/>
      <c r="AF16" s="4"/>
      <c r="AG16" s="4"/>
      <c r="AH16" s="1121"/>
      <c r="AI16" s="4"/>
      <c r="AJ16" s="4"/>
      <c r="AK16" s="4"/>
      <c r="AL16" s="4"/>
      <c r="AM16" s="4"/>
      <c r="AN16" s="4"/>
      <c r="AO16" s="723"/>
      <c r="AP16" s="723"/>
      <c r="AQ16" s="723"/>
      <c r="AR16" s="723"/>
      <c r="AS16" s="723"/>
      <c r="AT16" s="723"/>
      <c r="AU16" s="723"/>
      <c r="AV16" s="723"/>
      <c r="AW16" s="723"/>
      <c r="AX16" s="723"/>
      <c r="AY16" s="723"/>
      <c r="AZ16" s="16"/>
      <c r="BA16" s="16"/>
      <c r="BB16" s="16"/>
      <c r="BC16" s="16"/>
      <c r="BD16" s="16"/>
    </row>
    <row r="17" spans="2:56" ht="26.25" customHeight="1" hidden="1" outlineLevel="1">
      <c r="B17" s="30"/>
      <c r="C17" s="61" t="s">
        <v>772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21"/>
      <c r="Q17" s="4"/>
      <c r="R17" s="4"/>
      <c r="S17" s="4"/>
      <c r="T17" s="4"/>
      <c r="U17" s="4"/>
      <c r="V17" s="4"/>
      <c r="W17" s="4"/>
      <c r="X17" s="4"/>
      <c r="Y17" s="1121"/>
      <c r="Z17" s="4"/>
      <c r="AA17" s="4"/>
      <c r="AB17" s="4"/>
      <c r="AC17" s="4"/>
      <c r="AD17" s="4"/>
      <c r="AE17" s="4"/>
      <c r="AF17" s="4"/>
      <c r="AG17" s="4"/>
      <c r="AH17" s="1121"/>
      <c r="AI17" s="4"/>
      <c r="AJ17" s="4"/>
      <c r="AK17" s="4"/>
      <c r="AL17" s="4"/>
      <c r="AM17" s="4"/>
      <c r="AN17" s="4"/>
      <c r="AO17" s="723"/>
      <c r="AP17" s="723"/>
      <c r="AQ17" s="723"/>
      <c r="AR17" s="723"/>
      <c r="AS17" s="723"/>
      <c r="AT17" s="723"/>
      <c r="AU17" s="723"/>
      <c r="AV17" s="723"/>
      <c r="AW17" s="723"/>
      <c r="AX17" s="723"/>
      <c r="AY17" s="723"/>
      <c r="AZ17" s="16"/>
      <c r="BA17" s="16"/>
      <c r="BB17" s="16"/>
      <c r="BC17" s="16"/>
      <c r="BD17" s="16"/>
    </row>
    <row r="18" spans="2:56" ht="26.25" customHeight="1" hidden="1" outlineLevel="1">
      <c r="B18" s="30"/>
      <c r="C18" s="61" t="s">
        <v>773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21"/>
      <c r="Q18" s="4"/>
      <c r="R18" s="4"/>
      <c r="S18" s="4"/>
      <c r="T18" s="4"/>
      <c r="U18" s="4"/>
      <c r="V18" s="4"/>
      <c r="W18" s="4"/>
      <c r="X18" s="4"/>
      <c r="Y18" s="1121"/>
      <c r="Z18" s="4"/>
      <c r="AA18" s="4"/>
      <c r="AB18" s="4"/>
      <c r="AC18" s="4"/>
      <c r="AD18" s="4"/>
      <c r="AE18" s="4"/>
      <c r="AF18" s="4"/>
      <c r="AG18" s="4"/>
      <c r="AH18" s="1121"/>
      <c r="AI18" s="4"/>
      <c r="AJ18" s="4"/>
      <c r="AK18" s="4"/>
      <c r="AL18" s="4"/>
      <c r="AM18" s="4"/>
      <c r="AN18" s="4"/>
      <c r="AO18" s="723"/>
      <c r="AP18" s="723"/>
      <c r="AQ18" s="723"/>
      <c r="AR18" s="723"/>
      <c r="AS18" s="723"/>
      <c r="AT18" s="723"/>
      <c r="AU18" s="723"/>
      <c r="AV18" s="723"/>
      <c r="AW18" s="723"/>
      <c r="AX18" s="723"/>
      <c r="AY18" s="723"/>
      <c r="AZ18" s="16"/>
      <c r="BA18" s="16"/>
      <c r="BB18" s="16"/>
      <c r="BC18" s="16"/>
      <c r="BD18" s="16"/>
    </row>
    <row r="19" spans="2:56" ht="26.25" customHeight="1" hidden="1" outlineLevel="1">
      <c r="B19" s="30"/>
      <c r="C19" s="61" t="s">
        <v>774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121"/>
      <c r="Q19" s="4"/>
      <c r="R19" s="4"/>
      <c r="S19" s="4"/>
      <c r="T19" s="4"/>
      <c r="U19" s="4"/>
      <c r="V19" s="4"/>
      <c r="W19" s="4"/>
      <c r="X19" s="4"/>
      <c r="Y19" s="1121"/>
      <c r="Z19" s="4"/>
      <c r="AA19" s="4"/>
      <c r="AB19" s="4"/>
      <c r="AC19" s="4"/>
      <c r="AD19" s="4"/>
      <c r="AE19" s="4"/>
      <c r="AF19" s="4"/>
      <c r="AG19" s="4"/>
      <c r="AH19" s="1121"/>
      <c r="AI19" s="4"/>
      <c r="AJ19" s="4"/>
      <c r="AK19" s="4"/>
      <c r="AL19" s="4"/>
      <c r="AM19" s="4"/>
      <c r="AN19" s="4"/>
      <c r="AO19" s="723"/>
      <c r="AP19" s="723"/>
      <c r="AQ19" s="723"/>
      <c r="AR19" s="723"/>
      <c r="AS19" s="723"/>
      <c r="AT19" s="723"/>
      <c r="AU19" s="723"/>
      <c r="AV19" s="723"/>
      <c r="AW19" s="723"/>
      <c r="AX19" s="723"/>
      <c r="AY19" s="723"/>
      <c r="AZ19" s="16"/>
      <c r="BA19" s="16"/>
      <c r="BB19" s="16"/>
      <c r="BC19" s="16"/>
      <c r="BD19" s="16"/>
    </row>
    <row r="20" spans="2:56" ht="26.25" customHeight="1" hidden="1" outlineLevel="1">
      <c r="B20" s="30"/>
      <c r="C20" s="61" t="s">
        <v>201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121"/>
      <c r="Q20" s="4"/>
      <c r="R20" s="4"/>
      <c r="S20" s="4"/>
      <c r="T20" s="4"/>
      <c r="U20" s="4"/>
      <c r="V20" s="4"/>
      <c r="W20" s="4"/>
      <c r="X20" s="4"/>
      <c r="Y20" s="1121"/>
      <c r="Z20" s="4"/>
      <c r="AA20" s="4"/>
      <c r="AB20" s="4"/>
      <c r="AC20" s="4"/>
      <c r="AD20" s="4"/>
      <c r="AE20" s="4"/>
      <c r="AF20" s="4"/>
      <c r="AG20" s="4"/>
      <c r="AH20" s="1121"/>
      <c r="AI20" s="4"/>
      <c r="AJ20" s="4"/>
      <c r="AK20" s="4"/>
      <c r="AL20" s="4"/>
      <c r="AM20" s="4"/>
      <c r="AN20" s="4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16"/>
      <c r="BA20" s="16"/>
      <c r="BB20" s="16"/>
      <c r="BC20" s="16"/>
      <c r="BD20" s="16"/>
    </row>
    <row r="21" spans="2:56" ht="66" collapsed="1">
      <c r="B21" s="47" t="s">
        <v>1664</v>
      </c>
      <c r="C21" s="28" t="s">
        <v>1333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121"/>
      <c r="Q21" s="4"/>
      <c r="R21" s="4"/>
      <c r="S21" s="4"/>
      <c r="T21" s="4"/>
      <c r="U21" s="4"/>
      <c r="V21" s="4"/>
      <c r="W21" s="4"/>
      <c r="X21" s="4"/>
      <c r="Y21" s="1121"/>
      <c r="Z21" s="4"/>
      <c r="AA21" s="4"/>
      <c r="AB21" s="4"/>
      <c r="AC21" s="4"/>
      <c r="AD21" s="4"/>
      <c r="AE21" s="4"/>
      <c r="AF21" s="4"/>
      <c r="AG21" s="4"/>
      <c r="AH21" s="1121"/>
      <c r="AI21" s="4"/>
      <c r="AJ21" s="4"/>
      <c r="AK21" s="4"/>
      <c r="AL21" s="4"/>
      <c r="AM21" s="4"/>
      <c r="AN21" s="4"/>
      <c r="AO21" s="723"/>
      <c r="AP21" s="723"/>
      <c r="AQ21" s="723"/>
      <c r="AR21" s="723"/>
      <c r="AS21" s="723"/>
      <c r="AT21" s="723"/>
      <c r="AU21" s="723"/>
      <c r="AV21" s="723"/>
      <c r="AW21" s="723"/>
      <c r="AX21" s="723"/>
      <c r="AY21" s="723"/>
      <c r="AZ21" s="16"/>
      <c r="BA21" s="16"/>
      <c r="BB21" s="16"/>
      <c r="BC21" s="16"/>
      <c r="BD21" s="16"/>
    </row>
    <row r="22" spans="2:56" ht="52.5" customHeight="1" hidden="1" outlineLevel="1">
      <c r="B22" s="30" t="s">
        <v>1665</v>
      </c>
      <c r="C22" s="77" t="s">
        <v>1334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121"/>
      <c r="Q22" s="4"/>
      <c r="R22" s="4"/>
      <c r="S22" s="4"/>
      <c r="T22" s="4"/>
      <c r="U22" s="4"/>
      <c r="V22" s="4"/>
      <c r="W22" s="4"/>
      <c r="X22" s="4"/>
      <c r="Y22" s="1121"/>
      <c r="Z22" s="4"/>
      <c r="AA22" s="4"/>
      <c r="AB22" s="4"/>
      <c r="AC22" s="4"/>
      <c r="AD22" s="4"/>
      <c r="AE22" s="4"/>
      <c r="AF22" s="4"/>
      <c r="AG22" s="4"/>
      <c r="AH22" s="1121"/>
      <c r="AI22" s="4"/>
      <c r="AJ22" s="4"/>
      <c r="AK22" s="4"/>
      <c r="AL22" s="4"/>
      <c r="AM22" s="4"/>
      <c r="AN22" s="4"/>
      <c r="AO22" s="723"/>
      <c r="AP22" s="723"/>
      <c r="AQ22" s="723"/>
      <c r="AR22" s="723"/>
      <c r="AS22" s="723"/>
      <c r="AT22" s="723"/>
      <c r="AU22" s="723"/>
      <c r="AV22" s="723"/>
      <c r="AW22" s="723"/>
      <c r="AX22" s="723"/>
      <c r="AY22" s="723"/>
      <c r="AZ22" s="16"/>
      <c r="BA22" s="16"/>
      <c r="BB22" s="16"/>
      <c r="BC22" s="16"/>
      <c r="BD22" s="16"/>
    </row>
    <row r="23" spans="2:56" ht="12.75" customHeight="1" hidden="1" outlineLevel="1">
      <c r="B23" s="30" t="s">
        <v>262</v>
      </c>
      <c r="C23" s="61" t="s">
        <v>1288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121"/>
      <c r="Q23" s="4"/>
      <c r="R23" s="4"/>
      <c r="S23" s="4"/>
      <c r="T23" s="4"/>
      <c r="U23" s="4"/>
      <c r="V23" s="4"/>
      <c r="W23" s="4"/>
      <c r="X23" s="4"/>
      <c r="Y23" s="1121"/>
      <c r="Z23" s="4"/>
      <c r="AA23" s="4"/>
      <c r="AB23" s="4"/>
      <c r="AC23" s="4"/>
      <c r="AD23" s="4"/>
      <c r="AE23" s="4"/>
      <c r="AF23" s="4"/>
      <c r="AG23" s="4"/>
      <c r="AH23" s="1121"/>
      <c r="AI23" s="4"/>
      <c r="AJ23" s="4"/>
      <c r="AK23" s="4"/>
      <c r="AL23" s="4"/>
      <c r="AM23" s="4"/>
      <c r="AN23" s="4"/>
      <c r="AO23" s="723"/>
      <c r="AP23" s="723"/>
      <c r="AQ23" s="723"/>
      <c r="AR23" s="723"/>
      <c r="AS23" s="723"/>
      <c r="AT23" s="723"/>
      <c r="AU23" s="723"/>
      <c r="AV23" s="723"/>
      <c r="AW23" s="723"/>
      <c r="AX23" s="723"/>
      <c r="AY23" s="723"/>
      <c r="AZ23" s="16"/>
      <c r="BA23" s="16"/>
      <c r="BB23" s="16"/>
      <c r="BC23" s="16"/>
      <c r="BD23" s="16"/>
    </row>
    <row r="24" spans="2:56" ht="12.75" customHeight="1" hidden="1" outlineLevel="1">
      <c r="B24" s="30" t="s">
        <v>1335</v>
      </c>
      <c r="C24" s="61" t="s">
        <v>1289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121"/>
      <c r="Q24" s="4"/>
      <c r="R24" s="4"/>
      <c r="S24" s="4"/>
      <c r="T24" s="4"/>
      <c r="U24" s="4"/>
      <c r="V24" s="4"/>
      <c r="W24" s="4"/>
      <c r="X24" s="4"/>
      <c r="Y24" s="1121"/>
      <c r="Z24" s="4"/>
      <c r="AA24" s="4"/>
      <c r="AB24" s="4"/>
      <c r="AC24" s="4"/>
      <c r="AD24" s="4"/>
      <c r="AE24" s="4"/>
      <c r="AF24" s="4"/>
      <c r="AG24" s="4"/>
      <c r="AH24" s="1121"/>
      <c r="AI24" s="4"/>
      <c r="AJ24" s="4"/>
      <c r="AK24" s="4"/>
      <c r="AL24" s="4"/>
      <c r="AM24" s="4"/>
      <c r="AN24" s="4"/>
      <c r="AO24" s="723"/>
      <c r="AP24" s="723"/>
      <c r="AQ24" s="723"/>
      <c r="AR24" s="723"/>
      <c r="AS24" s="723"/>
      <c r="AT24" s="723"/>
      <c r="AU24" s="723"/>
      <c r="AV24" s="723"/>
      <c r="AW24" s="723"/>
      <c r="AX24" s="723"/>
      <c r="AY24" s="723"/>
      <c r="AZ24" s="16"/>
      <c r="BA24" s="16"/>
      <c r="BB24" s="16"/>
      <c r="BC24" s="16"/>
      <c r="BD24" s="16"/>
    </row>
    <row r="25" spans="2:56" ht="52.5" customHeight="1" hidden="1" outlineLevel="1">
      <c r="B25" s="30" t="s">
        <v>1695</v>
      </c>
      <c r="C25" s="77" t="s">
        <v>1336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121"/>
      <c r="Q25" s="4"/>
      <c r="R25" s="4"/>
      <c r="S25" s="4"/>
      <c r="T25" s="4"/>
      <c r="U25" s="4"/>
      <c r="V25" s="4"/>
      <c r="W25" s="4"/>
      <c r="X25" s="4"/>
      <c r="Y25" s="1121"/>
      <c r="Z25" s="4"/>
      <c r="AA25" s="4"/>
      <c r="AB25" s="4"/>
      <c r="AC25" s="4"/>
      <c r="AD25" s="4"/>
      <c r="AE25" s="4"/>
      <c r="AF25" s="4"/>
      <c r="AG25" s="4"/>
      <c r="AH25" s="1121"/>
      <c r="AI25" s="4"/>
      <c r="AJ25" s="4"/>
      <c r="AK25" s="4"/>
      <c r="AL25" s="4"/>
      <c r="AM25" s="4"/>
      <c r="AN25" s="4"/>
      <c r="AO25" s="723"/>
      <c r="AP25" s="723"/>
      <c r="AQ25" s="723"/>
      <c r="AR25" s="723"/>
      <c r="AS25" s="723"/>
      <c r="AT25" s="723"/>
      <c r="AU25" s="723"/>
      <c r="AV25" s="723"/>
      <c r="AW25" s="723"/>
      <c r="AX25" s="723"/>
      <c r="AY25" s="723"/>
      <c r="AZ25" s="16"/>
      <c r="BA25" s="16"/>
      <c r="BB25" s="16"/>
      <c r="BC25" s="16"/>
      <c r="BD25" s="16"/>
    </row>
    <row r="26" spans="2:56" ht="78.75" customHeight="1" hidden="1" outlineLevel="1">
      <c r="B26" s="30" t="s">
        <v>706</v>
      </c>
      <c r="C26" s="77" t="s">
        <v>1337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121"/>
      <c r="Q26" s="4"/>
      <c r="R26" s="4"/>
      <c r="S26" s="4"/>
      <c r="T26" s="4"/>
      <c r="U26" s="4"/>
      <c r="V26" s="4"/>
      <c r="W26" s="4"/>
      <c r="X26" s="4"/>
      <c r="Y26" s="1121"/>
      <c r="Z26" s="4"/>
      <c r="AA26" s="4"/>
      <c r="AB26" s="4"/>
      <c r="AC26" s="4"/>
      <c r="AD26" s="4"/>
      <c r="AE26" s="4"/>
      <c r="AF26" s="4"/>
      <c r="AG26" s="4"/>
      <c r="AH26" s="1121"/>
      <c r="AI26" s="4"/>
      <c r="AJ26" s="4"/>
      <c r="AK26" s="4"/>
      <c r="AL26" s="4"/>
      <c r="AM26" s="4"/>
      <c r="AN26" s="4"/>
      <c r="AO26" s="723"/>
      <c r="AP26" s="723"/>
      <c r="AQ26" s="723"/>
      <c r="AR26" s="723"/>
      <c r="AS26" s="723"/>
      <c r="AT26" s="723"/>
      <c r="AU26" s="723"/>
      <c r="AV26" s="723"/>
      <c r="AW26" s="723"/>
      <c r="AX26" s="723"/>
      <c r="AY26" s="723"/>
      <c r="AZ26" s="16"/>
      <c r="BA26" s="16"/>
      <c r="BB26" s="16"/>
      <c r="BC26" s="16"/>
      <c r="BD26" s="16"/>
    </row>
    <row r="27" spans="2:56" ht="12.75" customHeight="1" hidden="1" outlineLevel="1">
      <c r="B27" s="30"/>
      <c r="C27" s="61" t="s">
        <v>1288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121"/>
      <c r="Q27" s="4"/>
      <c r="R27" s="4"/>
      <c r="S27" s="4"/>
      <c r="T27" s="4"/>
      <c r="U27" s="4"/>
      <c r="V27" s="4"/>
      <c r="W27" s="4"/>
      <c r="X27" s="4"/>
      <c r="Y27" s="1121"/>
      <c r="Z27" s="4"/>
      <c r="AA27" s="4"/>
      <c r="AB27" s="4"/>
      <c r="AC27" s="4"/>
      <c r="AD27" s="4"/>
      <c r="AE27" s="4"/>
      <c r="AF27" s="4"/>
      <c r="AG27" s="4"/>
      <c r="AH27" s="1121"/>
      <c r="AI27" s="4"/>
      <c r="AJ27" s="4"/>
      <c r="AK27" s="4"/>
      <c r="AL27" s="4"/>
      <c r="AM27" s="4"/>
      <c r="AN27" s="4"/>
      <c r="AO27" s="723"/>
      <c r="AP27" s="723"/>
      <c r="AQ27" s="723"/>
      <c r="AR27" s="723"/>
      <c r="AS27" s="723"/>
      <c r="AT27" s="723"/>
      <c r="AU27" s="723"/>
      <c r="AV27" s="723"/>
      <c r="AW27" s="723"/>
      <c r="AX27" s="723"/>
      <c r="AY27" s="723"/>
      <c r="AZ27" s="16"/>
      <c r="BA27" s="16"/>
      <c r="BB27" s="16"/>
      <c r="BC27" s="16"/>
      <c r="BD27" s="16"/>
    </row>
    <row r="28" spans="2:56" ht="12.75" customHeight="1" hidden="1" outlineLevel="1">
      <c r="B28" s="30"/>
      <c r="C28" s="61" t="s">
        <v>1289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121"/>
      <c r="Q28" s="4"/>
      <c r="R28" s="4"/>
      <c r="S28" s="4"/>
      <c r="T28" s="4"/>
      <c r="U28" s="4"/>
      <c r="V28" s="4"/>
      <c r="W28" s="4"/>
      <c r="X28" s="4"/>
      <c r="Y28" s="1121"/>
      <c r="Z28" s="4"/>
      <c r="AA28" s="4"/>
      <c r="AB28" s="4"/>
      <c r="AC28" s="4"/>
      <c r="AD28" s="4"/>
      <c r="AE28" s="4"/>
      <c r="AF28" s="4"/>
      <c r="AG28" s="4"/>
      <c r="AH28" s="1121"/>
      <c r="AI28" s="4"/>
      <c r="AJ28" s="4"/>
      <c r="AK28" s="4"/>
      <c r="AL28" s="4"/>
      <c r="AM28" s="4"/>
      <c r="AN28" s="4"/>
      <c r="AO28" s="723"/>
      <c r="AP28" s="723"/>
      <c r="AQ28" s="723"/>
      <c r="AR28" s="723"/>
      <c r="AS28" s="723"/>
      <c r="AT28" s="723"/>
      <c r="AU28" s="723"/>
      <c r="AV28" s="723"/>
      <c r="AW28" s="723"/>
      <c r="AX28" s="723"/>
      <c r="AY28" s="723"/>
      <c r="AZ28" s="16"/>
      <c r="BA28" s="16"/>
      <c r="BB28" s="16"/>
      <c r="BC28" s="16"/>
      <c r="BD28" s="16"/>
    </row>
    <row r="29" spans="2:56" ht="78.75" customHeight="1" hidden="1" outlineLevel="1">
      <c r="B29" s="30" t="s">
        <v>1338</v>
      </c>
      <c r="C29" s="77" t="s">
        <v>1339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121"/>
      <c r="Q29" s="4"/>
      <c r="R29" s="4"/>
      <c r="S29" s="4"/>
      <c r="T29" s="4"/>
      <c r="U29" s="4"/>
      <c r="V29" s="4"/>
      <c r="W29" s="4"/>
      <c r="X29" s="4"/>
      <c r="Y29" s="1121"/>
      <c r="Z29" s="4"/>
      <c r="AA29" s="4"/>
      <c r="AB29" s="4"/>
      <c r="AC29" s="4"/>
      <c r="AD29" s="4"/>
      <c r="AE29" s="4"/>
      <c r="AF29" s="4"/>
      <c r="AG29" s="4"/>
      <c r="AH29" s="1121"/>
      <c r="AI29" s="4"/>
      <c r="AJ29" s="4"/>
      <c r="AK29" s="4"/>
      <c r="AL29" s="4"/>
      <c r="AM29" s="4"/>
      <c r="AN29" s="4"/>
      <c r="AO29" s="723"/>
      <c r="AP29" s="723"/>
      <c r="AQ29" s="723"/>
      <c r="AR29" s="723"/>
      <c r="AS29" s="723"/>
      <c r="AT29" s="723"/>
      <c r="AU29" s="723"/>
      <c r="AV29" s="723"/>
      <c r="AW29" s="723"/>
      <c r="AX29" s="723"/>
      <c r="AY29" s="723"/>
      <c r="AZ29" s="16"/>
      <c r="BA29" s="16"/>
      <c r="BB29" s="16"/>
      <c r="BC29" s="16"/>
      <c r="BD29" s="16"/>
    </row>
    <row r="30" spans="2:56" ht="12.75" customHeight="1" hidden="1" outlineLevel="1">
      <c r="B30" s="30"/>
      <c r="C30" s="61" t="s">
        <v>1288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21"/>
      <c r="Q30" s="4"/>
      <c r="R30" s="4"/>
      <c r="S30" s="4"/>
      <c r="T30" s="4"/>
      <c r="U30" s="4"/>
      <c r="V30" s="4"/>
      <c r="W30" s="4"/>
      <c r="X30" s="4"/>
      <c r="Y30" s="1121"/>
      <c r="Z30" s="4"/>
      <c r="AA30" s="4"/>
      <c r="AB30" s="4"/>
      <c r="AC30" s="4"/>
      <c r="AD30" s="4"/>
      <c r="AE30" s="4"/>
      <c r="AF30" s="4"/>
      <c r="AG30" s="4"/>
      <c r="AH30" s="1121"/>
      <c r="AI30" s="4"/>
      <c r="AJ30" s="4"/>
      <c r="AK30" s="4"/>
      <c r="AL30" s="4"/>
      <c r="AM30" s="4"/>
      <c r="AN30" s="4"/>
      <c r="AO30" s="723"/>
      <c r="AP30" s="723"/>
      <c r="AQ30" s="723"/>
      <c r="AR30" s="723"/>
      <c r="AS30" s="723"/>
      <c r="AT30" s="723"/>
      <c r="AU30" s="723"/>
      <c r="AV30" s="723"/>
      <c r="AW30" s="723"/>
      <c r="AX30" s="723"/>
      <c r="AY30" s="723"/>
      <c r="AZ30" s="16"/>
      <c r="BA30" s="16"/>
      <c r="BB30" s="16"/>
      <c r="BC30" s="16"/>
      <c r="BD30" s="16"/>
    </row>
    <row r="31" spans="2:56" ht="12.75" customHeight="1" hidden="1" outlineLevel="1">
      <c r="B31" s="30"/>
      <c r="C31" s="61" t="s">
        <v>1289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21"/>
      <c r="Q31" s="4"/>
      <c r="R31" s="4"/>
      <c r="S31" s="4"/>
      <c r="T31" s="4"/>
      <c r="U31" s="4"/>
      <c r="V31" s="4"/>
      <c r="W31" s="4"/>
      <c r="X31" s="4"/>
      <c r="Y31" s="1121"/>
      <c r="Z31" s="4"/>
      <c r="AA31" s="4"/>
      <c r="AB31" s="4"/>
      <c r="AC31" s="4"/>
      <c r="AD31" s="4"/>
      <c r="AE31" s="4"/>
      <c r="AF31" s="4"/>
      <c r="AG31" s="4"/>
      <c r="AH31" s="1121"/>
      <c r="AI31" s="4"/>
      <c r="AJ31" s="4"/>
      <c r="AK31" s="4"/>
      <c r="AL31" s="4"/>
      <c r="AM31" s="4"/>
      <c r="AN31" s="4"/>
      <c r="AO31" s="723"/>
      <c r="AP31" s="723"/>
      <c r="AQ31" s="723"/>
      <c r="AR31" s="723"/>
      <c r="AS31" s="723"/>
      <c r="AT31" s="723"/>
      <c r="AU31" s="723"/>
      <c r="AV31" s="723"/>
      <c r="AW31" s="723"/>
      <c r="AX31" s="723"/>
      <c r="AY31" s="723"/>
      <c r="AZ31" s="16"/>
      <c r="BA31" s="16"/>
      <c r="BB31" s="16"/>
      <c r="BC31" s="16"/>
      <c r="BD31" s="16"/>
    </row>
    <row r="32" spans="2:56" ht="39" collapsed="1">
      <c r="B32" s="47" t="s">
        <v>1666</v>
      </c>
      <c r="C32" s="26" t="s">
        <v>263</v>
      </c>
      <c r="D32" s="675" t="e">
        <f>#REF!/'[2]4.1'!M30</f>
        <v>#REF!</v>
      </c>
      <c r="E32" s="675"/>
      <c r="F32" s="675"/>
      <c r="G32" s="675" t="e">
        <f>#REF!/'[2]4.1'!L30</f>
        <v>#REF!</v>
      </c>
      <c r="H32" s="675"/>
      <c r="I32" s="675"/>
      <c r="J32" s="675">
        <v>13162.45</v>
      </c>
      <c r="K32" s="675"/>
      <c r="L32" s="675"/>
      <c r="M32" s="675">
        <f>'4.6 Смета'!H126</f>
        <v>16501.821042216212</v>
      </c>
      <c r="N32" s="675"/>
      <c r="O32" s="675"/>
      <c r="P32" s="2027">
        <f>'4.6 Смета'!I126</f>
        <v>17621.91943857015</v>
      </c>
      <c r="Q32" s="675"/>
      <c r="R32" s="675"/>
      <c r="S32" s="675">
        <f>'4.6 Смета'!J126</f>
        <v>15319.10678297905</v>
      </c>
      <c r="T32" s="675"/>
      <c r="U32" s="675"/>
      <c r="V32" s="675">
        <f>'4.6 Смета'!K126</f>
        <v>21087.907013156237</v>
      </c>
      <c r="X32" s="675"/>
      <c r="Y32" s="2027">
        <f>'4.6 Смета'!L126</f>
        <v>17638.253827714572</v>
      </c>
      <c r="Z32" s="675"/>
      <c r="AA32" s="675"/>
      <c r="AB32" s="675">
        <f>'4.6 Смета'!M126</f>
        <v>15441.787512417182</v>
      </c>
      <c r="AC32" s="675"/>
      <c r="AD32" s="675"/>
      <c r="AE32" s="675">
        <f>'4.6 Смета'!N126</f>
        <v>20912.749771156872</v>
      </c>
      <c r="AF32" s="675"/>
      <c r="AG32" s="675"/>
      <c r="AH32" s="2027">
        <f>'4.6 Смета'!O126</f>
        <v>18580.33727583827</v>
      </c>
      <c r="AI32" s="675"/>
      <c r="AJ32" s="675"/>
      <c r="AK32" s="675">
        <f>'4.6 Смета'!P126</f>
        <v>16384.913984449584</v>
      </c>
      <c r="AL32" s="675"/>
      <c r="AM32" s="675"/>
      <c r="AN32" s="675">
        <f>'4.6 Смета'!Q126</f>
        <v>21837.04203279212</v>
      </c>
      <c r="AO32" s="724"/>
      <c r="AP32" s="724"/>
      <c r="AQ32" s="724"/>
      <c r="AR32" s="724"/>
      <c r="AS32" s="724"/>
      <c r="AT32" s="724"/>
      <c r="AU32" s="724"/>
      <c r="AV32" s="724"/>
      <c r="AW32" s="724"/>
      <c r="AX32" s="724"/>
      <c r="AY32" s="724"/>
      <c r="AZ32" s="16"/>
      <c r="BA32" s="16"/>
      <c r="BB32" s="16"/>
      <c r="BC32" s="16"/>
      <c r="BD32" s="16"/>
    </row>
    <row r="33" spans="2:56" ht="52.5" outlineLevel="1">
      <c r="B33" s="30" t="s">
        <v>1668</v>
      </c>
      <c r="C33" s="77" t="s">
        <v>1334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121"/>
      <c r="Q33" s="4"/>
      <c r="R33" s="4"/>
      <c r="S33" s="4"/>
      <c r="T33" s="4"/>
      <c r="U33" s="4"/>
      <c r="V33" s="4"/>
      <c r="W33" s="4"/>
      <c r="X33" s="4"/>
      <c r="Y33" s="1121"/>
      <c r="Z33" s="4"/>
      <c r="AA33" s="4"/>
      <c r="AB33" s="4"/>
      <c r="AC33" s="4"/>
      <c r="AD33" s="4"/>
      <c r="AE33" s="4"/>
      <c r="AF33" s="4"/>
      <c r="AG33" s="4"/>
      <c r="AH33" s="1121"/>
      <c r="AI33" s="4"/>
      <c r="AJ33" s="4"/>
      <c r="AK33" s="4"/>
      <c r="AL33" s="4"/>
      <c r="AM33" s="4"/>
      <c r="AN33" s="4"/>
      <c r="AO33" s="723"/>
      <c r="AP33" s="723"/>
      <c r="AQ33" s="723"/>
      <c r="AR33" s="723"/>
      <c r="AS33" s="723"/>
      <c r="AT33" s="723"/>
      <c r="AU33" s="723"/>
      <c r="AV33" s="723"/>
      <c r="AW33" s="723"/>
      <c r="AX33" s="723"/>
      <c r="AY33" s="723"/>
      <c r="AZ33" s="16"/>
      <c r="BA33" s="16"/>
      <c r="BB33" s="16"/>
      <c r="BC33" s="16"/>
      <c r="BD33" s="16"/>
    </row>
    <row r="34" spans="2:56" ht="26.25" outlineLevel="1">
      <c r="B34" s="30" t="s">
        <v>936</v>
      </c>
      <c r="C34" s="77" t="s">
        <v>261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121"/>
      <c r="Q34" s="4"/>
      <c r="R34" s="4"/>
      <c r="S34" s="4"/>
      <c r="T34" s="4"/>
      <c r="U34" s="4"/>
      <c r="V34" s="4"/>
      <c r="W34" s="4"/>
      <c r="X34" s="4"/>
      <c r="Y34" s="1121"/>
      <c r="Z34" s="4"/>
      <c r="AA34" s="4"/>
      <c r="AB34" s="4"/>
      <c r="AC34" s="4"/>
      <c r="AD34" s="4"/>
      <c r="AE34" s="4"/>
      <c r="AF34" s="4"/>
      <c r="AG34" s="4"/>
      <c r="AH34" s="1121"/>
      <c r="AI34" s="4"/>
      <c r="AJ34" s="4"/>
      <c r="AK34" s="4"/>
      <c r="AL34" s="4"/>
      <c r="AM34" s="4"/>
      <c r="AN34" s="4"/>
      <c r="AO34" s="723"/>
      <c r="AP34" s="723"/>
      <c r="AQ34" s="723"/>
      <c r="AR34" s="723"/>
      <c r="AS34" s="723"/>
      <c r="AT34" s="723"/>
      <c r="AU34" s="723"/>
      <c r="AV34" s="723"/>
      <c r="AW34" s="723"/>
      <c r="AX34" s="723"/>
      <c r="AY34" s="723"/>
      <c r="AZ34" s="16"/>
      <c r="BA34" s="16"/>
      <c r="BB34" s="16"/>
      <c r="BC34" s="16"/>
      <c r="BD34" s="16"/>
    </row>
    <row r="35" spans="2:56" ht="26.25" outlineLevel="1">
      <c r="B35" s="30" t="s">
        <v>1340</v>
      </c>
      <c r="C35" s="77" t="s">
        <v>1332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121"/>
      <c r="Q35" s="4"/>
      <c r="R35" s="4"/>
      <c r="S35" s="4"/>
      <c r="T35" s="4"/>
      <c r="U35" s="4"/>
      <c r="V35" s="4"/>
      <c r="W35" s="4"/>
      <c r="X35" s="4"/>
      <c r="Y35" s="1121"/>
      <c r="Z35" s="4"/>
      <c r="AA35" s="4"/>
      <c r="AB35" s="4"/>
      <c r="AC35" s="4"/>
      <c r="AD35" s="4"/>
      <c r="AE35" s="4"/>
      <c r="AF35" s="4"/>
      <c r="AG35" s="4"/>
      <c r="AH35" s="1121"/>
      <c r="AI35" s="4"/>
      <c r="AJ35" s="4"/>
      <c r="AK35" s="4"/>
      <c r="AL35" s="4"/>
      <c r="AM35" s="4"/>
      <c r="AN35" s="4"/>
      <c r="AO35" s="723"/>
      <c r="AP35" s="723"/>
      <c r="AQ35" s="723"/>
      <c r="AR35" s="723"/>
      <c r="AS35" s="723"/>
      <c r="AT35" s="723"/>
      <c r="AU35" s="723"/>
      <c r="AV35" s="723"/>
      <c r="AW35" s="723"/>
      <c r="AX35" s="723"/>
      <c r="AY35" s="723"/>
      <c r="AZ35" s="16"/>
      <c r="BA35" s="16"/>
      <c r="BB35" s="16"/>
      <c r="BC35" s="16"/>
      <c r="BD35" s="16"/>
    </row>
    <row r="36" spans="1:56" ht="21" customHeight="1" outlineLevel="1">
      <c r="A36" s="210">
        <v>1</v>
      </c>
      <c r="B36" s="30"/>
      <c r="C36" s="61" t="s">
        <v>1288</v>
      </c>
      <c r="D36" s="676" t="e">
        <f>D32</f>
        <v>#REF!</v>
      </c>
      <c r="E36" s="676"/>
      <c r="F36" s="676"/>
      <c r="G36" s="676" t="e">
        <f>G32</f>
        <v>#REF!</v>
      </c>
      <c r="H36" s="676"/>
      <c r="I36" s="676"/>
      <c r="J36" s="676">
        <f>J32</f>
        <v>13162.45</v>
      </c>
      <c r="K36" s="676"/>
      <c r="L36" s="676"/>
      <c r="M36" s="676">
        <f aca="true" t="shared" si="0" ref="M36:AN36">M32</f>
        <v>16501.821042216212</v>
      </c>
      <c r="N36" s="676">
        <f t="shared" si="0"/>
        <v>0</v>
      </c>
      <c r="O36" s="676">
        <f t="shared" si="0"/>
        <v>0</v>
      </c>
      <c r="P36" s="2028">
        <f t="shared" si="0"/>
        <v>17621.91943857015</v>
      </c>
      <c r="Q36" s="676">
        <f t="shared" si="0"/>
        <v>0</v>
      </c>
      <c r="R36" s="676">
        <f t="shared" si="0"/>
        <v>0</v>
      </c>
      <c r="S36" s="676">
        <f t="shared" si="0"/>
        <v>15319.10678297905</v>
      </c>
      <c r="T36" s="676">
        <f t="shared" si="0"/>
        <v>0</v>
      </c>
      <c r="U36" s="676">
        <f t="shared" si="0"/>
        <v>0</v>
      </c>
      <c r="V36" s="676">
        <f t="shared" si="0"/>
        <v>21087.907013156237</v>
      </c>
      <c r="W36" s="676">
        <f t="shared" si="0"/>
        <v>0</v>
      </c>
      <c r="X36" s="676">
        <f t="shared" si="0"/>
        <v>0</v>
      </c>
      <c r="Y36" s="2028">
        <f t="shared" si="0"/>
        <v>17638.253827714572</v>
      </c>
      <c r="Z36" s="676">
        <f t="shared" si="0"/>
        <v>0</v>
      </c>
      <c r="AA36" s="676">
        <f t="shared" si="0"/>
        <v>0</v>
      </c>
      <c r="AB36" s="676">
        <f t="shared" si="0"/>
        <v>15441.787512417182</v>
      </c>
      <c r="AC36" s="676">
        <f t="shared" si="0"/>
        <v>0</v>
      </c>
      <c r="AD36" s="676">
        <f t="shared" si="0"/>
        <v>0</v>
      </c>
      <c r="AE36" s="676">
        <f t="shared" si="0"/>
        <v>20912.749771156872</v>
      </c>
      <c r="AF36" s="676">
        <f t="shared" si="0"/>
        <v>0</v>
      </c>
      <c r="AG36" s="676">
        <f t="shared" si="0"/>
        <v>0</v>
      </c>
      <c r="AH36" s="2028">
        <f t="shared" si="0"/>
        <v>18580.33727583827</v>
      </c>
      <c r="AI36" s="676">
        <f t="shared" si="0"/>
        <v>0</v>
      </c>
      <c r="AJ36" s="676">
        <f t="shared" si="0"/>
        <v>0</v>
      </c>
      <c r="AK36" s="676">
        <f t="shared" si="0"/>
        <v>16384.913984449584</v>
      </c>
      <c r="AL36" s="676">
        <f t="shared" si="0"/>
        <v>0</v>
      </c>
      <c r="AM36" s="676">
        <f t="shared" si="0"/>
        <v>0</v>
      </c>
      <c r="AN36" s="676">
        <f t="shared" si="0"/>
        <v>21837.04203279212</v>
      </c>
      <c r="AO36" s="725"/>
      <c r="AP36" s="725"/>
      <c r="AQ36" s="725"/>
      <c r="AR36" s="725"/>
      <c r="AS36" s="725"/>
      <c r="AT36" s="725"/>
      <c r="AU36" s="725"/>
      <c r="AV36" s="725"/>
      <c r="AW36" s="725"/>
      <c r="AX36" s="725"/>
      <c r="AY36" s="725"/>
      <c r="AZ36" s="16"/>
      <c r="BA36" s="16"/>
      <c r="BB36" s="16"/>
      <c r="BC36" s="16"/>
      <c r="BD36" s="16"/>
    </row>
    <row r="37" spans="2:56" ht="26.25" hidden="1" outlineLevel="1">
      <c r="B37" s="30"/>
      <c r="C37" s="61" t="s">
        <v>771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121"/>
      <c r="Q37" s="4"/>
      <c r="R37" s="4"/>
      <c r="S37" s="4"/>
      <c r="T37" s="4"/>
      <c r="U37" s="4"/>
      <c r="V37" s="4"/>
      <c r="W37" s="4"/>
      <c r="X37" s="4"/>
      <c r="Y37" s="1121"/>
      <c r="Z37" s="4"/>
      <c r="AA37" s="4"/>
      <c r="AB37" s="4"/>
      <c r="AC37" s="4"/>
      <c r="AD37" s="4"/>
      <c r="AE37" s="4"/>
      <c r="AF37" s="4"/>
      <c r="AG37" s="4"/>
      <c r="AH37" s="1121"/>
      <c r="AI37" s="4"/>
      <c r="AJ37" s="4"/>
      <c r="AK37" s="4"/>
      <c r="AL37" s="4"/>
      <c r="AM37" s="4"/>
      <c r="AN37" s="4"/>
      <c r="AO37" s="723"/>
      <c r="AP37" s="723"/>
      <c r="AQ37" s="723"/>
      <c r="AR37" s="723"/>
      <c r="AS37" s="723"/>
      <c r="AT37" s="723"/>
      <c r="AU37" s="723"/>
      <c r="AV37" s="723"/>
      <c r="AW37" s="723"/>
      <c r="AX37" s="723"/>
      <c r="AY37" s="723"/>
      <c r="AZ37" s="16"/>
      <c r="BA37" s="16"/>
      <c r="BB37" s="16"/>
      <c r="BC37" s="16"/>
      <c r="BD37" s="16"/>
    </row>
    <row r="38" spans="2:56" ht="26.25" hidden="1" outlineLevel="1">
      <c r="B38" s="30"/>
      <c r="C38" s="61" t="s">
        <v>772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121"/>
      <c r="Q38" s="4"/>
      <c r="R38" s="4"/>
      <c r="S38" s="4"/>
      <c r="T38" s="4"/>
      <c r="U38" s="4"/>
      <c r="V38" s="4"/>
      <c r="W38" s="4"/>
      <c r="X38" s="4"/>
      <c r="Y38" s="1121"/>
      <c r="Z38" s="4"/>
      <c r="AA38" s="4"/>
      <c r="AB38" s="4"/>
      <c r="AC38" s="4"/>
      <c r="AD38" s="4"/>
      <c r="AE38" s="4"/>
      <c r="AF38" s="4"/>
      <c r="AG38" s="4"/>
      <c r="AH38" s="1121"/>
      <c r="AI38" s="4"/>
      <c r="AJ38" s="4"/>
      <c r="AK38" s="4"/>
      <c r="AL38" s="4"/>
      <c r="AM38" s="4"/>
      <c r="AN38" s="4"/>
      <c r="AO38" s="723"/>
      <c r="AP38" s="723"/>
      <c r="AQ38" s="723"/>
      <c r="AR38" s="723"/>
      <c r="AS38" s="723"/>
      <c r="AT38" s="723"/>
      <c r="AU38" s="723"/>
      <c r="AV38" s="723"/>
      <c r="AW38" s="723"/>
      <c r="AX38" s="723"/>
      <c r="AY38" s="723"/>
      <c r="AZ38" s="16"/>
      <c r="BA38" s="16"/>
      <c r="BB38" s="16"/>
      <c r="BC38" s="16"/>
      <c r="BD38" s="16"/>
    </row>
    <row r="39" spans="2:56" ht="26.25" hidden="1" outlineLevel="1">
      <c r="B39" s="30"/>
      <c r="C39" s="61" t="s">
        <v>773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121"/>
      <c r="Q39" s="4"/>
      <c r="R39" s="4"/>
      <c r="S39" s="4"/>
      <c r="T39" s="4"/>
      <c r="U39" s="4"/>
      <c r="V39" s="4"/>
      <c r="W39" s="4"/>
      <c r="X39" s="4"/>
      <c r="Y39" s="1121"/>
      <c r="Z39" s="4"/>
      <c r="AA39" s="4"/>
      <c r="AB39" s="4"/>
      <c r="AC39" s="4"/>
      <c r="AD39" s="4"/>
      <c r="AE39" s="4"/>
      <c r="AF39" s="4"/>
      <c r="AG39" s="4"/>
      <c r="AH39" s="1121"/>
      <c r="AI39" s="4"/>
      <c r="AJ39" s="4"/>
      <c r="AK39" s="4"/>
      <c r="AL39" s="4"/>
      <c r="AM39" s="4"/>
      <c r="AN39" s="4"/>
      <c r="AO39" s="723"/>
      <c r="AP39" s="723"/>
      <c r="AQ39" s="723"/>
      <c r="AR39" s="723"/>
      <c r="AS39" s="723"/>
      <c r="AT39" s="723"/>
      <c r="AU39" s="723"/>
      <c r="AV39" s="723"/>
      <c r="AW39" s="723"/>
      <c r="AX39" s="723"/>
      <c r="AY39" s="723"/>
      <c r="AZ39" s="16"/>
      <c r="BA39" s="16"/>
      <c r="BB39" s="16"/>
      <c r="BC39" s="16"/>
      <c r="BD39" s="16"/>
    </row>
    <row r="40" spans="2:56" ht="26.25" hidden="1" outlineLevel="1">
      <c r="B40" s="30"/>
      <c r="C40" s="61" t="s">
        <v>774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121"/>
      <c r="Q40" s="4"/>
      <c r="R40" s="4"/>
      <c r="S40" s="4"/>
      <c r="T40" s="4"/>
      <c r="U40" s="4"/>
      <c r="V40" s="4"/>
      <c r="W40" s="4"/>
      <c r="X40" s="4"/>
      <c r="Y40" s="1121"/>
      <c r="Z40" s="4"/>
      <c r="AA40" s="4"/>
      <c r="AB40" s="4"/>
      <c r="AC40" s="4"/>
      <c r="AD40" s="4"/>
      <c r="AE40" s="4"/>
      <c r="AF40" s="4"/>
      <c r="AG40" s="4"/>
      <c r="AH40" s="1121"/>
      <c r="AI40" s="4"/>
      <c r="AJ40" s="4"/>
      <c r="AK40" s="4"/>
      <c r="AL40" s="4"/>
      <c r="AM40" s="4"/>
      <c r="AN40" s="4"/>
      <c r="AO40" s="723"/>
      <c r="AP40" s="723"/>
      <c r="AQ40" s="723"/>
      <c r="AR40" s="723"/>
      <c r="AS40" s="723"/>
      <c r="AT40" s="723"/>
      <c r="AU40" s="723"/>
      <c r="AV40" s="723"/>
      <c r="AW40" s="723"/>
      <c r="AX40" s="723"/>
      <c r="AY40" s="723"/>
      <c r="AZ40" s="16"/>
      <c r="BA40" s="16"/>
      <c r="BB40" s="16"/>
      <c r="BC40" s="16"/>
      <c r="BD40" s="16"/>
    </row>
    <row r="41" spans="2:56" ht="26.25" hidden="1" outlineLevel="1">
      <c r="B41" s="30"/>
      <c r="C41" s="61" t="s">
        <v>201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121"/>
      <c r="Q41" s="4"/>
      <c r="R41" s="4"/>
      <c r="S41" s="4"/>
      <c r="T41" s="4"/>
      <c r="U41" s="4"/>
      <c r="V41" s="4"/>
      <c r="W41" s="4"/>
      <c r="X41" s="4"/>
      <c r="Y41" s="1121"/>
      <c r="Z41" s="4"/>
      <c r="AA41" s="4"/>
      <c r="AB41" s="4"/>
      <c r="AC41" s="4"/>
      <c r="AD41" s="4"/>
      <c r="AE41" s="4"/>
      <c r="AF41" s="4"/>
      <c r="AG41" s="4"/>
      <c r="AH41" s="1121"/>
      <c r="AI41" s="4"/>
      <c r="AJ41" s="4"/>
      <c r="AK41" s="4"/>
      <c r="AL41" s="4"/>
      <c r="AM41" s="4"/>
      <c r="AN41" s="4"/>
      <c r="AO41" s="723"/>
      <c r="AP41" s="723"/>
      <c r="AQ41" s="723"/>
      <c r="AR41" s="723"/>
      <c r="AS41" s="723"/>
      <c r="AT41" s="723"/>
      <c r="AU41" s="723"/>
      <c r="AV41" s="723"/>
      <c r="AW41" s="723"/>
      <c r="AX41" s="723"/>
      <c r="AY41" s="723"/>
      <c r="AZ41" s="16"/>
      <c r="BA41" s="16"/>
      <c r="BB41" s="16"/>
      <c r="BC41" s="16"/>
      <c r="BD41" s="16"/>
    </row>
    <row r="42" spans="2:56" ht="52.5" hidden="1">
      <c r="B42" s="30" t="s">
        <v>1669</v>
      </c>
      <c r="C42" s="77" t="s">
        <v>1336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121"/>
      <c r="Q42" s="4"/>
      <c r="R42" s="4"/>
      <c r="S42" s="4"/>
      <c r="T42" s="4"/>
      <c r="U42" s="4"/>
      <c r="V42" s="4"/>
      <c r="W42" s="4"/>
      <c r="X42" s="4"/>
      <c r="Y42" s="1121"/>
      <c r="Z42" s="4"/>
      <c r="AA42" s="4"/>
      <c r="AB42" s="4"/>
      <c r="AC42" s="4"/>
      <c r="AD42" s="4"/>
      <c r="AE42" s="4"/>
      <c r="AF42" s="4"/>
      <c r="AG42" s="4"/>
      <c r="AH42" s="1121"/>
      <c r="AI42" s="4"/>
      <c r="AJ42" s="4"/>
      <c r="AK42" s="4"/>
      <c r="AL42" s="4"/>
      <c r="AM42" s="4"/>
      <c r="AN42" s="4"/>
      <c r="AO42" s="723"/>
      <c r="AP42" s="723"/>
      <c r="AQ42" s="723"/>
      <c r="AR42" s="723"/>
      <c r="AS42" s="723"/>
      <c r="AT42" s="723"/>
      <c r="AU42" s="723"/>
      <c r="AV42" s="723"/>
      <c r="AW42" s="723"/>
      <c r="AX42" s="723"/>
      <c r="AY42" s="723"/>
      <c r="AZ42" s="16"/>
      <c r="BA42" s="16"/>
      <c r="BB42" s="16"/>
      <c r="BC42" s="16"/>
      <c r="BD42" s="16"/>
    </row>
    <row r="43" spans="2:56" ht="78.75" customHeight="1" hidden="1" outlineLevel="1">
      <c r="B43" s="30" t="s">
        <v>264</v>
      </c>
      <c r="C43" s="77" t="s">
        <v>1337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121"/>
      <c r="Q43" s="4"/>
      <c r="R43" s="4"/>
      <c r="S43" s="4"/>
      <c r="T43" s="4"/>
      <c r="U43" s="4"/>
      <c r="V43" s="4"/>
      <c r="W43" s="4"/>
      <c r="X43" s="4"/>
      <c r="Y43" s="1121"/>
      <c r="Z43" s="4"/>
      <c r="AA43" s="4"/>
      <c r="AB43" s="4"/>
      <c r="AC43" s="4"/>
      <c r="AD43" s="4"/>
      <c r="AE43" s="4"/>
      <c r="AF43" s="4"/>
      <c r="AG43" s="4"/>
      <c r="AH43" s="1121"/>
      <c r="AI43" s="4"/>
      <c r="AJ43" s="4"/>
      <c r="AK43" s="4"/>
      <c r="AL43" s="4"/>
      <c r="AM43" s="4"/>
      <c r="AN43" s="4"/>
      <c r="AO43" s="723"/>
      <c r="AP43" s="723"/>
      <c r="AQ43" s="723"/>
      <c r="AR43" s="723"/>
      <c r="AS43" s="723"/>
      <c r="AT43" s="723"/>
      <c r="AU43" s="723"/>
      <c r="AV43" s="723"/>
      <c r="AW43" s="723"/>
      <c r="AX43" s="723"/>
      <c r="AY43" s="723"/>
      <c r="AZ43" s="16"/>
      <c r="BA43" s="16"/>
      <c r="BB43" s="16"/>
      <c r="BC43" s="16"/>
      <c r="BD43" s="16"/>
    </row>
    <row r="44" spans="2:56" ht="26.25" customHeight="1" hidden="1" outlineLevel="1">
      <c r="B44" s="30"/>
      <c r="C44" s="77" t="s">
        <v>261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121"/>
      <c r="Q44" s="4"/>
      <c r="R44" s="4"/>
      <c r="S44" s="4"/>
      <c r="T44" s="4"/>
      <c r="U44" s="4"/>
      <c r="V44" s="4"/>
      <c r="W44" s="4"/>
      <c r="X44" s="4"/>
      <c r="Y44" s="1121"/>
      <c r="Z44" s="4"/>
      <c r="AA44" s="4"/>
      <c r="AB44" s="4"/>
      <c r="AC44" s="4"/>
      <c r="AD44" s="4"/>
      <c r="AE44" s="4"/>
      <c r="AF44" s="4"/>
      <c r="AG44" s="4"/>
      <c r="AH44" s="1121"/>
      <c r="AI44" s="4"/>
      <c r="AJ44" s="4"/>
      <c r="AK44" s="4"/>
      <c r="AL44" s="4"/>
      <c r="AM44" s="4"/>
      <c r="AN44" s="4"/>
      <c r="AO44" s="723"/>
      <c r="AP44" s="723"/>
      <c r="AQ44" s="723"/>
      <c r="AR44" s="723"/>
      <c r="AS44" s="723"/>
      <c r="AT44" s="723"/>
      <c r="AU44" s="723"/>
      <c r="AV44" s="723"/>
      <c r="AW44" s="723"/>
      <c r="AX44" s="723"/>
      <c r="AY44" s="723"/>
      <c r="AZ44" s="16"/>
      <c r="BA44" s="16"/>
      <c r="BB44" s="16"/>
      <c r="BC44" s="16"/>
      <c r="BD44" s="16"/>
    </row>
    <row r="45" spans="2:56" ht="26.25" customHeight="1" hidden="1" outlineLevel="1">
      <c r="B45" s="30"/>
      <c r="C45" s="77" t="s">
        <v>1332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121"/>
      <c r="Q45" s="4"/>
      <c r="R45" s="4"/>
      <c r="S45" s="4"/>
      <c r="T45" s="4"/>
      <c r="U45" s="4"/>
      <c r="V45" s="4"/>
      <c r="W45" s="4"/>
      <c r="X45" s="4"/>
      <c r="Y45" s="1121"/>
      <c r="Z45" s="4"/>
      <c r="AA45" s="4"/>
      <c r="AB45" s="4"/>
      <c r="AC45" s="4"/>
      <c r="AD45" s="4"/>
      <c r="AE45" s="4"/>
      <c r="AF45" s="4"/>
      <c r="AG45" s="4"/>
      <c r="AH45" s="1121"/>
      <c r="AI45" s="4"/>
      <c r="AJ45" s="4"/>
      <c r="AK45" s="4"/>
      <c r="AL45" s="4"/>
      <c r="AM45" s="4"/>
      <c r="AN45" s="4"/>
      <c r="AO45" s="723"/>
      <c r="AP45" s="723"/>
      <c r="AQ45" s="723"/>
      <c r="AR45" s="723"/>
      <c r="AS45" s="723"/>
      <c r="AT45" s="723"/>
      <c r="AU45" s="723"/>
      <c r="AV45" s="723"/>
      <c r="AW45" s="723"/>
      <c r="AX45" s="723"/>
      <c r="AY45" s="723"/>
      <c r="AZ45" s="16"/>
      <c r="BA45" s="16"/>
      <c r="BB45" s="16"/>
      <c r="BC45" s="16"/>
      <c r="BD45" s="16"/>
    </row>
    <row r="46" spans="2:56" ht="12.75" customHeight="1" hidden="1" outlineLevel="1">
      <c r="B46" s="30"/>
      <c r="C46" s="61" t="s">
        <v>1288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121"/>
      <c r="Q46" s="4"/>
      <c r="R46" s="4"/>
      <c r="S46" s="4"/>
      <c r="T46" s="4"/>
      <c r="U46" s="4"/>
      <c r="V46" s="4"/>
      <c r="W46" s="4"/>
      <c r="X46" s="4"/>
      <c r="Y46" s="1121"/>
      <c r="Z46" s="4"/>
      <c r="AA46" s="4"/>
      <c r="AB46" s="4"/>
      <c r="AC46" s="4"/>
      <c r="AD46" s="4"/>
      <c r="AE46" s="4"/>
      <c r="AF46" s="4"/>
      <c r="AG46" s="4"/>
      <c r="AH46" s="1121"/>
      <c r="AI46" s="4"/>
      <c r="AJ46" s="4"/>
      <c r="AK46" s="4"/>
      <c r="AL46" s="4"/>
      <c r="AM46" s="4"/>
      <c r="AN46" s="4"/>
      <c r="AO46" s="723"/>
      <c r="AP46" s="723"/>
      <c r="AQ46" s="723"/>
      <c r="AR46" s="723"/>
      <c r="AS46" s="723"/>
      <c r="AT46" s="723"/>
      <c r="AU46" s="723"/>
      <c r="AV46" s="723"/>
      <c r="AW46" s="723"/>
      <c r="AX46" s="723"/>
      <c r="AY46" s="723"/>
      <c r="AZ46" s="16"/>
      <c r="BA46" s="16"/>
      <c r="BB46" s="16"/>
      <c r="BC46" s="16"/>
      <c r="BD46" s="16"/>
    </row>
    <row r="47" spans="2:56" ht="26.25" customHeight="1" hidden="1" outlineLevel="1">
      <c r="B47" s="30"/>
      <c r="C47" s="61" t="s">
        <v>771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121"/>
      <c r="Q47" s="4"/>
      <c r="R47" s="4"/>
      <c r="S47" s="4"/>
      <c r="T47" s="4"/>
      <c r="U47" s="4"/>
      <c r="V47" s="4"/>
      <c r="W47" s="4"/>
      <c r="X47" s="4"/>
      <c r="Y47" s="1121"/>
      <c r="Z47" s="4"/>
      <c r="AA47" s="4"/>
      <c r="AB47" s="4"/>
      <c r="AC47" s="4"/>
      <c r="AD47" s="4"/>
      <c r="AE47" s="4"/>
      <c r="AF47" s="4"/>
      <c r="AG47" s="4"/>
      <c r="AH47" s="1121"/>
      <c r="AI47" s="4"/>
      <c r="AJ47" s="4"/>
      <c r="AK47" s="4"/>
      <c r="AL47" s="4"/>
      <c r="AM47" s="4"/>
      <c r="AN47" s="4"/>
      <c r="AO47" s="723"/>
      <c r="AP47" s="723"/>
      <c r="AQ47" s="723"/>
      <c r="AR47" s="723"/>
      <c r="AS47" s="723"/>
      <c r="AT47" s="723"/>
      <c r="AU47" s="723"/>
      <c r="AV47" s="723"/>
      <c r="AW47" s="723"/>
      <c r="AX47" s="723"/>
      <c r="AY47" s="723"/>
      <c r="AZ47" s="16"/>
      <c r="BA47" s="16"/>
      <c r="BB47" s="16"/>
      <c r="BC47" s="16"/>
      <c r="BD47" s="16"/>
    </row>
    <row r="48" spans="2:56" ht="26.25" customHeight="1" hidden="1" outlineLevel="1">
      <c r="B48" s="30"/>
      <c r="C48" s="61" t="s">
        <v>772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121"/>
      <c r="Q48" s="4"/>
      <c r="R48" s="4"/>
      <c r="S48" s="4"/>
      <c r="T48" s="4"/>
      <c r="U48" s="4"/>
      <c r="V48" s="4"/>
      <c r="W48" s="4"/>
      <c r="X48" s="4"/>
      <c r="Y48" s="1121"/>
      <c r="Z48" s="4"/>
      <c r="AA48" s="4"/>
      <c r="AB48" s="4"/>
      <c r="AC48" s="4"/>
      <c r="AD48" s="4"/>
      <c r="AE48" s="4"/>
      <c r="AF48" s="4"/>
      <c r="AG48" s="4"/>
      <c r="AH48" s="1121"/>
      <c r="AI48" s="4"/>
      <c r="AJ48" s="4"/>
      <c r="AK48" s="4"/>
      <c r="AL48" s="4"/>
      <c r="AM48" s="4"/>
      <c r="AN48" s="4"/>
      <c r="AO48" s="723"/>
      <c r="AP48" s="723"/>
      <c r="AQ48" s="723"/>
      <c r="AR48" s="723"/>
      <c r="AS48" s="723"/>
      <c r="AT48" s="723"/>
      <c r="AU48" s="723"/>
      <c r="AV48" s="723"/>
      <c r="AW48" s="723"/>
      <c r="AX48" s="723"/>
      <c r="AY48" s="723"/>
      <c r="AZ48" s="16"/>
      <c r="BA48" s="16"/>
      <c r="BB48" s="16"/>
      <c r="BC48" s="16"/>
      <c r="BD48" s="16"/>
    </row>
    <row r="49" spans="2:56" ht="26.25" customHeight="1" hidden="1" outlineLevel="1">
      <c r="B49" s="30"/>
      <c r="C49" s="61" t="s">
        <v>773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121"/>
      <c r="Q49" s="4"/>
      <c r="R49" s="4"/>
      <c r="S49" s="4"/>
      <c r="T49" s="4"/>
      <c r="U49" s="4"/>
      <c r="V49" s="4"/>
      <c r="W49" s="4"/>
      <c r="X49" s="4"/>
      <c r="Y49" s="1121"/>
      <c r="Z49" s="4"/>
      <c r="AA49" s="4"/>
      <c r="AB49" s="4"/>
      <c r="AC49" s="4"/>
      <c r="AD49" s="4"/>
      <c r="AE49" s="4"/>
      <c r="AF49" s="4"/>
      <c r="AG49" s="4"/>
      <c r="AH49" s="1121"/>
      <c r="AI49" s="4"/>
      <c r="AJ49" s="4"/>
      <c r="AK49" s="4"/>
      <c r="AL49" s="4"/>
      <c r="AM49" s="4"/>
      <c r="AN49" s="4"/>
      <c r="AO49" s="723"/>
      <c r="AP49" s="723"/>
      <c r="AQ49" s="723"/>
      <c r="AR49" s="723"/>
      <c r="AS49" s="723"/>
      <c r="AT49" s="723"/>
      <c r="AU49" s="723"/>
      <c r="AV49" s="723"/>
      <c r="AW49" s="723"/>
      <c r="AX49" s="723"/>
      <c r="AY49" s="723"/>
      <c r="AZ49" s="16"/>
      <c r="BA49" s="16"/>
      <c r="BB49" s="16"/>
      <c r="BC49" s="16"/>
      <c r="BD49" s="16"/>
    </row>
    <row r="50" spans="2:56" ht="26.25" customHeight="1" hidden="1" outlineLevel="1">
      <c r="B50" s="30"/>
      <c r="C50" s="61" t="s">
        <v>774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121"/>
      <c r="Q50" s="4"/>
      <c r="R50" s="4"/>
      <c r="S50" s="4"/>
      <c r="T50" s="4"/>
      <c r="U50" s="4"/>
      <c r="V50" s="4"/>
      <c r="W50" s="4"/>
      <c r="X50" s="4"/>
      <c r="Y50" s="1121"/>
      <c r="Z50" s="4"/>
      <c r="AA50" s="4"/>
      <c r="AB50" s="4"/>
      <c r="AC50" s="4"/>
      <c r="AD50" s="4"/>
      <c r="AE50" s="4"/>
      <c r="AF50" s="4"/>
      <c r="AG50" s="4"/>
      <c r="AH50" s="1121"/>
      <c r="AI50" s="4"/>
      <c r="AJ50" s="4"/>
      <c r="AK50" s="4"/>
      <c r="AL50" s="4"/>
      <c r="AM50" s="4"/>
      <c r="AN50" s="4"/>
      <c r="AO50" s="723"/>
      <c r="AP50" s="723"/>
      <c r="AQ50" s="723"/>
      <c r="AR50" s="723"/>
      <c r="AS50" s="723"/>
      <c r="AT50" s="723"/>
      <c r="AU50" s="723"/>
      <c r="AV50" s="723"/>
      <c r="AW50" s="723"/>
      <c r="AX50" s="723"/>
      <c r="AY50" s="723"/>
      <c r="AZ50" s="16"/>
      <c r="BA50" s="16"/>
      <c r="BB50" s="16"/>
      <c r="BC50" s="16"/>
      <c r="BD50" s="16"/>
    </row>
    <row r="51" spans="2:56" ht="26.25" customHeight="1" hidden="1" outlineLevel="1">
      <c r="B51" s="30"/>
      <c r="C51" s="61" t="s">
        <v>201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121"/>
      <c r="Q51" s="4"/>
      <c r="R51" s="4"/>
      <c r="S51" s="4"/>
      <c r="T51" s="4"/>
      <c r="U51" s="4"/>
      <c r="V51" s="4"/>
      <c r="W51" s="4"/>
      <c r="X51" s="4"/>
      <c r="Y51" s="1121"/>
      <c r="Z51" s="4"/>
      <c r="AA51" s="4"/>
      <c r="AB51" s="4"/>
      <c r="AC51" s="4"/>
      <c r="AD51" s="4"/>
      <c r="AE51" s="4"/>
      <c r="AF51" s="4"/>
      <c r="AG51" s="4"/>
      <c r="AH51" s="1121"/>
      <c r="AI51" s="4"/>
      <c r="AJ51" s="4"/>
      <c r="AK51" s="4"/>
      <c r="AL51" s="4"/>
      <c r="AM51" s="4"/>
      <c r="AN51" s="4"/>
      <c r="AO51" s="723"/>
      <c r="AP51" s="723"/>
      <c r="AQ51" s="723"/>
      <c r="AR51" s="723"/>
      <c r="AS51" s="723"/>
      <c r="AT51" s="723"/>
      <c r="AU51" s="723"/>
      <c r="AV51" s="723"/>
      <c r="AW51" s="723"/>
      <c r="AX51" s="723"/>
      <c r="AY51" s="723"/>
      <c r="AZ51" s="16"/>
      <c r="BA51" s="16"/>
      <c r="BB51" s="16"/>
      <c r="BC51" s="16"/>
      <c r="BD51" s="16"/>
    </row>
    <row r="52" spans="2:56" ht="78.75" hidden="1" collapsed="1">
      <c r="B52" s="30" t="s">
        <v>265</v>
      </c>
      <c r="C52" s="77" t="s">
        <v>1339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121"/>
      <c r="Q52" s="4"/>
      <c r="R52" s="4"/>
      <c r="S52" s="4"/>
      <c r="T52" s="4"/>
      <c r="U52" s="4"/>
      <c r="V52" s="4"/>
      <c r="W52" s="4"/>
      <c r="X52" s="4"/>
      <c r="Y52" s="1121"/>
      <c r="Z52" s="4"/>
      <c r="AA52" s="4"/>
      <c r="AB52" s="4"/>
      <c r="AC52" s="4"/>
      <c r="AD52" s="4"/>
      <c r="AE52" s="4"/>
      <c r="AF52" s="4"/>
      <c r="AG52" s="4"/>
      <c r="AH52" s="1121"/>
      <c r="AI52" s="4"/>
      <c r="AJ52" s="4"/>
      <c r="AK52" s="4"/>
      <c r="AL52" s="4"/>
      <c r="AM52" s="4"/>
      <c r="AN52" s="4"/>
      <c r="AO52" s="723"/>
      <c r="AP52" s="723"/>
      <c r="AQ52" s="723"/>
      <c r="AR52" s="723"/>
      <c r="AS52" s="723"/>
      <c r="AT52" s="723"/>
      <c r="AU52" s="723"/>
      <c r="AV52" s="723"/>
      <c r="AW52" s="723"/>
      <c r="AX52" s="723"/>
      <c r="AY52" s="723"/>
      <c r="AZ52" s="16"/>
      <c r="BA52" s="16"/>
      <c r="BB52" s="16"/>
      <c r="BC52" s="16"/>
      <c r="BD52" s="16"/>
    </row>
    <row r="53" spans="2:56" ht="26.25" customHeight="1" hidden="1" outlineLevel="1">
      <c r="B53" s="30"/>
      <c r="C53" s="77" t="s">
        <v>261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121"/>
      <c r="Q53" s="4"/>
      <c r="R53" s="4"/>
      <c r="S53" s="4"/>
      <c r="T53" s="4"/>
      <c r="U53" s="4"/>
      <c r="V53" s="4"/>
      <c r="W53" s="4"/>
      <c r="X53" s="4"/>
      <c r="Y53" s="1121"/>
      <c r="Z53" s="4"/>
      <c r="AA53" s="4"/>
      <c r="AB53" s="4"/>
      <c r="AC53" s="4"/>
      <c r="AD53" s="4"/>
      <c r="AE53" s="4"/>
      <c r="AF53" s="4"/>
      <c r="AG53" s="4"/>
      <c r="AH53" s="1121"/>
      <c r="AI53" s="4"/>
      <c r="AJ53" s="4"/>
      <c r="AK53" s="4"/>
      <c r="AL53" s="4"/>
      <c r="AM53" s="4"/>
      <c r="AN53" s="4"/>
      <c r="AO53" s="723"/>
      <c r="AP53" s="723"/>
      <c r="AQ53" s="723"/>
      <c r="AR53" s="723"/>
      <c r="AS53" s="723"/>
      <c r="AT53" s="723"/>
      <c r="AU53" s="723"/>
      <c r="AV53" s="723"/>
      <c r="AW53" s="723"/>
      <c r="AX53" s="723"/>
      <c r="AY53" s="723"/>
      <c r="AZ53" s="16"/>
      <c r="BA53" s="16"/>
      <c r="BB53" s="16"/>
      <c r="BC53" s="16"/>
      <c r="BD53" s="16"/>
    </row>
    <row r="54" spans="2:56" ht="26.25" customHeight="1" hidden="1" outlineLevel="1">
      <c r="B54" s="30"/>
      <c r="C54" s="77" t="s">
        <v>1332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121"/>
      <c r="Q54" s="4"/>
      <c r="R54" s="4"/>
      <c r="S54" s="4"/>
      <c r="T54" s="4"/>
      <c r="U54" s="4"/>
      <c r="V54" s="4"/>
      <c r="W54" s="4"/>
      <c r="X54" s="4"/>
      <c r="Y54" s="1121"/>
      <c r="Z54" s="4"/>
      <c r="AA54" s="4"/>
      <c r="AB54" s="4"/>
      <c r="AC54" s="4"/>
      <c r="AD54" s="4"/>
      <c r="AE54" s="4"/>
      <c r="AF54" s="4"/>
      <c r="AG54" s="4"/>
      <c r="AH54" s="1121"/>
      <c r="AI54" s="4"/>
      <c r="AJ54" s="4"/>
      <c r="AK54" s="4"/>
      <c r="AL54" s="4"/>
      <c r="AM54" s="4"/>
      <c r="AN54" s="4"/>
      <c r="AO54" s="723"/>
      <c r="AP54" s="723"/>
      <c r="AQ54" s="723"/>
      <c r="AR54" s="723"/>
      <c r="AS54" s="723"/>
      <c r="AT54" s="723"/>
      <c r="AU54" s="723"/>
      <c r="AV54" s="723"/>
      <c r="AW54" s="723"/>
      <c r="AX54" s="723"/>
      <c r="AY54" s="723"/>
      <c r="AZ54" s="16"/>
      <c r="BA54" s="16"/>
      <c r="BB54" s="16"/>
      <c r="BC54" s="16"/>
      <c r="BD54" s="16"/>
    </row>
    <row r="55" spans="2:56" ht="12.75" customHeight="1" hidden="1" outlineLevel="1">
      <c r="B55" s="30"/>
      <c r="C55" s="61" t="s">
        <v>1288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121"/>
      <c r="Q55" s="4"/>
      <c r="R55" s="4"/>
      <c r="S55" s="4"/>
      <c r="T55" s="4"/>
      <c r="U55" s="4"/>
      <c r="V55" s="4"/>
      <c r="W55" s="4"/>
      <c r="X55" s="4"/>
      <c r="Y55" s="1121"/>
      <c r="Z55" s="4"/>
      <c r="AA55" s="4"/>
      <c r="AB55" s="4"/>
      <c r="AC55" s="4"/>
      <c r="AD55" s="4"/>
      <c r="AE55" s="4"/>
      <c r="AF55" s="4"/>
      <c r="AG55" s="4"/>
      <c r="AH55" s="1121"/>
      <c r="AI55" s="4"/>
      <c r="AJ55" s="4"/>
      <c r="AK55" s="4"/>
      <c r="AL55" s="4"/>
      <c r="AM55" s="4"/>
      <c r="AN55" s="4"/>
      <c r="AO55" s="723"/>
      <c r="AP55" s="723"/>
      <c r="AQ55" s="723"/>
      <c r="AR55" s="723"/>
      <c r="AS55" s="723"/>
      <c r="AT55" s="723"/>
      <c r="AU55" s="723"/>
      <c r="AV55" s="723"/>
      <c r="AW55" s="723"/>
      <c r="AX55" s="723"/>
      <c r="AY55" s="723"/>
      <c r="AZ55" s="16"/>
      <c r="BA55" s="16"/>
      <c r="BB55" s="16"/>
      <c r="BC55" s="16"/>
      <c r="BD55" s="16"/>
    </row>
    <row r="56" spans="2:56" ht="26.25" customHeight="1" hidden="1" outlineLevel="1">
      <c r="B56" s="30"/>
      <c r="C56" s="61" t="s">
        <v>771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121"/>
      <c r="Q56" s="4"/>
      <c r="R56" s="4"/>
      <c r="S56" s="4"/>
      <c r="T56" s="4"/>
      <c r="U56" s="4"/>
      <c r="V56" s="4"/>
      <c r="W56" s="4"/>
      <c r="X56" s="4"/>
      <c r="Y56" s="1121"/>
      <c r="Z56" s="4"/>
      <c r="AA56" s="4"/>
      <c r="AB56" s="4"/>
      <c r="AC56" s="4"/>
      <c r="AD56" s="4"/>
      <c r="AE56" s="4"/>
      <c r="AF56" s="4"/>
      <c r="AG56" s="4"/>
      <c r="AH56" s="1121"/>
      <c r="AI56" s="4"/>
      <c r="AJ56" s="4"/>
      <c r="AK56" s="4"/>
      <c r="AL56" s="4"/>
      <c r="AM56" s="4"/>
      <c r="AN56" s="4"/>
      <c r="AO56" s="723"/>
      <c r="AP56" s="723"/>
      <c r="AQ56" s="723"/>
      <c r="AR56" s="723"/>
      <c r="AS56" s="723"/>
      <c r="AT56" s="723"/>
      <c r="AU56" s="723"/>
      <c r="AV56" s="723"/>
      <c r="AW56" s="723"/>
      <c r="AX56" s="723"/>
      <c r="AY56" s="723"/>
      <c r="AZ56" s="16"/>
      <c r="BA56" s="16"/>
      <c r="BB56" s="16"/>
      <c r="BC56" s="16"/>
      <c r="BD56" s="16"/>
    </row>
    <row r="57" spans="2:56" ht="26.25" customHeight="1" hidden="1" outlineLevel="1">
      <c r="B57" s="30"/>
      <c r="C57" s="61" t="s">
        <v>772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21"/>
      <c r="Q57" s="4"/>
      <c r="R57" s="4"/>
      <c r="S57" s="4"/>
      <c r="T57" s="4"/>
      <c r="U57" s="4"/>
      <c r="V57" s="4"/>
      <c r="W57" s="4"/>
      <c r="X57" s="4"/>
      <c r="Y57" s="1121"/>
      <c r="Z57" s="4"/>
      <c r="AA57" s="4"/>
      <c r="AB57" s="4"/>
      <c r="AC57" s="4"/>
      <c r="AD57" s="4"/>
      <c r="AE57" s="4"/>
      <c r="AF57" s="4"/>
      <c r="AG57" s="4"/>
      <c r="AH57" s="1121"/>
      <c r="AI57" s="4"/>
      <c r="AJ57" s="4"/>
      <c r="AK57" s="4"/>
      <c r="AL57" s="4"/>
      <c r="AM57" s="4"/>
      <c r="AN57" s="4"/>
      <c r="AO57" s="723"/>
      <c r="AP57" s="723"/>
      <c r="AQ57" s="723"/>
      <c r="AR57" s="723"/>
      <c r="AS57" s="723"/>
      <c r="AT57" s="723"/>
      <c r="AU57" s="723"/>
      <c r="AV57" s="723"/>
      <c r="AW57" s="723"/>
      <c r="AX57" s="723"/>
      <c r="AY57" s="723"/>
      <c r="AZ57" s="16"/>
      <c r="BA57" s="16"/>
      <c r="BB57" s="16"/>
      <c r="BC57" s="16"/>
      <c r="BD57" s="16"/>
    </row>
    <row r="58" spans="2:56" ht="26.25" customHeight="1" hidden="1" outlineLevel="1">
      <c r="B58" s="30"/>
      <c r="C58" s="61" t="s">
        <v>773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121"/>
      <c r="Q58" s="4"/>
      <c r="R58" s="4"/>
      <c r="S58" s="4"/>
      <c r="T58" s="4"/>
      <c r="U58" s="4"/>
      <c r="V58" s="4"/>
      <c r="W58" s="4"/>
      <c r="X58" s="4"/>
      <c r="Y58" s="1121"/>
      <c r="Z58" s="4"/>
      <c r="AA58" s="4"/>
      <c r="AB58" s="4"/>
      <c r="AC58" s="4"/>
      <c r="AD58" s="4"/>
      <c r="AE58" s="4"/>
      <c r="AF58" s="4"/>
      <c r="AG58" s="4"/>
      <c r="AH58" s="1121"/>
      <c r="AI58" s="4"/>
      <c r="AJ58" s="4"/>
      <c r="AK58" s="4"/>
      <c r="AL58" s="4"/>
      <c r="AM58" s="4"/>
      <c r="AN58" s="4"/>
      <c r="AO58" s="723"/>
      <c r="AP58" s="723"/>
      <c r="AQ58" s="723"/>
      <c r="AR58" s="723"/>
      <c r="AS58" s="723"/>
      <c r="AT58" s="723"/>
      <c r="AU58" s="723"/>
      <c r="AV58" s="723"/>
      <c r="AW58" s="723"/>
      <c r="AX58" s="723"/>
      <c r="AY58" s="723"/>
      <c r="AZ58" s="16"/>
      <c r="BA58" s="16"/>
      <c r="BB58" s="16"/>
      <c r="BC58" s="16"/>
      <c r="BD58" s="16"/>
    </row>
    <row r="59" spans="2:56" ht="26.25" customHeight="1" hidden="1" outlineLevel="1">
      <c r="B59" s="30"/>
      <c r="C59" s="61" t="s">
        <v>774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121"/>
      <c r="Q59" s="4"/>
      <c r="R59" s="4"/>
      <c r="S59" s="4"/>
      <c r="T59" s="4"/>
      <c r="U59" s="4"/>
      <c r="V59" s="4"/>
      <c r="W59" s="4"/>
      <c r="X59" s="4"/>
      <c r="Y59" s="1121"/>
      <c r="Z59" s="4"/>
      <c r="AA59" s="4"/>
      <c r="AB59" s="4"/>
      <c r="AC59" s="4"/>
      <c r="AD59" s="4"/>
      <c r="AE59" s="4"/>
      <c r="AF59" s="4"/>
      <c r="AG59" s="4"/>
      <c r="AH59" s="1121"/>
      <c r="AI59" s="4"/>
      <c r="AJ59" s="4"/>
      <c r="AK59" s="4"/>
      <c r="AL59" s="4"/>
      <c r="AM59" s="4"/>
      <c r="AN59" s="4"/>
      <c r="AO59" s="723"/>
      <c r="AP59" s="723"/>
      <c r="AQ59" s="723"/>
      <c r="AR59" s="723"/>
      <c r="AS59" s="723"/>
      <c r="AT59" s="723"/>
      <c r="AU59" s="723"/>
      <c r="AV59" s="723"/>
      <c r="AW59" s="723"/>
      <c r="AX59" s="723"/>
      <c r="AY59" s="723"/>
      <c r="AZ59" s="16"/>
      <c r="BA59" s="16"/>
      <c r="BB59" s="16"/>
      <c r="BC59" s="16"/>
      <c r="BD59" s="16"/>
    </row>
    <row r="60" spans="2:56" ht="26.25" customHeight="1" hidden="1" outlineLevel="1">
      <c r="B60" s="30"/>
      <c r="C60" s="61" t="s">
        <v>201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121"/>
      <c r="Q60" s="4"/>
      <c r="R60" s="4"/>
      <c r="S60" s="4"/>
      <c r="T60" s="4"/>
      <c r="U60" s="4"/>
      <c r="V60" s="4"/>
      <c r="W60" s="4"/>
      <c r="X60" s="4"/>
      <c r="Y60" s="1121"/>
      <c r="Z60" s="4"/>
      <c r="AA60" s="4"/>
      <c r="AB60" s="4"/>
      <c r="AC60" s="4"/>
      <c r="AD60" s="4"/>
      <c r="AE60" s="4"/>
      <c r="AF60" s="4"/>
      <c r="AG60" s="4"/>
      <c r="AH60" s="1121"/>
      <c r="AI60" s="4"/>
      <c r="AJ60" s="4"/>
      <c r="AK60" s="4"/>
      <c r="AL60" s="4"/>
      <c r="AM60" s="4"/>
      <c r="AN60" s="4"/>
      <c r="AO60" s="723"/>
      <c r="AP60" s="723"/>
      <c r="AQ60" s="723"/>
      <c r="AR60" s="723"/>
      <c r="AS60" s="723"/>
      <c r="AT60" s="723"/>
      <c r="AU60" s="723"/>
      <c r="AV60" s="723"/>
      <c r="AW60" s="723"/>
      <c r="AX60" s="723"/>
      <c r="AY60" s="723"/>
      <c r="AZ60" s="16"/>
      <c r="BA60" s="16"/>
      <c r="BB60" s="16"/>
      <c r="BC60" s="16"/>
      <c r="BD60" s="16"/>
    </row>
    <row r="61" spans="2:18" ht="12.75" collapsed="1">
      <c r="B61" s="677"/>
      <c r="C61" s="678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</row>
    <row r="62" ht="12.75" customHeight="1" hidden="1" outlineLevel="1">
      <c r="B62" s="141" t="s">
        <v>304</v>
      </c>
    </row>
    <row r="63" spans="2:108" ht="12.75" customHeight="1" hidden="1" outlineLevel="1">
      <c r="B63" s="679" t="s">
        <v>238</v>
      </c>
      <c r="C63" s="540" t="s">
        <v>787</v>
      </c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  <c r="BF63" s="540"/>
      <c r="BG63" s="540"/>
      <c r="BH63" s="540"/>
      <c r="BI63" s="540"/>
      <c r="BJ63" s="540"/>
      <c r="BK63" s="540"/>
      <c r="BL63" s="540"/>
      <c r="BM63" s="540"/>
      <c r="BN63" s="540"/>
      <c r="BO63" s="540"/>
      <c r="BP63" s="540"/>
      <c r="BQ63" s="540"/>
      <c r="BR63" s="540"/>
      <c r="BS63" s="540"/>
      <c r="BT63" s="540"/>
      <c r="BU63" s="540"/>
      <c r="BV63" s="540"/>
      <c r="BW63" s="540"/>
      <c r="BX63" s="540"/>
      <c r="BY63" s="540"/>
      <c r="BZ63" s="540"/>
      <c r="CA63" s="540"/>
      <c r="CB63" s="540"/>
      <c r="CC63" s="540"/>
      <c r="CD63" s="540"/>
      <c r="CE63" s="540"/>
      <c r="CF63" s="540"/>
      <c r="CG63" s="540"/>
      <c r="CH63" s="540"/>
      <c r="CI63" s="540"/>
      <c r="CJ63" s="540"/>
      <c r="CK63" s="540"/>
      <c r="CL63" s="540"/>
      <c r="CM63" s="540"/>
      <c r="CN63" s="540"/>
      <c r="CO63" s="540"/>
      <c r="CP63" s="540"/>
      <c r="CQ63" s="540"/>
      <c r="CR63" s="540"/>
      <c r="CS63" s="540"/>
      <c r="CT63" s="540"/>
      <c r="CU63" s="540"/>
      <c r="CV63" s="540"/>
      <c r="CW63" s="540"/>
      <c r="CX63" s="540"/>
      <c r="CY63" s="540"/>
      <c r="CZ63" s="540"/>
      <c r="DA63" s="540"/>
      <c r="DB63" s="540"/>
      <c r="DC63" s="540"/>
      <c r="DD63" s="540"/>
    </row>
    <row r="64" spans="2:108" ht="12.75" customHeight="1" hidden="1" outlineLevel="1">
      <c r="B64" s="679" t="s">
        <v>240</v>
      </c>
      <c r="C64" s="540" t="s">
        <v>1316</v>
      </c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0"/>
      <c r="AL64" s="540"/>
      <c r="AM64" s="540"/>
      <c r="AN64" s="540"/>
      <c r="AO64" s="540"/>
      <c r="AP64" s="540"/>
      <c r="AQ64" s="540"/>
      <c r="AR64" s="540"/>
      <c r="AS64" s="540"/>
      <c r="AT64" s="540"/>
      <c r="AU64" s="540"/>
      <c r="AV64" s="540"/>
      <c r="AW64" s="540"/>
      <c r="AX64" s="540"/>
      <c r="AY64" s="540"/>
      <c r="AZ64" s="540"/>
      <c r="BA64" s="540"/>
      <c r="BB64" s="540"/>
      <c r="BC64" s="540"/>
      <c r="BD64" s="540"/>
      <c r="BE64" s="540"/>
      <c r="BF64" s="540"/>
      <c r="BG64" s="540"/>
      <c r="BH64" s="540"/>
      <c r="BI64" s="540"/>
      <c r="BJ64" s="540"/>
      <c r="BK64" s="540"/>
      <c r="BL64" s="540"/>
      <c r="BM64" s="540"/>
      <c r="BN64" s="540"/>
      <c r="BO64" s="540"/>
      <c r="BP64" s="540"/>
      <c r="BQ64" s="540"/>
      <c r="BR64" s="540"/>
      <c r="BS64" s="540"/>
      <c r="BT64" s="540"/>
      <c r="BU64" s="540"/>
      <c r="BV64" s="540"/>
      <c r="BW64" s="540"/>
      <c r="BX64" s="540"/>
      <c r="BY64" s="540"/>
      <c r="BZ64" s="540"/>
      <c r="CA64" s="540"/>
      <c r="CB64" s="540"/>
      <c r="CC64" s="540"/>
      <c r="CD64" s="540"/>
      <c r="CE64" s="540"/>
      <c r="CF64" s="540"/>
      <c r="CG64" s="540"/>
      <c r="CH64" s="540"/>
      <c r="CI64" s="540"/>
      <c r="CJ64" s="540"/>
      <c r="CK64" s="540"/>
      <c r="CL64" s="540"/>
      <c r="CM64" s="540"/>
      <c r="CN64" s="540"/>
      <c r="CO64" s="540"/>
      <c r="CP64" s="540"/>
      <c r="CQ64" s="540"/>
      <c r="CR64" s="540"/>
      <c r="CS64" s="540"/>
      <c r="CT64" s="540"/>
      <c r="CU64" s="540"/>
      <c r="CV64" s="540"/>
      <c r="CW64" s="540"/>
      <c r="CX64" s="540"/>
      <c r="CY64" s="540"/>
      <c r="CZ64" s="540"/>
      <c r="DA64" s="540"/>
      <c r="DB64" s="540"/>
      <c r="DC64" s="540"/>
      <c r="DD64" s="540"/>
    </row>
    <row r="65" spans="2:108" ht="12.75" customHeight="1" hidden="1" outlineLevel="1">
      <c r="B65" s="679" t="s">
        <v>241</v>
      </c>
      <c r="C65" s="540" t="s">
        <v>300</v>
      </c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0"/>
      <c r="AL65" s="540"/>
      <c r="AM65" s="540"/>
      <c r="AN65" s="540"/>
      <c r="AO65" s="540"/>
      <c r="AP65" s="540"/>
      <c r="AQ65" s="540"/>
      <c r="AR65" s="540"/>
      <c r="AS65" s="540"/>
      <c r="AT65" s="540"/>
      <c r="AU65" s="540"/>
      <c r="AV65" s="540"/>
      <c r="AW65" s="540"/>
      <c r="AX65" s="540"/>
      <c r="AY65" s="540"/>
      <c r="AZ65" s="540"/>
      <c r="BA65" s="540"/>
      <c r="BB65" s="540"/>
      <c r="BC65" s="540"/>
      <c r="BD65" s="540"/>
      <c r="BE65" s="540"/>
      <c r="BF65" s="540"/>
      <c r="BG65" s="540"/>
      <c r="BH65" s="540"/>
      <c r="BI65" s="540"/>
      <c r="BJ65" s="540"/>
      <c r="BK65" s="540"/>
      <c r="BL65" s="540"/>
      <c r="BM65" s="540"/>
      <c r="BN65" s="540"/>
      <c r="BO65" s="540"/>
      <c r="BP65" s="540"/>
      <c r="BQ65" s="540"/>
      <c r="BR65" s="540"/>
      <c r="BS65" s="540"/>
      <c r="BT65" s="540"/>
      <c r="BU65" s="540"/>
      <c r="BV65" s="540"/>
      <c r="BW65" s="540"/>
      <c r="BX65" s="540"/>
      <c r="BY65" s="540"/>
      <c r="BZ65" s="540"/>
      <c r="CA65" s="540"/>
      <c r="CB65" s="540"/>
      <c r="CC65" s="540"/>
      <c r="CD65" s="540"/>
      <c r="CE65" s="540"/>
      <c r="CF65" s="540"/>
      <c r="CG65" s="540"/>
      <c r="CH65" s="540"/>
      <c r="CI65" s="540"/>
      <c r="CJ65" s="540"/>
      <c r="CK65" s="540"/>
      <c r="CL65" s="540"/>
      <c r="CM65" s="540"/>
      <c r="CN65" s="540"/>
      <c r="CO65" s="540"/>
      <c r="CP65" s="540"/>
      <c r="CQ65" s="540"/>
      <c r="CR65" s="540"/>
      <c r="CS65" s="540"/>
      <c r="CT65" s="540"/>
      <c r="CU65" s="540"/>
      <c r="CV65" s="540"/>
      <c r="CW65" s="540"/>
      <c r="CX65" s="540"/>
      <c r="CY65" s="540"/>
      <c r="CZ65" s="540"/>
      <c r="DA65" s="540"/>
      <c r="DB65" s="540"/>
      <c r="DC65" s="540"/>
      <c r="DD65" s="540"/>
    </row>
    <row r="66" spans="2:108" ht="12.75" customHeight="1" hidden="1" outlineLevel="1">
      <c r="B66" s="679" t="s">
        <v>242</v>
      </c>
      <c r="C66" s="540" t="s">
        <v>336</v>
      </c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0"/>
      <c r="AL66" s="540"/>
      <c r="AM66" s="540"/>
      <c r="AN66" s="540"/>
      <c r="AO66" s="540"/>
      <c r="AP66" s="540"/>
      <c r="AQ66" s="540"/>
      <c r="AR66" s="540"/>
      <c r="AS66" s="540"/>
      <c r="AT66" s="540"/>
      <c r="AU66" s="540"/>
      <c r="AV66" s="540"/>
      <c r="AW66" s="540"/>
      <c r="AX66" s="540"/>
      <c r="AY66" s="540"/>
      <c r="AZ66" s="540"/>
      <c r="BA66" s="540"/>
      <c r="BB66" s="540"/>
      <c r="BC66" s="540"/>
      <c r="BD66" s="540"/>
      <c r="BE66" s="540"/>
      <c r="BF66" s="540"/>
      <c r="BG66" s="540"/>
      <c r="BH66" s="540"/>
      <c r="BI66" s="540"/>
      <c r="BJ66" s="540"/>
      <c r="BK66" s="540"/>
      <c r="BL66" s="540"/>
      <c r="BM66" s="540"/>
      <c r="BN66" s="540"/>
      <c r="BO66" s="540"/>
      <c r="BP66" s="540"/>
      <c r="BQ66" s="540"/>
      <c r="BR66" s="540"/>
      <c r="BS66" s="540"/>
      <c r="BT66" s="540"/>
      <c r="BU66" s="540"/>
      <c r="BV66" s="540"/>
      <c r="BW66" s="540"/>
      <c r="BX66" s="540"/>
      <c r="BY66" s="540"/>
      <c r="BZ66" s="540"/>
      <c r="CA66" s="540"/>
      <c r="CB66" s="540"/>
      <c r="CC66" s="540"/>
      <c r="CD66" s="540"/>
      <c r="CE66" s="540"/>
      <c r="CF66" s="540"/>
      <c r="CG66" s="540"/>
      <c r="CH66" s="540"/>
      <c r="CI66" s="540"/>
      <c r="CJ66" s="540"/>
      <c r="CK66" s="540"/>
      <c r="CL66" s="540"/>
      <c r="CM66" s="540"/>
      <c r="CN66" s="540"/>
      <c r="CO66" s="540"/>
      <c r="CP66" s="540"/>
      <c r="CQ66" s="540"/>
      <c r="CR66" s="540"/>
      <c r="CS66" s="540"/>
      <c r="CT66" s="540"/>
      <c r="CU66" s="540"/>
      <c r="CV66" s="540"/>
      <c r="CW66" s="540"/>
      <c r="CX66" s="540"/>
      <c r="CY66" s="540"/>
      <c r="CZ66" s="540"/>
      <c r="DA66" s="540"/>
      <c r="DB66" s="540"/>
      <c r="DC66" s="540"/>
      <c r="DD66" s="540"/>
    </row>
    <row r="67" spans="2:7" ht="13.5" collapsed="1">
      <c r="B67" s="114"/>
      <c r="C67" s="114"/>
      <c r="D67" s="114"/>
      <c r="G67" s="114"/>
    </row>
    <row r="68" ht="12.75">
      <c r="J68" s="1" t="s">
        <v>75</v>
      </c>
    </row>
    <row r="69" spans="3:18" ht="13.5">
      <c r="C69" s="680"/>
      <c r="D69" s="680"/>
      <c r="E69" s="680"/>
      <c r="F69" s="680"/>
      <c r="G69" s="680">
        <f>'[2]4.1'!U40</f>
        <v>0</v>
      </c>
      <c r="H69" s="680"/>
      <c r="I69" s="680"/>
      <c r="J69" s="680"/>
      <c r="K69" s="680"/>
      <c r="L69" s="680"/>
      <c r="M69" s="680"/>
      <c r="N69" s="680"/>
      <c r="O69" s="680"/>
      <c r="P69" s="680"/>
      <c r="Q69" s="680"/>
      <c r="R69" s="680"/>
    </row>
  </sheetData>
  <sheetProtection/>
  <mergeCells count="22">
    <mergeCell ref="B7:B10"/>
    <mergeCell ref="C7:C10"/>
    <mergeCell ref="D8:F9"/>
    <mergeCell ref="J8:L9"/>
    <mergeCell ref="G8:I9"/>
    <mergeCell ref="J7:O7"/>
    <mergeCell ref="M8:O9"/>
    <mergeCell ref="AB9:AD9"/>
    <mergeCell ref="P7:AN7"/>
    <mergeCell ref="P9:R9"/>
    <mergeCell ref="S9:U9"/>
    <mergeCell ref="V9:X9"/>
    <mergeCell ref="AT9:AV9"/>
    <mergeCell ref="AW9:AY9"/>
    <mergeCell ref="P8:V8"/>
    <mergeCell ref="Y8:AE8"/>
    <mergeCell ref="AH8:AN8"/>
    <mergeCell ref="AE9:AG9"/>
    <mergeCell ref="AH9:AJ9"/>
    <mergeCell ref="AK9:AM9"/>
    <mergeCell ref="Y9:AA9"/>
    <mergeCell ref="AQ9:AS9"/>
  </mergeCells>
  <printOptions horizontalCentered="1"/>
  <pageMargins left="0.4330708661417323" right="0.1968503937007874" top="0.4724409448818898" bottom="0.4330708661417323" header="0.31496062992125984" footer="0.31496062992125984"/>
  <pageSetup fitToHeight="1" fitToWidth="1" horizontalDpi="600" verticalDpi="600" orientation="landscape" paperSize="9" scale="4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L37"/>
  <sheetViews>
    <sheetView zoomScaleSheetLayoutView="100" workbookViewId="0" topLeftCell="A1">
      <pane xSplit="2" ySplit="9" topLeftCell="C10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 outlineLevelCol="1"/>
  <cols>
    <col min="1" max="1" width="8.00390625" style="10" customWidth="1"/>
    <col min="2" max="2" width="40.28125" style="10" customWidth="1"/>
    <col min="3" max="3" width="8.7109375" style="10" customWidth="1"/>
    <col min="4" max="5" width="11.8515625" style="10" hidden="1" customWidth="1"/>
    <col min="6" max="6" width="11.28125" style="10" customWidth="1"/>
    <col min="7" max="8" width="12.28125" style="10" customWidth="1" outlineLevel="1"/>
    <col min="9" max="9" width="9.28125" style="10" customWidth="1" outlineLevel="1"/>
    <col min="10" max="11" width="9.140625" style="10" customWidth="1"/>
    <col min="12" max="12" width="9.8515625" style="10" customWidth="1"/>
    <col min="13" max="16384" width="9.140625" style="10" customWidth="1"/>
  </cols>
  <sheetData>
    <row r="1" spans="1:13" ht="15">
      <c r="A1" s="7" t="s">
        <v>455</v>
      </c>
      <c r="B1" s="147"/>
      <c r="C1" s="52"/>
      <c r="D1" s="52"/>
      <c r="E1" s="1"/>
      <c r="F1" s="11"/>
      <c r="G1" s="138"/>
      <c r="H1" s="83"/>
      <c r="I1" s="138"/>
      <c r="M1" s="83" t="s">
        <v>337</v>
      </c>
    </row>
    <row r="2" spans="1:8" ht="15">
      <c r="A2" s="550" t="s">
        <v>880</v>
      </c>
      <c r="B2" s="1480"/>
      <c r="C2" s="1481"/>
      <c r="D2" s="1481"/>
      <c r="E2" s="550"/>
      <c r="F2" s="550"/>
      <c r="G2" s="550"/>
      <c r="H2" s="550"/>
    </row>
    <row r="4" spans="1:16" ht="39.75" customHeight="1">
      <c r="A4" s="2220" t="s">
        <v>1356</v>
      </c>
      <c r="B4" s="2220"/>
      <c r="C4" s="2220"/>
      <c r="D4" s="2220"/>
      <c r="E4" s="2220"/>
      <c r="F4" s="2220"/>
      <c r="G4" s="2220"/>
      <c r="H4" s="2220"/>
      <c r="I4" s="2220"/>
      <c r="J4" s="2220"/>
      <c r="K4" s="2220"/>
      <c r="L4" s="2220"/>
      <c r="M4" s="2220"/>
      <c r="N4" s="2220"/>
      <c r="O4" s="2220"/>
      <c r="P4" s="2220"/>
    </row>
    <row r="5" spans="1:9" ht="15">
      <c r="A5" s="674" t="str">
        <f>'[2]4.1'!B6</f>
        <v>Усть-Камчатское сельское поселение Усть-Камчатского муниципального района</v>
      </c>
      <c r="G5" s="2361"/>
      <c r="H5" s="2361"/>
      <c r="I5" s="2361"/>
    </row>
    <row r="6" spans="1:16" ht="15.75" customHeight="1">
      <c r="A6" s="2069" t="s">
        <v>1662</v>
      </c>
      <c r="B6" s="2073" t="s">
        <v>1670</v>
      </c>
      <c r="C6" s="2354" t="s">
        <v>908</v>
      </c>
      <c r="D6" s="2357" t="s">
        <v>1659</v>
      </c>
      <c r="E6" s="2358"/>
      <c r="F6" s="2358"/>
      <c r="G6" s="2358"/>
      <c r="H6" s="2357" t="s">
        <v>1661</v>
      </c>
      <c r="I6" s="2358"/>
      <c r="J6" s="2358"/>
      <c r="K6" s="2358"/>
      <c r="L6" s="2358"/>
      <c r="M6" s="2358"/>
      <c r="N6" s="2358"/>
      <c r="O6" s="2358"/>
      <c r="P6" s="2359"/>
    </row>
    <row r="7" spans="1:16" ht="15.75" customHeight="1">
      <c r="A7" s="2070"/>
      <c r="B7" s="2064"/>
      <c r="C7" s="2057"/>
      <c r="D7" s="2196" t="s">
        <v>268</v>
      </c>
      <c r="E7" s="2196" t="s">
        <v>314</v>
      </c>
      <c r="F7" s="2196" t="s">
        <v>16</v>
      </c>
      <c r="G7" s="2196" t="s">
        <v>17</v>
      </c>
      <c r="H7" s="2354" t="s">
        <v>1143</v>
      </c>
      <c r="I7" s="2355"/>
      <c r="J7" s="2356"/>
      <c r="K7" s="2354" t="s">
        <v>1148</v>
      </c>
      <c r="L7" s="2355"/>
      <c r="M7" s="2356"/>
      <c r="N7" s="2354" t="s">
        <v>18</v>
      </c>
      <c r="O7" s="2355"/>
      <c r="P7" s="2356"/>
    </row>
    <row r="8" spans="1:16" ht="29.25" customHeight="1">
      <c r="A8" s="2048"/>
      <c r="B8" s="2065"/>
      <c r="C8" s="2057"/>
      <c r="D8" s="2048"/>
      <c r="E8" s="2048"/>
      <c r="F8" s="2048"/>
      <c r="G8" s="2048"/>
      <c r="H8" s="531" t="s">
        <v>421</v>
      </c>
      <c r="I8" s="50" t="s">
        <v>271</v>
      </c>
      <c r="J8" s="22" t="s">
        <v>272</v>
      </c>
      <c r="K8" s="50" t="s">
        <v>421</v>
      </c>
      <c r="L8" s="50" t="s">
        <v>271</v>
      </c>
      <c r="M8" s="22" t="s">
        <v>272</v>
      </c>
      <c r="N8" s="50" t="s">
        <v>421</v>
      </c>
      <c r="O8" s="50" t="s">
        <v>271</v>
      </c>
      <c r="P8" s="22" t="s">
        <v>272</v>
      </c>
    </row>
    <row r="9" spans="1:16" ht="24" customHeight="1">
      <c r="A9" s="43">
        <v>1</v>
      </c>
      <c r="B9" s="49">
        <v>2</v>
      </c>
      <c r="C9" s="43">
        <v>3</v>
      </c>
      <c r="D9" s="43">
        <v>4</v>
      </c>
      <c r="E9" s="49">
        <v>5</v>
      </c>
      <c r="F9" s="43">
        <v>6</v>
      </c>
      <c r="G9" s="43">
        <v>7</v>
      </c>
      <c r="H9" s="1450">
        <v>8</v>
      </c>
      <c r="I9" s="43">
        <v>9</v>
      </c>
      <c r="J9" s="43">
        <v>10</v>
      </c>
      <c r="K9" s="49">
        <v>11</v>
      </c>
      <c r="L9" s="43">
        <v>12</v>
      </c>
      <c r="M9" s="43">
        <v>13</v>
      </c>
      <c r="N9" s="49">
        <v>11</v>
      </c>
      <c r="O9" s="43">
        <v>12</v>
      </c>
      <c r="P9" s="43">
        <v>13</v>
      </c>
    </row>
    <row r="10" spans="1:16" ht="53.25" customHeight="1">
      <c r="A10" s="47">
        <v>1</v>
      </c>
      <c r="B10" s="23" t="s">
        <v>338</v>
      </c>
      <c r="C10" s="29" t="s">
        <v>239</v>
      </c>
      <c r="D10" s="681" t="e">
        <f>D11</f>
        <v>#REF!</v>
      </c>
      <c r="E10" s="681" t="e">
        <f>E11</f>
        <v>#REF!</v>
      </c>
      <c r="F10" s="681">
        <f>'4.8'!E25-'4.8'!E27</f>
        <v>216</v>
      </c>
      <c r="G10" s="681">
        <f>'4.8'!H25-'4.8'!H27</f>
        <v>113.707503</v>
      </c>
      <c r="H10" s="1483">
        <f>'4.8'!E38-'4.8'!E40</f>
        <v>121.65118201799999</v>
      </c>
      <c r="I10" s="681">
        <f>'4.8'!H38-'4.8'!H40</f>
        <v>66.603717</v>
      </c>
      <c r="J10" s="681">
        <f>'4.8'!K38-'4.8'!K40</f>
        <v>55.047465018</v>
      </c>
      <c r="K10" s="681">
        <f>'4.8'!E50-'4.8'!E52</f>
        <v>129.73520749620596</v>
      </c>
      <c r="L10" s="681">
        <f>'4.8'!H50-'4.8'!H52</f>
        <v>70.99956232199999</v>
      </c>
      <c r="M10" s="681">
        <f>'4.8'!K50-'4.8'!K52</f>
        <v>58.735645174206</v>
      </c>
      <c r="N10" s="681">
        <f>'4.8'!E62-'4.8'!E64</f>
        <v>138.42746639845183</v>
      </c>
      <c r="O10" s="681">
        <f>'4.8'!H62-'4.8'!H64</f>
        <v>75.75653299757401</v>
      </c>
      <c r="P10" s="681">
        <f>'4.8'!K62-'4.8'!K64</f>
        <v>62.67093340087781</v>
      </c>
    </row>
    <row r="11" spans="1:16" ht="15">
      <c r="A11" s="30" t="s">
        <v>1663</v>
      </c>
      <c r="B11" s="45" t="s">
        <v>339</v>
      </c>
      <c r="C11" s="29" t="s">
        <v>239</v>
      </c>
      <c r="D11" s="598" t="e">
        <f>#REF!</f>
        <v>#REF!</v>
      </c>
      <c r="E11" s="598" t="e">
        <f>#REF!</f>
        <v>#REF!</v>
      </c>
      <c r="F11" s="598">
        <f>F10</f>
        <v>216</v>
      </c>
      <c r="G11" s="598">
        <f aca="true" t="shared" si="0" ref="G11:P11">G10</f>
        <v>113.707503</v>
      </c>
      <c r="H11" s="607">
        <f t="shared" si="0"/>
        <v>121.65118201799999</v>
      </c>
      <c r="I11" s="598">
        <f t="shared" si="0"/>
        <v>66.603717</v>
      </c>
      <c r="J11" s="598">
        <f t="shared" si="0"/>
        <v>55.047465018</v>
      </c>
      <c r="K11" s="598">
        <f t="shared" si="0"/>
        <v>129.73520749620596</v>
      </c>
      <c r="L11" s="598">
        <f t="shared" si="0"/>
        <v>70.99956232199999</v>
      </c>
      <c r="M11" s="598">
        <f t="shared" si="0"/>
        <v>58.735645174206</v>
      </c>
      <c r="N11" s="598">
        <f t="shared" si="0"/>
        <v>138.42746639845183</v>
      </c>
      <c r="O11" s="598">
        <f t="shared" si="0"/>
        <v>75.75653299757401</v>
      </c>
      <c r="P11" s="598">
        <f t="shared" si="0"/>
        <v>62.67093340087781</v>
      </c>
    </row>
    <row r="12" spans="1:16" ht="51.75" customHeight="1" hidden="1">
      <c r="A12" s="30" t="s">
        <v>424</v>
      </c>
      <c r="B12" s="45" t="s">
        <v>340</v>
      </c>
      <c r="C12" s="29" t="s">
        <v>239</v>
      </c>
      <c r="D12" s="598"/>
      <c r="E12" s="598"/>
      <c r="F12" s="598"/>
      <c r="G12" s="598"/>
      <c r="H12" s="607"/>
      <c r="I12" s="598"/>
      <c r="J12" s="598"/>
      <c r="K12" s="598"/>
      <c r="L12" s="598"/>
      <c r="M12" s="682"/>
      <c r="N12" s="598"/>
      <c r="O12" s="598"/>
      <c r="P12" s="682"/>
    </row>
    <row r="13" spans="1:16" ht="80.25" customHeight="1" hidden="1">
      <c r="A13" s="30" t="s">
        <v>425</v>
      </c>
      <c r="B13" s="623" t="s">
        <v>999</v>
      </c>
      <c r="C13" s="29" t="s">
        <v>239</v>
      </c>
      <c r="D13" s="598"/>
      <c r="E13" s="598"/>
      <c r="F13" s="598"/>
      <c r="G13" s="598"/>
      <c r="H13" s="607"/>
      <c r="I13" s="598"/>
      <c r="J13" s="598"/>
      <c r="K13" s="598"/>
      <c r="L13" s="598"/>
      <c r="M13" s="682"/>
      <c r="N13" s="598"/>
      <c r="O13" s="598"/>
      <c r="P13" s="682"/>
    </row>
    <row r="14" spans="1:16" ht="51.75" customHeight="1" hidden="1">
      <c r="A14" s="30" t="s">
        <v>232</v>
      </c>
      <c r="B14" s="623" t="s">
        <v>1000</v>
      </c>
      <c r="C14" s="29" t="s">
        <v>239</v>
      </c>
      <c r="D14" s="598"/>
      <c r="E14" s="598"/>
      <c r="F14" s="598"/>
      <c r="G14" s="598"/>
      <c r="H14" s="607"/>
      <c r="I14" s="598"/>
      <c r="J14" s="598"/>
      <c r="K14" s="598"/>
      <c r="L14" s="598"/>
      <c r="M14" s="682"/>
      <c r="N14" s="598"/>
      <c r="O14" s="598"/>
      <c r="P14" s="682"/>
    </row>
    <row r="15" spans="1:16" ht="39" customHeight="1" hidden="1">
      <c r="A15" s="30" t="s">
        <v>233</v>
      </c>
      <c r="B15" s="623" t="s">
        <v>1001</v>
      </c>
      <c r="C15" s="29" t="s">
        <v>239</v>
      </c>
      <c r="D15" s="598"/>
      <c r="E15" s="598"/>
      <c r="F15" s="598"/>
      <c r="G15" s="598"/>
      <c r="H15" s="607"/>
      <c r="I15" s="598"/>
      <c r="J15" s="598"/>
      <c r="K15" s="598"/>
      <c r="L15" s="598"/>
      <c r="M15" s="682"/>
      <c r="N15" s="598"/>
      <c r="O15" s="598"/>
      <c r="P15" s="682"/>
    </row>
    <row r="16" spans="1:16" ht="30" customHeight="1" hidden="1">
      <c r="A16" s="30" t="s">
        <v>234</v>
      </c>
      <c r="B16" s="623" t="s">
        <v>1002</v>
      </c>
      <c r="C16" s="29" t="s">
        <v>239</v>
      </c>
      <c r="D16" s="598"/>
      <c r="E16" s="598"/>
      <c r="F16" s="598"/>
      <c r="G16" s="598"/>
      <c r="H16" s="607"/>
      <c r="I16" s="598"/>
      <c r="J16" s="598"/>
      <c r="K16" s="598"/>
      <c r="L16" s="598"/>
      <c r="M16" s="682"/>
      <c r="N16" s="598"/>
      <c r="O16" s="598"/>
      <c r="P16" s="682"/>
    </row>
    <row r="17" spans="1:16" ht="30" customHeight="1" hidden="1">
      <c r="A17" s="30" t="s">
        <v>235</v>
      </c>
      <c r="B17" s="673" t="s">
        <v>1003</v>
      </c>
      <c r="C17" s="29" t="s">
        <v>239</v>
      </c>
      <c r="D17" s="598"/>
      <c r="E17" s="598"/>
      <c r="F17" s="598"/>
      <c r="G17" s="598"/>
      <c r="H17" s="607"/>
      <c r="I17" s="598"/>
      <c r="J17" s="598"/>
      <c r="K17" s="598"/>
      <c r="L17" s="598"/>
      <c r="M17" s="682"/>
      <c r="N17" s="598"/>
      <c r="O17" s="598"/>
      <c r="P17" s="682"/>
    </row>
    <row r="18" spans="1:16" ht="26.25" customHeight="1" hidden="1">
      <c r="A18" s="30" t="s">
        <v>236</v>
      </c>
      <c r="B18" s="673" t="s">
        <v>1004</v>
      </c>
      <c r="C18" s="29" t="s">
        <v>239</v>
      </c>
      <c r="D18" s="598"/>
      <c r="E18" s="598"/>
      <c r="F18" s="598"/>
      <c r="G18" s="598"/>
      <c r="H18" s="607"/>
      <c r="I18" s="598"/>
      <c r="J18" s="598"/>
      <c r="K18" s="598"/>
      <c r="L18" s="598"/>
      <c r="M18" s="682"/>
      <c r="N18" s="598"/>
      <c r="O18" s="598"/>
      <c r="P18" s="682"/>
    </row>
    <row r="19" spans="1:16" ht="21" customHeight="1" hidden="1">
      <c r="A19" s="30" t="s">
        <v>1005</v>
      </c>
      <c r="B19" s="683" t="s">
        <v>1006</v>
      </c>
      <c r="C19" s="29" t="s">
        <v>239</v>
      </c>
      <c r="D19" s="598"/>
      <c r="E19" s="598"/>
      <c r="F19" s="598"/>
      <c r="G19" s="598"/>
      <c r="H19" s="607"/>
      <c r="I19" s="598"/>
      <c r="J19" s="598"/>
      <c r="K19" s="598"/>
      <c r="L19" s="598"/>
      <c r="M19" s="682"/>
      <c r="N19" s="598"/>
      <c r="O19" s="598"/>
      <c r="P19" s="682"/>
    </row>
    <row r="20" spans="1:16" ht="26.25" customHeight="1" hidden="1">
      <c r="A20" s="30" t="s">
        <v>1007</v>
      </c>
      <c r="B20" s="683" t="s">
        <v>1008</v>
      </c>
      <c r="C20" s="29" t="s">
        <v>239</v>
      </c>
      <c r="D20" s="598"/>
      <c r="E20" s="598"/>
      <c r="F20" s="598"/>
      <c r="G20" s="598"/>
      <c r="H20" s="607"/>
      <c r="I20" s="598"/>
      <c r="J20" s="598"/>
      <c r="K20" s="598"/>
      <c r="L20" s="598"/>
      <c r="M20" s="682"/>
      <c r="N20" s="598"/>
      <c r="O20" s="598"/>
      <c r="P20" s="682"/>
    </row>
    <row r="21" spans="1:16" ht="15.75" customHeight="1" hidden="1">
      <c r="A21" s="30" t="s">
        <v>1009</v>
      </c>
      <c r="B21" s="683" t="s">
        <v>1010</v>
      </c>
      <c r="C21" s="29" t="s">
        <v>239</v>
      </c>
      <c r="D21" s="598"/>
      <c r="E21" s="598"/>
      <c r="F21" s="598"/>
      <c r="G21" s="598"/>
      <c r="H21" s="607"/>
      <c r="I21" s="598"/>
      <c r="J21" s="598"/>
      <c r="K21" s="598"/>
      <c r="L21" s="598"/>
      <c r="M21" s="682"/>
      <c r="N21" s="598"/>
      <c r="O21" s="598"/>
      <c r="P21" s="682"/>
    </row>
    <row r="22" spans="1:16" ht="39.75">
      <c r="A22" s="47" t="s">
        <v>1664</v>
      </c>
      <c r="B22" s="23" t="s">
        <v>1011</v>
      </c>
      <c r="C22" s="29" t="s">
        <v>1353</v>
      </c>
      <c r="D22" s="19">
        <f>'[2]4.2'!G14</f>
        <v>0</v>
      </c>
      <c r="E22" s="19">
        <f>'[2]4.2'!H14</f>
        <v>0</v>
      </c>
      <c r="F22" s="19">
        <f>('4.8'!C25-'4.8'!C27)/1000</f>
        <v>4.021</v>
      </c>
      <c r="G22" s="521">
        <f>('4.8'!F25-'4.8'!F27)/1000</f>
        <v>2.1190499999999997</v>
      </c>
      <c r="H22" s="521">
        <f>I22+J22</f>
        <v>2.12165</v>
      </c>
      <c r="I22" s="521">
        <f>('4.8'!F38-'4.8'!F39)/1000</f>
        <v>1.196215</v>
      </c>
      <c r="J22" s="521">
        <f>('4.8'!I38-'4.8'!I40)/1000</f>
        <v>0.9254349999999999</v>
      </c>
      <c r="K22" s="19">
        <f>L22+M22</f>
        <v>2.1190499999999997</v>
      </c>
      <c r="L22" s="19">
        <f>('4.8'!F50-'4.8'!F52)/1000</f>
        <v>1.1936149999999999</v>
      </c>
      <c r="M22" s="19">
        <f>('4.8'!I50-'4.8'!I52)/1000</f>
        <v>0.9254349999999999</v>
      </c>
      <c r="N22" s="19">
        <f>O22+P22</f>
        <v>2.1190499999999997</v>
      </c>
      <c r="O22" s="19">
        <f>('4.8'!F62-'4.8'!F64)/1000</f>
        <v>1.1936149999999999</v>
      </c>
      <c r="P22" s="19">
        <f>('4.8'!I62-'4.8'!I64)/1000</f>
        <v>0.9254349999999999</v>
      </c>
    </row>
    <row r="23" spans="1:16" ht="26.25" customHeight="1" hidden="1">
      <c r="A23" s="47" t="s">
        <v>1666</v>
      </c>
      <c r="B23" s="23" t="s">
        <v>1012</v>
      </c>
      <c r="C23" s="29" t="s">
        <v>1675</v>
      </c>
      <c r="D23" s="598"/>
      <c r="E23" s="598"/>
      <c r="F23" s="598"/>
      <c r="G23" s="598"/>
      <c r="H23" s="607"/>
      <c r="I23" s="597"/>
      <c r="J23" s="597"/>
      <c r="K23" s="598"/>
      <c r="L23" s="598"/>
      <c r="M23" s="682"/>
      <c r="N23" s="598"/>
      <c r="O23" s="598"/>
      <c r="P23" s="682"/>
    </row>
    <row r="24" spans="1:16" ht="26.25" customHeight="1" hidden="1">
      <c r="A24" s="47" t="s">
        <v>1672</v>
      </c>
      <c r="B24" s="23" t="s">
        <v>1013</v>
      </c>
      <c r="C24" s="29" t="s">
        <v>1353</v>
      </c>
      <c r="D24" s="598"/>
      <c r="E24" s="598"/>
      <c r="F24" s="598"/>
      <c r="G24" s="598"/>
      <c r="H24" s="607"/>
      <c r="I24" s="597"/>
      <c r="J24" s="597"/>
      <c r="K24" s="598"/>
      <c r="L24" s="598"/>
      <c r="M24" s="682"/>
      <c r="N24" s="598"/>
      <c r="O24" s="598"/>
      <c r="P24" s="682"/>
    </row>
    <row r="25" spans="1:16" ht="54" customHeight="1" hidden="1">
      <c r="A25" s="47" t="s">
        <v>1673</v>
      </c>
      <c r="B25" s="23" t="s">
        <v>1039</v>
      </c>
      <c r="C25" s="29" t="s">
        <v>1675</v>
      </c>
      <c r="D25" s="598"/>
      <c r="E25" s="598"/>
      <c r="F25" s="598"/>
      <c r="G25" s="598"/>
      <c r="H25" s="607"/>
      <c r="I25" s="597"/>
      <c r="J25" s="597"/>
      <c r="K25" s="598"/>
      <c r="L25" s="598"/>
      <c r="M25" s="682"/>
      <c r="N25" s="598"/>
      <c r="O25" s="598"/>
      <c r="P25" s="682"/>
    </row>
    <row r="26" spans="1:16" ht="30.75" customHeight="1">
      <c r="A26" s="47" t="s">
        <v>1674</v>
      </c>
      <c r="B26" s="23" t="s">
        <v>1040</v>
      </c>
      <c r="C26" s="29" t="s">
        <v>1675</v>
      </c>
      <c r="D26" s="597" t="e">
        <f>SUM(D10,D23,D25)</f>
        <v>#REF!</v>
      </c>
      <c r="E26" s="597" t="e">
        <f>SUM(E10,E23,E25)</f>
        <v>#REF!</v>
      </c>
      <c r="F26" s="597">
        <f>('4.8'!E25-'4.8'!E27)</f>
        <v>216</v>
      </c>
      <c r="G26" s="597">
        <f>('4.8'!H25-'4.8'!H27)</f>
        <v>113.707503</v>
      </c>
      <c r="H26" s="605">
        <f>H11</f>
        <v>121.65118201799999</v>
      </c>
      <c r="I26" s="597">
        <f>I11</f>
        <v>66.603717</v>
      </c>
      <c r="J26" s="597">
        <f>J11</f>
        <v>55.047465018</v>
      </c>
      <c r="K26" s="597">
        <f aca="true" t="shared" si="1" ref="K26:P26">SUM(K10,K23,K25)</f>
        <v>129.73520749620596</v>
      </c>
      <c r="L26" s="597">
        <f t="shared" si="1"/>
        <v>70.99956232199999</v>
      </c>
      <c r="M26" s="597">
        <f t="shared" si="1"/>
        <v>58.735645174206</v>
      </c>
      <c r="N26" s="597">
        <f t="shared" si="1"/>
        <v>138.42746639845183</v>
      </c>
      <c r="O26" s="597">
        <f t="shared" si="1"/>
        <v>75.75653299757401</v>
      </c>
      <c r="P26" s="597">
        <f t="shared" si="1"/>
        <v>62.67093340087781</v>
      </c>
    </row>
    <row r="27" spans="1:16" ht="54.75" customHeight="1">
      <c r="A27" s="47" t="s">
        <v>1677</v>
      </c>
      <c r="B27" s="23" t="s">
        <v>1041</v>
      </c>
      <c r="C27" s="29" t="s">
        <v>1042</v>
      </c>
      <c r="D27" s="676">
        <f>IF(D22&gt;0,(D26/(D22+D24)),0)</f>
        <v>0</v>
      </c>
      <c r="E27" s="676">
        <f>IF(E22&gt;0,(E26/(E22+E24)),0)</f>
        <v>0</v>
      </c>
      <c r="F27" s="676">
        <f>'4.8'!D25*1000</f>
        <v>53.66</v>
      </c>
      <c r="G27" s="676">
        <f>'4.8'!G25*1000</f>
        <v>53.66</v>
      </c>
      <c r="H27" s="1484">
        <f>'4.8'!D38*1000</f>
        <v>57.4085383515785</v>
      </c>
      <c r="I27" s="676">
        <f>'4.8'!G38*1000</f>
        <v>55.800000000000004</v>
      </c>
      <c r="J27" s="676">
        <f>'4.8'!J38*1000</f>
        <v>59.4828</v>
      </c>
      <c r="K27" s="676">
        <f>'4.8'!D50*1000</f>
        <v>61.223053423232855</v>
      </c>
      <c r="L27" s="676">
        <f>'4.8'!G50*1000</f>
        <v>59.4828</v>
      </c>
      <c r="M27" s="676">
        <f>'4.8'!J50*1000</f>
        <v>63.46814760000001</v>
      </c>
      <c r="N27" s="676">
        <f>'4.8'!D62*1000</f>
        <v>65.32499800258948</v>
      </c>
      <c r="O27" s="676">
        <f>'4.8'!G62*1000</f>
        <v>63.46814760000001</v>
      </c>
      <c r="P27" s="676">
        <f>'4.8'!J62*1000</f>
        <v>67.72051348920002</v>
      </c>
    </row>
    <row r="28" spans="1:16" ht="66">
      <c r="A28" s="684" t="s">
        <v>1678</v>
      </c>
      <c r="B28" s="685" t="s">
        <v>1043</v>
      </c>
      <c r="C28" s="686" t="s">
        <v>1042</v>
      </c>
      <c r="D28" s="687">
        <f>D27</f>
        <v>0</v>
      </c>
      <c r="E28" s="687">
        <f>E27</f>
        <v>0</v>
      </c>
      <c r="F28" s="687">
        <f>F27</f>
        <v>53.66</v>
      </c>
      <c r="G28" s="687">
        <f>G27</f>
        <v>53.66</v>
      </c>
      <c r="H28" s="1485">
        <f>H27</f>
        <v>57.4085383515785</v>
      </c>
      <c r="I28" s="687">
        <f aca="true" t="shared" si="2" ref="I28:P28">I27</f>
        <v>55.800000000000004</v>
      </c>
      <c r="J28" s="687">
        <f t="shared" si="2"/>
        <v>59.4828</v>
      </c>
      <c r="K28" s="687">
        <f t="shared" si="2"/>
        <v>61.223053423232855</v>
      </c>
      <c r="L28" s="687">
        <f t="shared" si="2"/>
        <v>59.4828</v>
      </c>
      <c r="M28" s="687">
        <f t="shared" si="2"/>
        <v>63.46814760000001</v>
      </c>
      <c r="N28" s="687">
        <f t="shared" si="2"/>
        <v>65.32499800258948</v>
      </c>
      <c r="O28" s="687">
        <f t="shared" si="2"/>
        <v>63.46814760000001</v>
      </c>
      <c r="P28" s="687">
        <f t="shared" si="2"/>
        <v>67.72051348920002</v>
      </c>
    </row>
    <row r="29" ht="15" outlineLevel="1">
      <c r="A29" s="113" t="s">
        <v>304</v>
      </c>
    </row>
    <row r="30" spans="1:64" ht="31.5" customHeight="1" outlineLevel="1">
      <c r="A30" s="116" t="s">
        <v>238</v>
      </c>
      <c r="B30" s="2360" t="s">
        <v>1044</v>
      </c>
      <c r="C30" s="2360"/>
      <c r="D30" s="2360"/>
      <c r="E30" s="2360"/>
      <c r="F30" s="2360"/>
      <c r="G30" s="2360"/>
      <c r="H30" s="2360"/>
      <c r="I30" s="236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</row>
    <row r="31" spans="1:64" ht="15" outlineLevel="1">
      <c r="A31" s="139" t="s">
        <v>240</v>
      </c>
      <c r="B31" s="113" t="s">
        <v>1045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</row>
    <row r="32" spans="1:64" ht="15" outlineLevel="1">
      <c r="A32" s="139" t="s">
        <v>241</v>
      </c>
      <c r="B32" s="113" t="s">
        <v>1046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</row>
    <row r="33" spans="1:64" ht="15" outlineLevel="1">
      <c r="A33" s="139" t="s">
        <v>242</v>
      </c>
      <c r="B33" s="113" t="s">
        <v>1047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</row>
    <row r="34" spans="2:64" ht="15">
      <c r="B34" s="688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88"/>
      <c r="Z34" s="688"/>
      <c r="AA34" s="688"/>
      <c r="AB34" s="688"/>
      <c r="AC34" s="688"/>
      <c r="AD34" s="688"/>
      <c r="AE34" s="688"/>
      <c r="AF34" s="688"/>
      <c r="AG34" s="688"/>
      <c r="AH34" s="688"/>
      <c r="AI34" s="688"/>
      <c r="AJ34" s="688"/>
      <c r="AK34" s="688"/>
      <c r="AL34" s="688"/>
      <c r="AM34" s="688"/>
      <c r="AN34" s="688"/>
      <c r="AO34" s="688"/>
      <c r="AP34" s="688"/>
      <c r="AQ34" s="688"/>
      <c r="AR34" s="688"/>
      <c r="AS34" s="688"/>
      <c r="AT34" s="688"/>
      <c r="AU34" s="688"/>
      <c r="AV34" s="688"/>
      <c r="AW34" s="688"/>
      <c r="AX34" s="688"/>
      <c r="AY34" s="688"/>
      <c r="AZ34" s="688"/>
      <c r="BA34" s="688"/>
      <c r="BB34" s="688"/>
      <c r="BC34" s="688"/>
      <c r="BD34" s="688"/>
      <c r="BE34" s="688"/>
      <c r="BF34" s="688"/>
      <c r="BG34" s="688"/>
      <c r="BH34" s="688"/>
      <c r="BI34" s="688"/>
      <c r="BJ34" s="688"/>
      <c r="BK34" s="688"/>
      <c r="BL34" s="688"/>
    </row>
    <row r="35" spans="2:7" ht="15">
      <c r="B35" s="2362"/>
      <c r="C35" s="2362"/>
      <c r="D35" s="2362"/>
      <c r="E35" s="2362"/>
      <c r="F35" s="2362"/>
      <c r="G35" s="2362"/>
    </row>
    <row r="36" ht="15">
      <c r="A36" s="1"/>
    </row>
    <row r="37" spans="1:9" ht="15">
      <c r="A37" s="1"/>
      <c r="B37" s="138"/>
      <c r="C37" s="138"/>
      <c r="D37" s="138"/>
      <c r="E37" s="138">
        <f>'[2]4.1'!U40</f>
        <v>0</v>
      </c>
      <c r="F37" s="138"/>
      <c r="G37" s="138"/>
      <c r="H37" s="138"/>
      <c r="I37" s="138"/>
    </row>
  </sheetData>
  <sheetProtection/>
  <mergeCells count="16">
    <mergeCell ref="H6:P6"/>
    <mergeCell ref="H7:J7"/>
    <mergeCell ref="B35:G35"/>
    <mergeCell ref="E7:E8"/>
    <mergeCell ref="G7:G8"/>
    <mergeCell ref="F7:F8"/>
    <mergeCell ref="A4:P4"/>
    <mergeCell ref="K7:M7"/>
    <mergeCell ref="N7:P7"/>
    <mergeCell ref="B30:I30"/>
    <mergeCell ref="G5:I5"/>
    <mergeCell ref="A6:A8"/>
    <mergeCell ref="B6:B8"/>
    <mergeCell ref="C6:C8"/>
    <mergeCell ref="D7:D8"/>
    <mergeCell ref="D6:G6"/>
  </mergeCells>
  <printOptions/>
  <pageMargins left="0.58" right="0.39" top="0.5905511811023623" bottom="0.3937007874015748" header="0.31496062992125984" footer="0.31496062992125984"/>
  <pageSetup fitToHeight="1" fitToWidth="1" horizontalDpi="600" verticalDpi="600" orientation="portrait" paperSize="9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O28"/>
  <sheetViews>
    <sheetView zoomScaleSheetLayoutView="100" workbookViewId="0" topLeftCell="A1">
      <pane xSplit="3" ySplit="10" topLeftCell="D11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 outlineLevelCol="1"/>
  <cols>
    <col min="1" max="1" width="8.00390625" style="10" customWidth="1"/>
    <col min="2" max="2" width="36.00390625" style="10" customWidth="1"/>
    <col min="3" max="3" width="11.8515625" style="10" customWidth="1"/>
    <col min="4" max="5" width="11.8515625" style="10" hidden="1" customWidth="1"/>
    <col min="6" max="6" width="11.28125" style="10" customWidth="1"/>
    <col min="7" max="9" width="10.7109375" style="10" customWidth="1"/>
    <col min="10" max="10" width="11.140625" style="10" customWidth="1"/>
    <col min="11" max="11" width="10.7109375" style="10" customWidth="1" outlineLevel="1"/>
    <col min="12" max="12" width="10.8515625" style="10" customWidth="1" outlineLevel="1"/>
    <col min="13" max="13" width="11.57421875" style="10" customWidth="1" outlineLevel="1"/>
    <col min="14" max="14" width="9.140625" style="10" customWidth="1"/>
    <col min="15" max="16" width="10.7109375" style="10" customWidth="1"/>
    <col min="17" max="16384" width="9.140625" style="10" customWidth="1"/>
  </cols>
  <sheetData>
    <row r="1" spans="1:13" ht="15" hidden="1">
      <c r="A1" s="689">
        <v>2</v>
      </c>
      <c r="B1" s="689">
        <v>3</v>
      </c>
      <c r="C1" s="689">
        <v>4</v>
      </c>
      <c r="D1" s="689">
        <v>5</v>
      </c>
      <c r="E1" s="689">
        <v>5</v>
      </c>
      <c r="F1" s="689">
        <v>6</v>
      </c>
      <c r="G1" s="689">
        <v>7</v>
      </c>
      <c r="H1" s="689">
        <v>8</v>
      </c>
      <c r="I1" s="689">
        <v>9</v>
      </c>
      <c r="J1" s="689">
        <v>10</v>
      </c>
      <c r="K1" s="689">
        <v>11</v>
      </c>
      <c r="L1" s="689">
        <v>12</v>
      </c>
      <c r="M1" s="689">
        <v>13</v>
      </c>
    </row>
    <row r="2" spans="1:13" ht="15">
      <c r="A2" s="7" t="s">
        <v>455</v>
      </c>
      <c r="B2" s="147"/>
      <c r="C2" s="52"/>
      <c r="D2" s="52"/>
      <c r="E2" s="1"/>
      <c r="J2" s="11"/>
      <c r="K2" s="11"/>
      <c r="L2" s="11"/>
      <c r="M2" s="11" t="s">
        <v>1048</v>
      </c>
    </row>
    <row r="3" spans="1:5" ht="15">
      <c r="A3" s="1" t="s">
        <v>879</v>
      </c>
      <c r="B3" s="147"/>
      <c r="C3" s="52"/>
      <c r="D3" s="52"/>
      <c r="E3" s="1"/>
    </row>
    <row r="5" spans="1:13" ht="16.5" customHeight="1">
      <c r="A5" s="33" t="s">
        <v>1357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179"/>
      <c r="K6" s="2363"/>
      <c r="L6" s="2363"/>
      <c r="M6" s="2363"/>
    </row>
    <row r="7" spans="1:16" ht="15.75" customHeight="1">
      <c r="A7" s="2069" t="s">
        <v>1662</v>
      </c>
      <c r="B7" s="2073" t="s">
        <v>1670</v>
      </c>
      <c r="C7" s="2057" t="s">
        <v>908</v>
      </c>
      <c r="D7" s="2357" t="s">
        <v>1659</v>
      </c>
      <c r="E7" s="2358"/>
      <c r="F7" s="2358"/>
      <c r="G7" s="2358"/>
      <c r="H7" s="2357" t="s">
        <v>1661</v>
      </c>
      <c r="I7" s="2358"/>
      <c r="J7" s="2358"/>
      <c r="K7" s="2358"/>
      <c r="L7" s="2358"/>
      <c r="M7" s="2358"/>
      <c r="N7" s="2358"/>
      <c r="O7" s="2358"/>
      <c r="P7" s="2359"/>
    </row>
    <row r="8" spans="1:16" ht="15.75" customHeight="1">
      <c r="A8" s="2070"/>
      <c r="B8" s="2064"/>
      <c r="C8" s="2057"/>
      <c r="D8" s="2364" t="s">
        <v>944</v>
      </c>
      <c r="E8" s="2364" t="s">
        <v>1139</v>
      </c>
      <c r="F8" s="2364" t="s">
        <v>16</v>
      </c>
      <c r="G8" s="2364" t="s">
        <v>17</v>
      </c>
      <c r="H8" s="2159" t="s">
        <v>1143</v>
      </c>
      <c r="I8" s="2160"/>
      <c r="J8" s="2161"/>
      <c r="K8" s="2159" t="s">
        <v>1148</v>
      </c>
      <c r="L8" s="2160"/>
      <c r="M8" s="2161"/>
      <c r="N8" s="2159" t="s">
        <v>18</v>
      </c>
      <c r="O8" s="2160"/>
      <c r="P8" s="2161"/>
    </row>
    <row r="9" spans="1:16" ht="24" customHeight="1">
      <c r="A9" s="2048"/>
      <c r="B9" s="2065"/>
      <c r="C9" s="2057"/>
      <c r="D9" s="2269"/>
      <c r="E9" s="2269"/>
      <c r="F9" s="2269"/>
      <c r="G9" s="2269"/>
      <c r="H9" s="50" t="s">
        <v>421</v>
      </c>
      <c r="I9" s="50" t="s">
        <v>271</v>
      </c>
      <c r="J9" s="22" t="s">
        <v>272</v>
      </c>
      <c r="K9" s="50" t="s">
        <v>421</v>
      </c>
      <c r="L9" s="50" t="s">
        <v>271</v>
      </c>
      <c r="M9" s="22" t="s">
        <v>272</v>
      </c>
      <c r="N9" s="50" t="s">
        <v>421</v>
      </c>
      <c r="O9" s="50" t="s">
        <v>271</v>
      </c>
      <c r="P9" s="22" t="s">
        <v>272</v>
      </c>
    </row>
    <row r="10" spans="1:16" ht="24" customHeight="1">
      <c r="A10" s="43">
        <v>1</v>
      </c>
      <c r="B10" s="49">
        <v>2</v>
      </c>
      <c r="C10" s="43">
        <v>3</v>
      </c>
      <c r="D10" s="43">
        <v>4</v>
      </c>
      <c r="E10" s="49">
        <v>5</v>
      </c>
      <c r="F10" s="43">
        <v>6</v>
      </c>
      <c r="G10" s="43">
        <v>7</v>
      </c>
      <c r="H10" s="49">
        <v>8</v>
      </c>
      <c r="I10" s="43">
        <v>9</v>
      </c>
      <c r="J10" s="43">
        <v>10</v>
      </c>
      <c r="K10" s="49">
        <v>17</v>
      </c>
      <c r="L10" s="43">
        <v>18</v>
      </c>
      <c r="M10" s="43">
        <v>19</v>
      </c>
      <c r="N10" s="49">
        <v>17</v>
      </c>
      <c r="O10" s="43">
        <v>18</v>
      </c>
      <c r="P10" s="43">
        <v>19</v>
      </c>
    </row>
    <row r="11" spans="1:16" ht="27">
      <c r="A11" s="47">
        <v>1</v>
      </c>
      <c r="B11" s="23" t="s">
        <v>1049</v>
      </c>
      <c r="C11" s="29"/>
      <c r="D11" s="4"/>
      <c r="E11" s="4"/>
      <c r="F11" s="4"/>
      <c r="G11" s="4"/>
      <c r="H11" s="4"/>
      <c r="I11" s="4"/>
      <c r="J11" s="4"/>
      <c r="K11" s="4"/>
      <c r="L11" s="4"/>
      <c r="M11" s="70"/>
      <c r="N11" s="4"/>
      <c r="O11" s="4"/>
      <c r="P11" s="70"/>
    </row>
    <row r="12" spans="1:16" ht="15">
      <c r="A12" s="30" t="s">
        <v>1663</v>
      </c>
      <c r="B12" s="45" t="s">
        <v>1050</v>
      </c>
      <c r="C12" s="29" t="s">
        <v>1042</v>
      </c>
      <c r="D12" s="600" t="e">
        <f>'6.6'!#REF!</f>
        <v>#REF!</v>
      </c>
      <c r="E12" s="600" t="e">
        <f>'6.6'!#REF!</f>
        <v>#REF!</v>
      </c>
      <c r="F12" s="600">
        <f>'6.6'!F28</f>
        <v>53.66</v>
      </c>
      <c r="G12" s="600">
        <f>'6.6'!G28</f>
        <v>53.66</v>
      </c>
      <c r="H12" s="600">
        <f>'6.6'!H28</f>
        <v>57.4085383515785</v>
      </c>
      <c r="I12" s="600">
        <f>'6.6'!I28</f>
        <v>55.800000000000004</v>
      </c>
      <c r="J12" s="600">
        <f>'6.6'!J28</f>
        <v>59.4828</v>
      </c>
      <c r="K12" s="600">
        <f>'6.6'!K28</f>
        <v>61.223053423232855</v>
      </c>
      <c r="L12" s="600">
        <f>'6.6'!L28</f>
        <v>59.4828</v>
      </c>
      <c r="M12" s="600">
        <f>'6.6'!M28</f>
        <v>63.46814760000001</v>
      </c>
      <c r="N12" s="600">
        <f>'6.6'!N28</f>
        <v>65.32499800258948</v>
      </c>
      <c r="O12" s="600">
        <f>'6.6'!O28</f>
        <v>63.46814760000001</v>
      </c>
      <c r="P12" s="600">
        <f>'6.6'!P28</f>
        <v>67.72051348920002</v>
      </c>
    </row>
    <row r="13" spans="1:16" ht="53.25">
      <c r="A13" s="30" t="s">
        <v>424</v>
      </c>
      <c r="B13" s="45" t="s">
        <v>1401</v>
      </c>
      <c r="C13" s="29" t="s">
        <v>1353</v>
      </c>
      <c r="D13" s="118" t="e">
        <f>#REF!</f>
        <v>#REF!</v>
      </c>
      <c r="E13" s="118" t="e">
        <f>#REF!</f>
        <v>#REF!</v>
      </c>
      <c r="F13" s="118">
        <f>'4.2'!M26</f>
        <v>2.4132000000000002</v>
      </c>
      <c r="G13" s="118">
        <f>'4.2'!P26</f>
        <v>1.2072</v>
      </c>
      <c r="H13" s="118">
        <f>'4.2'!S26</f>
        <v>1.20681</v>
      </c>
      <c r="I13" s="118">
        <f>'4.2'!V26</f>
        <v>0.7374949999999999</v>
      </c>
      <c r="J13" s="118">
        <f>'4.2'!Y26</f>
        <v>0.4693149999999999</v>
      </c>
      <c r="K13" s="118">
        <f>'4.2'!AB26</f>
        <v>1.20681</v>
      </c>
      <c r="L13" s="118">
        <f>'4.2'!AE26</f>
        <v>0.7374949999999999</v>
      </c>
      <c r="M13" s="118">
        <f>'4.2'!AH26</f>
        <v>0.4693149999999999</v>
      </c>
      <c r="N13" s="118">
        <f>'4.2'!AK26</f>
        <v>1.20681</v>
      </c>
      <c r="O13" s="118">
        <f>'4.2'!AN26</f>
        <v>0.7374949999999999</v>
      </c>
      <c r="P13" s="118">
        <f>'4.2'!AQ26</f>
        <v>0.4693149999999999</v>
      </c>
    </row>
    <row r="14" spans="1:16" ht="15.75" customHeight="1" hidden="1">
      <c r="A14" s="30"/>
      <c r="B14" s="623" t="s">
        <v>1660</v>
      </c>
      <c r="C14" s="29"/>
      <c r="D14" s="4"/>
      <c r="E14" s="4"/>
      <c r="F14" s="4"/>
      <c r="G14" s="4"/>
      <c r="H14" s="4"/>
      <c r="I14" s="4"/>
      <c r="J14" s="4"/>
      <c r="K14" s="4"/>
      <c r="L14" s="4"/>
      <c r="M14" s="70"/>
      <c r="N14" s="4"/>
      <c r="O14" s="4"/>
      <c r="P14" s="70"/>
    </row>
    <row r="15" spans="1:16" ht="26.25" customHeight="1" hidden="1">
      <c r="A15" s="47" t="s">
        <v>72</v>
      </c>
      <c r="B15" s="23" t="s">
        <v>1402</v>
      </c>
      <c r="C15" s="29"/>
      <c r="D15" s="4"/>
      <c r="E15" s="4"/>
      <c r="F15" s="4"/>
      <c r="G15" s="4"/>
      <c r="H15" s="4"/>
      <c r="I15" s="4"/>
      <c r="J15" s="4"/>
      <c r="K15" s="4"/>
      <c r="L15" s="4"/>
      <c r="M15" s="70"/>
      <c r="N15" s="4"/>
      <c r="O15" s="4"/>
      <c r="P15" s="70"/>
    </row>
    <row r="16" spans="1:16" ht="15.75" customHeight="1" hidden="1">
      <c r="A16" s="30" t="s">
        <v>1403</v>
      </c>
      <c r="B16" s="45" t="s">
        <v>1050</v>
      </c>
      <c r="C16" s="29" t="s">
        <v>1042</v>
      </c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</row>
    <row r="17" spans="1:16" ht="51.75" customHeight="1" hidden="1">
      <c r="A17" s="30" t="s">
        <v>1404</v>
      </c>
      <c r="B17" s="45" t="s">
        <v>1387</v>
      </c>
      <c r="C17" s="29" t="s">
        <v>1353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1:16" ht="51" customHeight="1">
      <c r="A18" s="47" t="s">
        <v>1666</v>
      </c>
      <c r="B18" s="690" t="s">
        <v>1388</v>
      </c>
      <c r="C18" s="29" t="s">
        <v>239</v>
      </c>
      <c r="D18" s="118" t="e">
        <f>D13+D17</f>
        <v>#REF!</v>
      </c>
      <c r="E18" s="118" t="e">
        <f>E13+E17</f>
        <v>#REF!</v>
      </c>
      <c r="F18" s="118">
        <f>F13+F17</f>
        <v>2.4132000000000002</v>
      </c>
      <c r="G18" s="118">
        <f>G13</f>
        <v>1.2072</v>
      </c>
      <c r="H18" s="118">
        <f>H13</f>
        <v>1.20681</v>
      </c>
      <c r="I18" s="118">
        <f>I13</f>
        <v>0.7374949999999999</v>
      </c>
      <c r="J18" s="118">
        <f>J13</f>
        <v>0.4693149999999999</v>
      </c>
      <c r="K18" s="118">
        <f aca="true" t="shared" si="0" ref="K18:P18">K13+K17</f>
        <v>1.20681</v>
      </c>
      <c r="L18" s="118">
        <f t="shared" si="0"/>
        <v>0.7374949999999999</v>
      </c>
      <c r="M18" s="118">
        <f t="shared" si="0"/>
        <v>0.4693149999999999</v>
      </c>
      <c r="N18" s="118">
        <f t="shared" si="0"/>
        <v>1.20681</v>
      </c>
      <c r="O18" s="118">
        <f t="shared" si="0"/>
        <v>0.7374949999999999</v>
      </c>
      <c r="P18" s="118">
        <f t="shared" si="0"/>
        <v>0.4693149999999999</v>
      </c>
    </row>
    <row r="19" spans="1:16" ht="27">
      <c r="A19" s="47" t="s">
        <v>1672</v>
      </c>
      <c r="B19" s="690" t="s">
        <v>1389</v>
      </c>
      <c r="C19" s="29" t="s">
        <v>1042</v>
      </c>
      <c r="D19" s="691" t="e">
        <f aca="true" t="shared" si="1" ref="D19:M19">IF(D18&gt;0,((D12*D13+D16*D17)/D18),0)</f>
        <v>#REF!</v>
      </c>
      <c r="E19" s="691" t="e">
        <f t="shared" si="1"/>
        <v>#REF!</v>
      </c>
      <c r="F19" s="691">
        <f t="shared" si="1"/>
        <v>53.66</v>
      </c>
      <c r="G19" s="691">
        <f t="shared" si="1"/>
        <v>53.66</v>
      </c>
      <c r="H19" s="691">
        <f>IF(H18&gt;0,((H12*H13+H16*H17)/H18),0)</f>
        <v>57.4085383515785</v>
      </c>
      <c r="I19" s="691">
        <f t="shared" si="1"/>
        <v>55.800000000000004</v>
      </c>
      <c r="J19" s="691">
        <f t="shared" si="1"/>
        <v>59.4828</v>
      </c>
      <c r="K19" s="691">
        <f t="shared" si="1"/>
        <v>61.223053423232855</v>
      </c>
      <c r="L19" s="691">
        <f t="shared" si="1"/>
        <v>59.4828</v>
      </c>
      <c r="M19" s="691">
        <f t="shared" si="1"/>
        <v>63.46814760000001</v>
      </c>
      <c r="N19" s="691">
        <f>IF(N18&gt;0,((N12*N13+N16*N17)/N18),0)</f>
        <v>65.32499800258948</v>
      </c>
      <c r="O19" s="691">
        <f>IF(O18&gt;0,((O12*O13+O16*O17)/O18),0)</f>
        <v>63.46814760000001</v>
      </c>
      <c r="P19" s="691">
        <f>IF(P18&gt;0,((P12*P13+P16*P17)/P18),0)</f>
        <v>67.72051348920002</v>
      </c>
    </row>
    <row r="20" ht="15" hidden="1" outlineLevel="1">
      <c r="A20" s="113" t="s">
        <v>304</v>
      </c>
    </row>
    <row r="21" spans="1:93" ht="48.75" customHeight="1" hidden="1" outlineLevel="1">
      <c r="A21" s="116" t="s">
        <v>238</v>
      </c>
      <c r="B21" s="2140" t="s">
        <v>1390</v>
      </c>
      <c r="C21" s="2140"/>
      <c r="D21" s="2140"/>
      <c r="E21" s="2140"/>
      <c r="F21" s="2140"/>
      <c r="G21" s="2140"/>
      <c r="H21" s="2140"/>
      <c r="I21" s="2140"/>
      <c r="J21" s="2140"/>
      <c r="K21" s="2140"/>
      <c r="L21" s="2140"/>
      <c r="M21" s="214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</row>
    <row r="22" spans="1:93" ht="15" hidden="1" outlineLevel="1">
      <c r="A22" s="139" t="s">
        <v>240</v>
      </c>
      <c r="B22" s="113" t="s">
        <v>1391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</row>
    <row r="23" spans="1:93" ht="15" hidden="1" outlineLevel="1">
      <c r="A23" s="139" t="s">
        <v>241</v>
      </c>
      <c r="B23" s="113" t="s">
        <v>103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</row>
    <row r="24" ht="15" collapsed="1"/>
    <row r="26" spans="1:3" ht="15">
      <c r="A26" s="52"/>
      <c r="B26" s="52"/>
      <c r="C26" s="52"/>
    </row>
    <row r="27" spans="1:13" ht="15">
      <c r="A27" s="1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2:6" ht="15">
      <c r="B28" s="10" t="s">
        <v>1362</v>
      </c>
      <c r="F28" s="10" t="s">
        <v>881</v>
      </c>
    </row>
  </sheetData>
  <sheetProtection/>
  <mergeCells count="14">
    <mergeCell ref="K6:M6"/>
    <mergeCell ref="B21:M21"/>
    <mergeCell ref="A7:A9"/>
    <mergeCell ref="B7:B9"/>
    <mergeCell ref="C7:C9"/>
    <mergeCell ref="D7:G7"/>
    <mergeCell ref="D8:D9"/>
    <mergeCell ref="E8:E9"/>
    <mergeCell ref="F8:F9"/>
    <mergeCell ref="G8:G9"/>
    <mergeCell ref="N8:P8"/>
    <mergeCell ref="H7:P7"/>
    <mergeCell ref="H8:J8"/>
    <mergeCell ref="K8:M8"/>
  </mergeCells>
  <printOptions/>
  <pageMargins left="0.7086614173228347" right="0.7086614173228347" top="0.6" bottom="0.38" header="0.31496062992125984" footer="0.31496062992125984"/>
  <pageSetup fitToHeight="1" fitToWidth="1" horizontalDpi="600" verticalDpi="600" orientation="landscape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O29"/>
  <sheetViews>
    <sheetView zoomScaleSheetLayoutView="100" workbookViewId="0" topLeftCell="A1">
      <pane xSplit="3" ySplit="9" topLeftCell="F10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 outlineLevelCol="1"/>
  <cols>
    <col min="1" max="1" width="8.00390625" style="10" customWidth="1"/>
    <col min="2" max="2" width="38.421875" style="10" customWidth="1"/>
    <col min="3" max="3" width="11.8515625" style="10" customWidth="1"/>
    <col min="4" max="5" width="11.8515625" style="10" hidden="1" customWidth="1"/>
    <col min="6" max="6" width="11.28125" style="10" customWidth="1"/>
    <col min="7" max="7" width="10.7109375" style="10" customWidth="1"/>
    <col min="8" max="8" width="10.421875" style="10" customWidth="1"/>
    <col min="9" max="10" width="9.421875" style="10" customWidth="1"/>
    <col min="11" max="11" width="10.421875" style="10" customWidth="1" outlineLevel="1"/>
    <col min="12" max="12" width="9.57421875" style="10" customWidth="1" outlineLevel="1"/>
    <col min="13" max="13" width="9.8515625" style="10" customWidth="1" outlineLevel="1"/>
    <col min="14" max="16384" width="9.140625" style="10" customWidth="1"/>
  </cols>
  <sheetData>
    <row r="1" spans="1:13" ht="15">
      <c r="A1" s="7" t="s">
        <v>455</v>
      </c>
      <c r="B1" s="147"/>
      <c r="C1" s="52"/>
      <c r="D1" s="52"/>
      <c r="E1" s="1"/>
      <c r="J1" s="11"/>
      <c r="K1" s="138"/>
      <c r="L1" s="138"/>
      <c r="M1" s="11" t="s">
        <v>104</v>
      </c>
    </row>
    <row r="2" spans="1:5" ht="15">
      <c r="A2" s="1" t="s">
        <v>882</v>
      </c>
      <c r="B2" s="147"/>
      <c r="C2" s="52"/>
      <c r="D2" s="52"/>
      <c r="E2" s="1"/>
    </row>
    <row r="4" spans="1:13" ht="43.5" customHeight="1">
      <c r="A4" s="2365" t="s">
        <v>1214</v>
      </c>
      <c r="B4" s="2365"/>
      <c r="C4" s="2365"/>
      <c r="D4" s="2365"/>
      <c r="E4" s="2365"/>
      <c r="F4" s="2365"/>
      <c r="G4" s="2365"/>
      <c r="H4" s="2365"/>
      <c r="I4" s="2365"/>
      <c r="J4" s="2365"/>
      <c r="K4" s="2365"/>
      <c r="L4" s="2365"/>
      <c r="M4" s="2365"/>
    </row>
    <row r="5" spans="1:13" ht="15">
      <c r="A5" s="674" t="str">
        <f>'[2]4.1'!B6</f>
        <v>Усть-Камчатское сельское поселение Усть-Камчатского муниципального района</v>
      </c>
      <c r="K5" s="2363"/>
      <c r="L5" s="2363"/>
      <c r="M5" s="2363"/>
    </row>
    <row r="6" spans="1:16" ht="15.75" customHeight="1">
      <c r="A6" s="2069" t="s">
        <v>1662</v>
      </c>
      <c r="B6" s="2073" t="s">
        <v>1670</v>
      </c>
      <c r="C6" s="2057" t="s">
        <v>908</v>
      </c>
      <c r="D6" s="2214" t="s">
        <v>1659</v>
      </c>
      <c r="E6" s="2215"/>
      <c r="F6" s="2215"/>
      <c r="G6" s="2216"/>
      <c r="H6" s="2357" t="s">
        <v>1661</v>
      </c>
      <c r="I6" s="2358"/>
      <c r="J6" s="2358"/>
      <c r="K6" s="2358"/>
      <c r="L6" s="2358"/>
      <c r="M6" s="2358"/>
      <c r="N6" s="2358"/>
      <c r="O6" s="2358"/>
      <c r="P6" s="2359"/>
    </row>
    <row r="7" spans="1:16" ht="15.75" customHeight="1">
      <c r="A7" s="2070"/>
      <c r="B7" s="2064"/>
      <c r="C7" s="2057"/>
      <c r="D7" s="2069" t="s">
        <v>944</v>
      </c>
      <c r="E7" s="2069" t="s">
        <v>1139</v>
      </c>
      <c r="F7" s="2069" t="s">
        <v>16</v>
      </c>
      <c r="G7" s="2069" t="s">
        <v>17</v>
      </c>
      <c r="H7" s="2085" t="s">
        <v>1143</v>
      </c>
      <c r="I7" s="2086"/>
      <c r="J7" s="2074"/>
      <c r="K7" s="2085" t="s">
        <v>1148</v>
      </c>
      <c r="L7" s="2086"/>
      <c r="M7" s="2074"/>
      <c r="N7" s="2085" t="s">
        <v>18</v>
      </c>
      <c r="O7" s="2086"/>
      <c r="P7" s="2074"/>
    </row>
    <row r="8" spans="1:16" ht="24" customHeight="1">
      <c r="A8" s="2048"/>
      <c r="B8" s="2065"/>
      <c r="C8" s="2057"/>
      <c r="D8" s="2048"/>
      <c r="E8" s="2048"/>
      <c r="F8" s="2048"/>
      <c r="G8" s="2048"/>
      <c r="H8" s="50" t="s">
        <v>421</v>
      </c>
      <c r="I8" s="50" t="s">
        <v>271</v>
      </c>
      <c r="J8" s="22" t="s">
        <v>272</v>
      </c>
      <c r="K8" s="50" t="s">
        <v>421</v>
      </c>
      <c r="L8" s="50" t="s">
        <v>271</v>
      </c>
      <c r="M8" s="22" t="s">
        <v>272</v>
      </c>
      <c r="N8" s="50" t="s">
        <v>421</v>
      </c>
      <c r="O8" s="50" t="s">
        <v>271</v>
      </c>
      <c r="P8" s="22" t="s">
        <v>272</v>
      </c>
    </row>
    <row r="9" spans="1:16" ht="24" customHeight="1">
      <c r="A9" s="43">
        <v>1</v>
      </c>
      <c r="B9" s="49">
        <v>2</v>
      </c>
      <c r="C9" s="43">
        <v>3</v>
      </c>
      <c r="D9" s="43">
        <v>4</v>
      </c>
      <c r="E9" s="49">
        <v>5</v>
      </c>
      <c r="F9" s="43">
        <v>6</v>
      </c>
      <c r="G9" s="43">
        <v>7</v>
      </c>
      <c r="H9" s="49">
        <v>8</v>
      </c>
      <c r="I9" s="43">
        <v>9</v>
      </c>
      <c r="J9" s="43">
        <v>10</v>
      </c>
      <c r="K9" s="49">
        <v>17</v>
      </c>
      <c r="L9" s="43">
        <v>18</v>
      </c>
      <c r="M9" s="43">
        <v>19</v>
      </c>
      <c r="N9" s="49">
        <v>17</v>
      </c>
      <c r="O9" s="43">
        <v>18</v>
      </c>
      <c r="P9" s="43">
        <v>19</v>
      </c>
    </row>
    <row r="10" spans="1:16" ht="15">
      <c r="A10" s="47" t="s">
        <v>105</v>
      </c>
      <c r="B10" s="23" t="s">
        <v>1239</v>
      </c>
      <c r="C10" s="29" t="s">
        <v>1042</v>
      </c>
      <c r="D10" s="4"/>
      <c r="E10" s="4"/>
      <c r="F10" s="4"/>
      <c r="G10" s="4"/>
      <c r="H10" s="4"/>
      <c r="I10" s="4"/>
      <c r="J10" s="4"/>
      <c r="K10" s="4"/>
      <c r="L10" s="4"/>
      <c r="M10" s="70"/>
      <c r="N10" s="4"/>
      <c r="O10" s="4"/>
      <c r="P10" s="70"/>
    </row>
    <row r="11" spans="1:16" ht="30" customHeight="1">
      <c r="A11" s="30" t="s">
        <v>1663</v>
      </c>
      <c r="B11" s="692" t="s">
        <v>1240</v>
      </c>
      <c r="C11" s="29" t="s">
        <v>1042</v>
      </c>
      <c r="D11" s="600" t="e">
        <f>'6.7'!D12</f>
        <v>#REF!</v>
      </c>
      <c r="E11" s="600" t="e">
        <f>'6.7'!E12</f>
        <v>#REF!</v>
      </c>
      <c r="F11" s="600">
        <f>'6.7'!F19</f>
        <v>53.66</v>
      </c>
      <c r="G11" s="600">
        <f>'6.7'!G12</f>
        <v>53.66</v>
      </c>
      <c r="H11" s="600">
        <f>'6.7'!H12</f>
        <v>57.4085383515785</v>
      </c>
      <c r="I11" s="600">
        <f>'6.7'!I12</f>
        <v>55.800000000000004</v>
      </c>
      <c r="J11" s="600">
        <f>'6.7'!J12</f>
        <v>59.4828</v>
      </c>
      <c r="K11" s="600">
        <f>'6.7'!K12</f>
        <v>61.223053423232855</v>
      </c>
      <c r="L11" s="600">
        <f>'6.7'!L12</f>
        <v>59.4828</v>
      </c>
      <c r="M11" s="600">
        <f>'6.7'!M12</f>
        <v>63.46814760000001</v>
      </c>
      <c r="N11" s="600">
        <f>'6.7'!N12</f>
        <v>65.32499800258948</v>
      </c>
      <c r="O11" s="600">
        <f>'6.7'!O12</f>
        <v>63.46814760000001</v>
      </c>
      <c r="P11" s="600">
        <f>'6.7'!P12</f>
        <v>67.72051348920002</v>
      </c>
    </row>
    <row r="12" spans="1:16" ht="39.75">
      <c r="A12" s="30" t="s">
        <v>424</v>
      </c>
      <c r="B12" s="692" t="s">
        <v>1401</v>
      </c>
      <c r="C12" s="29" t="s">
        <v>1353</v>
      </c>
      <c r="D12" s="18" t="e">
        <f>'6.7'!D13</f>
        <v>#REF!</v>
      </c>
      <c r="E12" s="18" t="e">
        <f>'6.7'!E13</f>
        <v>#REF!</v>
      </c>
      <c r="F12" s="18">
        <f>'6.7'!F13</f>
        <v>2.4132000000000002</v>
      </c>
      <c r="G12" s="524">
        <f>'6.7'!G13</f>
        <v>1.2072</v>
      </c>
      <c r="H12" s="524">
        <f>'6.7'!H13</f>
        <v>1.20681</v>
      </c>
      <c r="I12" s="524">
        <f>'6.7'!I13</f>
        <v>0.7374949999999999</v>
      </c>
      <c r="J12" s="524">
        <f>'6.7'!J13</f>
        <v>0.4693149999999999</v>
      </c>
      <c r="K12" s="18">
        <f>'6.7'!K13</f>
        <v>1.20681</v>
      </c>
      <c r="L12" s="18">
        <f>'6.7'!L13</f>
        <v>0.7374949999999999</v>
      </c>
      <c r="M12" s="18">
        <f>'6.7'!M13</f>
        <v>0.4693149999999999</v>
      </c>
      <c r="N12" s="18">
        <f>'6.7'!N13</f>
        <v>1.20681</v>
      </c>
      <c r="O12" s="18">
        <f>'6.7'!O13</f>
        <v>0.7374949999999999</v>
      </c>
      <c r="P12" s="18">
        <f>'6.7'!P13</f>
        <v>0.4693149999999999</v>
      </c>
    </row>
    <row r="13" spans="1:16" ht="15" hidden="1">
      <c r="A13" s="30"/>
      <c r="B13" s="693" t="s">
        <v>1660</v>
      </c>
      <c r="C13" s="29"/>
      <c r="D13" s="4"/>
      <c r="E13" s="4"/>
      <c r="F13" s="4"/>
      <c r="G13" s="4"/>
      <c r="H13" s="4"/>
      <c r="I13" s="4"/>
      <c r="J13" s="4"/>
      <c r="K13" s="4"/>
      <c r="L13" s="4"/>
      <c r="M13" s="70"/>
      <c r="N13" s="4"/>
      <c r="O13" s="4"/>
      <c r="P13" s="70"/>
    </row>
    <row r="14" spans="1:16" ht="27" hidden="1">
      <c r="A14" s="30" t="s">
        <v>1241</v>
      </c>
      <c r="B14" s="692" t="s">
        <v>1451</v>
      </c>
      <c r="C14" s="29" t="s">
        <v>1042</v>
      </c>
      <c r="D14" s="4"/>
      <c r="E14" s="4"/>
      <c r="F14" s="4"/>
      <c r="G14" s="4"/>
      <c r="H14" s="4"/>
      <c r="I14" s="4"/>
      <c r="J14" s="4"/>
      <c r="K14" s="4"/>
      <c r="L14" s="4"/>
      <c r="M14" s="70"/>
      <c r="N14" s="4"/>
      <c r="O14" s="4"/>
      <c r="P14" s="70"/>
    </row>
    <row r="15" spans="1:16" ht="15" hidden="1">
      <c r="A15" s="30" t="s">
        <v>1452</v>
      </c>
      <c r="B15" s="692" t="s">
        <v>1050</v>
      </c>
      <c r="C15" s="29" t="s">
        <v>1353</v>
      </c>
      <c r="D15" s="4"/>
      <c r="E15" s="4"/>
      <c r="F15" s="4"/>
      <c r="G15" s="4"/>
      <c r="H15" s="4"/>
      <c r="I15" s="4"/>
      <c r="J15" s="4"/>
      <c r="K15" s="4"/>
      <c r="L15" s="4"/>
      <c r="M15" s="70"/>
      <c r="N15" s="4"/>
      <c r="O15" s="4"/>
      <c r="P15" s="70"/>
    </row>
    <row r="16" spans="1:16" ht="15">
      <c r="A16" s="47" t="s">
        <v>1453</v>
      </c>
      <c r="B16" s="694" t="s">
        <v>1454</v>
      </c>
      <c r="C16" s="29"/>
      <c r="D16" s="4"/>
      <c r="E16" s="4"/>
      <c r="F16" s="4"/>
      <c r="G16" s="4"/>
      <c r="H16" s="4"/>
      <c r="I16" s="4"/>
      <c r="J16" s="4"/>
      <c r="K16" s="4"/>
      <c r="L16" s="4"/>
      <c r="M16" s="70"/>
      <c r="N16" s="4"/>
      <c r="O16" s="4"/>
      <c r="P16" s="70"/>
    </row>
    <row r="17" spans="1:16" ht="27">
      <c r="A17" s="30" t="s">
        <v>1671</v>
      </c>
      <c r="B17" s="15" t="s">
        <v>1063</v>
      </c>
      <c r="C17" s="29" t="s">
        <v>217</v>
      </c>
      <c r="D17" s="600">
        <f>'6.4'!J32</f>
        <v>13162.45</v>
      </c>
      <c r="E17" s="600">
        <f>'6.4'!M32</f>
        <v>16501.821042216212</v>
      </c>
      <c r="F17" s="1486">
        <f>'6.4'!J32</f>
        <v>13162.45</v>
      </c>
      <c r="G17" s="1486">
        <f>'6.4'!M32</f>
        <v>16501.821042216212</v>
      </c>
      <c r="H17" s="1486">
        <f>'6.4'!P32</f>
        <v>17621.91943857015</v>
      </c>
      <c r="I17" s="1486">
        <f>'6.4'!S32</f>
        <v>15319.10678297905</v>
      </c>
      <c r="J17" s="1486">
        <f>'6.4'!V32</f>
        <v>21087.907013156237</v>
      </c>
      <c r="K17" s="1486">
        <f>'6.4'!Y32</f>
        <v>17638.253827714572</v>
      </c>
      <c r="L17" s="1486">
        <f>'6.4'!AB32</f>
        <v>15441.787512417182</v>
      </c>
      <c r="M17" s="1486">
        <f>'6.4'!AE32</f>
        <v>20912.749771156872</v>
      </c>
      <c r="N17" s="1486">
        <f>'6.4'!AH32</f>
        <v>18580.33727583827</v>
      </c>
      <c r="O17" s="1486">
        <f>'6.4'!AK32</f>
        <v>16384.913984449584</v>
      </c>
      <c r="P17" s="1486">
        <f>'6.4'!AN32</f>
        <v>21837.04203279212</v>
      </c>
    </row>
    <row r="18" spans="1:16" ht="27">
      <c r="A18" s="30" t="s">
        <v>1664</v>
      </c>
      <c r="B18" s="15" t="s">
        <v>1064</v>
      </c>
      <c r="C18" s="29"/>
      <c r="D18" s="4"/>
      <c r="E18" s="4"/>
      <c r="F18" s="4"/>
      <c r="G18" s="4"/>
      <c r="H18" s="4"/>
      <c r="I18" s="4"/>
      <c r="J18" s="4"/>
      <c r="K18" s="4"/>
      <c r="L18" s="4"/>
      <c r="M18" s="70"/>
      <c r="N18" s="4"/>
      <c r="O18" s="4"/>
      <c r="P18" s="70"/>
    </row>
    <row r="19" spans="1:16" ht="18.75" customHeight="1">
      <c r="A19" s="70"/>
      <c r="B19" s="695" t="s">
        <v>805</v>
      </c>
      <c r="C19" s="29" t="s">
        <v>217</v>
      </c>
      <c r="D19" s="4"/>
      <c r="E19" s="4"/>
      <c r="F19" s="4"/>
      <c r="G19" s="4"/>
      <c r="H19" s="4"/>
      <c r="I19" s="4"/>
      <c r="J19" s="4"/>
      <c r="K19" s="4"/>
      <c r="L19" s="4"/>
      <c r="M19" s="70"/>
      <c r="N19" s="4"/>
      <c r="O19" s="4"/>
      <c r="P19" s="70"/>
    </row>
    <row r="20" spans="1:16" ht="29.25" customHeight="1">
      <c r="A20" s="70"/>
      <c r="B20" s="696" t="s">
        <v>806</v>
      </c>
      <c r="C20" s="697" t="s">
        <v>1065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2" ht="15" hidden="1" outlineLevel="1">
      <c r="A21" s="114" t="s">
        <v>304</v>
      </c>
      <c r="B21" s="1"/>
    </row>
    <row r="22" spans="1:93" ht="66.75" customHeight="1" hidden="1" outlineLevel="1">
      <c r="A22" s="116" t="s">
        <v>238</v>
      </c>
      <c r="B22" s="2140" t="s">
        <v>1516</v>
      </c>
      <c r="C22" s="2140"/>
      <c r="D22" s="2140"/>
      <c r="E22" s="2140"/>
      <c r="F22" s="2140"/>
      <c r="G22" s="2140"/>
      <c r="H22" s="2140"/>
      <c r="I22" s="2140"/>
      <c r="J22" s="2140"/>
      <c r="K22" s="2140"/>
      <c r="L22" s="2140"/>
      <c r="M22" s="214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</row>
    <row r="23" spans="1:93" ht="15" hidden="1" outlineLevel="1">
      <c r="A23" s="139" t="s">
        <v>240</v>
      </c>
      <c r="B23" s="113" t="s">
        <v>1517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</row>
    <row r="24" ht="15" collapsed="1"/>
    <row r="25" ht="15">
      <c r="A25" s="10" t="s">
        <v>1518</v>
      </c>
    </row>
    <row r="26" ht="15">
      <c r="A26" s="1"/>
    </row>
    <row r="27" spans="1:13" ht="15">
      <c r="A27" s="1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9" ht="15">
      <c r="B29" s="83"/>
    </row>
  </sheetData>
  <sheetProtection/>
  <mergeCells count="15">
    <mergeCell ref="G7:G8"/>
    <mergeCell ref="H7:J7"/>
    <mergeCell ref="K7:M7"/>
    <mergeCell ref="A4:M4"/>
    <mergeCell ref="K5:M5"/>
    <mergeCell ref="N7:P7"/>
    <mergeCell ref="H6:P6"/>
    <mergeCell ref="B22:M22"/>
    <mergeCell ref="A6:A8"/>
    <mergeCell ref="B6:B8"/>
    <mergeCell ref="C6:C8"/>
    <mergeCell ref="D6:G6"/>
    <mergeCell ref="E7:E8"/>
    <mergeCell ref="D7:D8"/>
    <mergeCell ref="F7:F8"/>
  </mergeCells>
  <printOptions/>
  <pageMargins left="0.7086614173228347" right="0.7086614173228347" top="0.6" bottom="0.38" header="0.31496062992125984" footer="0.31496062992125984"/>
  <pageSetup fitToHeight="1" fitToWidth="1" horizontalDpi="600" verticalDpi="600" orientation="landscape" paperSize="9" scale="9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X56"/>
  <sheetViews>
    <sheetView zoomScale="86" zoomScaleNormal="86" zoomScaleSheetLayoutView="76" workbookViewId="0" topLeftCell="A1">
      <selection activeCell="V37" sqref="V37"/>
    </sheetView>
  </sheetViews>
  <sheetFormatPr defaultColWidth="9.140625" defaultRowHeight="15"/>
  <cols>
    <col min="1" max="1" width="9.140625" style="469" customWidth="1"/>
    <col min="2" max="2" width="11.7109375" style="469" customWidth="1"/>
    <col min="3" max="3" width="17.7109375" style="469" customWidth="1"/>
    <col min="4" max="7" width="9.140625" style="469" customWidth="1"/>
    <col min="8" max="8" width="15.421875" style="469" customWidth="1"/>
    <col min="9" max="9" width="10.28125" style="469" customWidth="1"/>
    <col min="10" max="10" width="10.421875" style="469" customWidth="1"/>
    <col min="11" max="13" width="9.140625" style="469" customWidth="1"/>
    <col min="14" max="14" width="10.28125" style="469" customWidth="1"/>
    <col min="15" max="15" width="16.140625" style="469" customWidth="1"/>
    <col min="16" max="16384" width="9.140625" style="469" customWidth="1"/>
  </cols>
  <sheetData>
    <row r="1" spans="2:24" ht="22.5">
      <c r="B1" s="1265" t="s">
        <v>39</v>
      </c>
      <c r="C1" s="1265"/>
      <c r="D1" s="1266"/>
      <c r="L1" s="1107"/>
      <c r="M1" s="1107"/>
      <c r="N1" s="1107"/>
      <c r="O1" s="1267"/>
      <c r="P1" s="1107"/>
      <c r="Q1" s="1107"/>
      <c r="R1" s="1107"/>
      <c r="S1" s="1107"/>
      <c r="T1" s="1107"/>
      <c r="U1" s="1107"/>
      <c r="V1" s="1107"/>
      <c r="W1" s="1107"/>
      <c r="X1" s="1107"/>
    </row>
    <row r="2" spans="2:24" ht="13.5">
      <c r="B2" s="2411" t="s">
        <v>1458</v>
      </c>
      <c r="C2" s="2411"/>
      <c r="D2" s="2411"/>
      <c r="E2" s="2411"/>
      <c r="F2" s="2411"/>
      <c r="G2" s="2411"/>
      <c r="H2" s="2411"/>
      <c r="I2" s="2411"/>
      <c r="J2" s="2411"/>
      <c r="K2" s="1091"/>
      <c r="L2" s="1268"/>
      <c r="M2" s="1107"/>
      <c r="N2" s="1107"/>
      <c r="O2" s="1108"/>
      <c r="P2" s="1107"/>
      <c r="Q2" s="1107"/>
      <c r="R2" s="1107"/>
      <c r="S2" s="1107"/>
      <c r="T2" s="1107"/>
      <c r="U2" s="1107"/>
      <c r="V2" s="1107"/>
      <c r="W2" s="1107"/>
      <c r="X2" s="1107"/>
    </row>
    <row r="3" spans="2:24" ht="39">
      <c r="B3" s="2392" t="s">
        <v>1</v>
      </c>
      <c r="C3" s="2393"/>
      <c r="D3" s="2412"/>
      <c r="E3" s="1269" t="s">
        <v>1456</v>
      </c>
      <c r="F3" s="1269" t="s">
        <v>1457</v>
      </c>
      <c r="G3" s="1270" t="s">
        <v>2</v>
      </c>
      <c r="H3" s="2403" t="s">
        <v>1458</v>
      </c>
      <c r="I3" s="2404"/>
      <c r="J3" s="2405"/>
      <c r="K3" s="1091"/>
      <c r="L3" s="1107"/>
      <c r="M3" s="2369"/>
      <c r="N3" s="2369"/>
      <c r="O3" s="2369"/>
      <c r="P3" s="1345"/>
      <c r="Q3" s="1345"/>
      <c r="R3" s="1345"/>
      <c r="S3" s="2370"/>
      <c r="T3" s="2370"/>
      <c r="U3" s="2370"/>
      <c r="V3" s="1107"/>
      <c r="W3" s="1107"/>
      <c r="X3" s="1107"/>
    </row>
    <row r="4" spans="2:24" ht="26.25">
      <c r="B4" s="2394"/>
      <c r="C4" s="2395"/>
      <c r="D4" s="2413"/>
      <c r="E4" s="1271"/>
      <c r="F4" s="1271"/>
      <c r="G4" s="1272"/>
      <c r="H4" s="1270" t="s">
        <v>3</v>
      </c>
      <c r="I4" s="1270" t="s">
        <v>1317</v>
      </c>
      <c r="J4" s="1270" t="s">
        <v>1318</v>
      </c>
      <c r="K4" s="1091"/>
      <c r="L4" s="1107"/>
      <c r="M4" s="2369"/>
      <c r="N4" s="2369"/>
      <c r="O4" s="2369"/>
      <c r="P4" s="1345"/>
      <c r="Q4" s="1345"/>
      <c r="R4" s="1345"/>
      <c r="S4" s="1345"/>
      <c r="T4" s="1345"/>
      <c r="U4" s="1345"/>
      <c r="V4" s="1107"/>
      <c r="W4" s="1107"/>
      <c r="X4" s="1107"/>
    </row>
    <row r="5" spans="2:24" ht="12.75">
      <c r="B5" s="2414" t="s">
        <v>4</v>
      </c>
      <c r="C5" s="2415"/>
      <c r="D5" s="2415"/>
      <c r="E5" s="2415"/>
      <c r="F5" s="2415"/>
      <c r="G5" s="2415"/>
      <c r="H5" s="2415"/>
      <c r="I5" s="2415"/>
      <c r="J5" s="2416"/>
      <c r="K5" s="1091"/>
      <c r="L5" s="1107"/>
      <c r="M5" s="2371"/>
      <c r="N5" s="2371"/>
      <c r="O5" s="2371"/>
      <c r="P5" s="2371"/>
      <c r="Q5" s="2371"/>
      <c r="R5" s="2371"/>
      <c r="S5" s="2371"/>
      <c r="T5" s="2371"/>
      <c r="U5" s="2371"/>
      <c r="V5" s="1107"/>
      <c r="W5" s="1107"/>
      <c r="X5" s="1107"/>
    </row>
    <row r="6" spans="1:24" ht="18" customHeight="1">
      <c r="A6" s="1092"/>
      <c r="B6" s="1273" t="s">
        <v>1459</v>
      </c>
      <c r="C6" s="1274"/>
      <c r="D6" s="1275"/>
      <c r="E6" s="1276"/>
      <c r="F6" s="1277">
        <v>180</v>
      </c>
      <c r="G6" s="1278">
        <v>2.58</v>
      </c>
      <c r="H6" s="1279">
        <f>H8+H12</f>
        <v>2119.05</v>
      </c>
      <c r="I6" s="1279">
        <f>I8+I12</f>
        <v>1193.6149999999998</v>
      </c>
      <c r="J6" s="1279">
        <f>J8+J12</f>
        <v>925.435</v>
      </c>
      <c r="K6" s="1091"/>
      <c r="L6" s="1107"/>
      <c r="M6" s="1346"/>
      <c r="N6" s="1346"/>
      <c r="O6" s="1346"/>
      <c r="P6" s="1347"/>
      <c r="Q6" s="1348"/>
      <c r="R6" s="1349"/>
      <c r="S6" s="1350"/>
      <c r="T6" s="1350"/>
      <c r="U6" s="1350"/>
      <c r="V6" s="1107"/>
      <c r="W6" s="1107"/>
      <c r="X6" s="1107"/>
    </row>
    <row r="7" spans="1:24" ht="13.5">
      <c r="A7" s="1092"/>
      <c r="B7" s="1280" t="s">
        <v>1688</v>
      </c>
      <c r="C7" s="1281"/>
      <c r="D7" s="1282"/>
      <c r="E7" s="1283"/>
      <c r="F7" s="1284"/>
      <c r="G7" s="1285"/>
      <c r="H7" s="1286"/>
      <c r="I7" s="1286"/>
      <c r="J7" s="1286"/>
      <c r="K7" s="1091"/>
      <c r="L7" s="1107"/>
      <c r="M7" s="1351"/>
      <c r="N7" s="1351"/>
      <c r="O7" s="1351"/>
      <c r="P7" s="1352"/>
      <c r="Q7" s="1353"/>
      <c r="R7" s="1349"/>
      <c r="S7" s="1354"/>
      <c r="T7" s="1354"/>
      <c r="U7" s="1354"/>
      <c r="V7" s="1107"/>
      <c r="W7" s="1107"/>
      <c r="X7" s="1107"/>
    </row>
    <row r="8" spans="1:24" ht="15">
      <c r="A8" s="1287"/>
      <c r="B8" s="2417" t="s">
        <v>5</v>
      </c>
      <c r="C8" s="2418"/>
      <c r="D8" s="2419"/>
      <c r="E8" s="1283"/>
      <c r="F8" s="1288">
        <f>F9+F10+F11</f>
        <v>53</v>
      </c>
      <c r="G8" s="1285"/>
      <c r="H8" s="1289">
        <f>SUM(H9:H11)</f>
        <v>1206.81</v>
      </c>
      <c r="I8" s="1289">
        <f>SUM(I9:I11)</f>
        <v>737.4949999999999</v>
      </c>
      <c r="J8" s="1289">
        <f>SUM(J9:J11)</f>
        <v>469.31499999999994</v>
      </c>
      <c r="K8" s="1290"/>
      <c r="L8" s="1107"/>
      <c r="M8" s="2368"/>
      <c r="N8" s="2368"/>
      <c r="O8" s="2368"/>
      <c r="P8" s="1352"/>
      <c r="Q8" s="1355"/>
      <c r="R8" s="1349"/>
      <c r="S8" s="1356"/>
      <c r="T8" s="1356"/>
      <c r="U8" s="1356"/>
      <c r="V8" s="1107"/>
      <c r="W8" s="1107"/>
      <c r="X8" s="1107"/>
    </row>
    <row r="9" spans="1:24" ht="18">
      <c r="A9" s="1291"/>
      <c r="B9" s="2373" t="s">
        <v>15</v>
      </c>
      <c r="C9" s="2373"/>
      <c r="D9" s="2373"/>
      <c r="E9" s="1292" t="s">
        <v>1455</v>
      </c>
      <c r="F9" s="1093">
        <v>3</v>
      </c>
      <c r="G9" s="1293">
        <v>2.53</v>
      </c>
      <c r="H9" s="1094">
        <f>I9+J9</f>
        <v>68.31</v>
      </c>
      <c r="I9" s="1094">
        <f>F9*G9*5.5</f>
        <v>41.745</v>
      </c>
      <c r="J9" s="1094">
        <f>F9*G9*3.5</f>
        <v>26.564999999999998</v>
      </c>
      <c r="K9" s="1290"/>
      <c r="L9" s="1107"/>
      <c r="M9" s="2367"/>
      <c r="N9" s="2367"/>
      <c r="O9" s="2367"/>
      <c r="P9" s="1357"/>
      <c r="Q9" s="1358"/>
      <c r="R9" s="1359"/>
      <c r="S9" s="1360"/>
      <c r="T9" s="1360"/>
      <c r="U9" s="1360"/>
      <c r="V9" s="1107"/>
      <c r="W9" s="1107"/>
      <c r="X9" s="1107"/>
    </row>
    <row r="10" spans="1:24" ht="18">
      <c r="A10" s="1291"/>
      <c r="B10" s="2373" t="s">
        <v>13</v>
      </c>
      <c r="C10" s="2373"/>
      <c r="D10" s="2373"/>
      <c r="E10" s="1292" t="s">
        <v>1455</v>
      </c>
      <c r="F10" s="1093">
        <v>20</v>
      </c>
      <c r="G10" s="1293">
        <v>2.53</v>
      </c>
      <c r="H10" s="1094">
        <f>I10+J10</f>
        <v>455.3999999999999</v>
      </c>
      <c r="I10" s="1094">
        <f>F10*G10*5.5</f>
        <v>278.29999999999995</v>
      </c>
      <c r="J10" s="1094">
        <f>F10*G10*3.5</f>
        <v>177.09999999999997</v>
      </c>
      <c r="K10" s="1290"/>
      <c r="L10" s="1107"/>
      <c r="M10" s="2367"/>
      <c r="N10" s="2367"/>
      <c r="O10" s="2367"/>
      <c r="P10" s="1357"/>
      <c r="Q10" s="1358"/>
      <c r="R10" s="1359"/>
      <c r="S10" s="1360"/>
      <c r="T10" s="1360"/>
      <c r="U10" s="1360"/>
      <c r="V10" s="1294"/>
      <c r="W10" s="1294"/>
      <c r="X10" s="1107"/>
    </row>
    <row r="11" spans="1:24" ht="18">
      <c r="A11" s="1091"/>
      <c r="B11" s="2408" t="s">
        <v>1460</v>
      </c>
      <c r="C11" s="2409"/>
      <c r="D11" s="2410"/>
      <c r="E11" s="1295" t="s">
        <v>1455</v>
      </c>
      <c r="F11" s="1093">
        <v>30</v>
      </c>
      <c r="G11" s="1293">
        <v>2.53</v>
      </c>
      <c r="H11" s="1094">
        <f>I11+J11</f>
        <v>683.0999999999999</v>
      </c>
      <c r="I11" s="1094">
        <f>F11*G11*5.5</f>
        <v>417.44999999999993</v>
      </c>
      <c r="J11" s="1094">
        <f>F11*G11*3.5</f>
        <v>265.65</v>
      </c>
      <c r="K11" s="1091"/>
      <c r="L11" s="1107"/>
      <c r="M11" s="2366"/>
      <c r="N11" s="2366"/>
      <c r="O11" s="2366"/>
      <c r="P11" s="1357"/>
      <c r="Q11" s="1358"/>
      <c r="R11" s="1359"/>
      <c r="S11" s="1360"/>
      <c r="T11" s="1360"/>
      <c r="U11" s="1360"/>
      <c r="V11" s="1294"/>
      <c r="W11" s="1294"/>
      <c r="X11" s="1107"/>
    </row>
    <row r="12" spans="1:24" ht="15">
      <c r="A12" s="1287"/>
      <c r="B12" s="2372" t="s">
        <v>6</v>
      </c>
      <c r="C12" s="2372"/>
      <c r="D12" s="2372"/>
      <c r="E12" s="1283"/>
      <c r="F12" s="1288">
        <f>F13+F14</f>
        <v>42</v>
      </c>
      <c r="G12" s="1293"/>
      <c r="H12" s="1289">
        <f>H13+H14</f>
        <v>912.24</v>
      </c>
      <c r="I12" s="1289">
        <f>I13+I14</f>
        <v>456.12</v>
      </c>
      <c r="J12" s="1289">
        <f>J13+J14</f>
        <v>456.12</v>
      </c>
      <c r="K12" s="1091"/>
      <c r="L12" s="1107"/>
      <c r="M12" s="2368"/>
      <c r="N12" s="2368"/>
      <c r="O12" s="2368"/>
      <c r="P12" s="1352"/>
      <c r="Q12" s="1355"/>
      <c r="R12" s="1359"/>
      <c r="S12" s="1356"/>
      <c r="T12" s="1356"/>
      <c r="U12" s="1356"/>
      <c r="V12" s="1294"/>
      <c r="W12" s="1294"/>
      <c r="X12" s="1107"/>
    </row>
    <row r="13" spans="1:24" ht="18">
      <c r="A13" s="1296"/>
      <c r="B13" s="2407" t="s">
        <v>1461</v>
      </c>
      <c r="C13" s="2407"/>
      <c r="D13" s="2407"/>
      <c r="E13" s="1295" t="s">
        <v>1455</v>
      </c>
      <c r="F13" s="1093">
        <v>20</v>
      </c>
      <c r="G13" s="1293">
        <v>1.81</v>
      </c>
      <c r="H13" s="1094">
        <f>I13+J13</f>
        <v>434.40000000000003</v>
      </c>
      <c r="I13" s="1094">
        <f>F13*G13*6</f>
        <v>217.20000000000002</v>
      </c>
      <c r="J13" s="1094">
        <f>F13*G13*6</f>
        <v>217.20000000000002</v>
      </c>
      <c r="K13" s="1091"/>
      <c r="L13" s="1107"/>
      <c r="M13" s="2366"/>
      <c r="N13" s="2366"/>
      <c r="O13" s="2366"/>
      <c r="P13" s="1357"/>
      <c r="Q13" s="1358"/>
      <c r="R13" s="1359"/>
      <c r="S13" s="1360"/>
      <c r="T13" s="1360"/>
      <c r="U13" s="1360"/>
      <c r="V13" s="1294"/>
      <c r="W13" s="1294"/>
      <c r="X13" s="1107"/>
    </row>
    <row r="14" spans="2:24" ht="18">
      <c r="B14" s="2407" t="s">
        <v>1462</v>
      </c>
      <c r="C14" s="2407"/>
      <c r="D14" s="2407"/>
      <c r="E14" s="1295" t="s">
        <v>1455</v>
      </c>
      <c r="F14" s="1093">
        <v>22</v>
      </c>
      <c r="G14" s="1293">
        <v>1.81</v>
      </c>
      <c r="H14" s="1094">
        <f>I14+J14</f>
        <v>477.84000000000003</v>
      </c>
      <c r="I14" s="1094">
        <f>F14*G14*6</f>
        <v>238.92000000000002</v>
      </c>
      <c r="J14" s="1094">
        <f>F14*G14*6</f>
        <v>238.92000000000002</v>
      </c>
      <c r="K14" s="1091"/>
      <c r="L14" s="1107"/>
      <c r="M14" s="2366"/>
      <c r="N14" s="2366"/>
      <c r="O14" s="2366"/>
      <c r="P14" s="1357"/>
      <c r="Q14" s="1358"/>
      <c r="R14" s="1359"/>
      <c r="S14" s="1360"/>
      <c r="T14" s="1360"/>
      <c r="U14" s="1360"/>
      <c r="V14" s="1297"/>
      <c r="W14" s="1297"/>
      <c r="X14" s="1107"/>
    </row>
    <row r="15" spans="2:24" ht="15">
      <c r="B15" s="1298"/>
      <c r="C15" s="1298"/>
      <c r="D15" s="1298"/>
      <c r="E15" s="1299"/>
      <c r="F15" s="1300"/>
      <c r="G15" s="1301"/>
      <c r="H15" s="1302"/>
      <c r="I15" s="1302"/>
      <c r="J15" s="1302"/>
      <c r="K15" s="1091"/>
      <c r="L15" s="1107"/>
      <c r="M15" s="1107"/>
      <c r="N15" s="1107"/>
      <c r="O15" s="1303"/>
      <c r="P15" s="1303"/>
      <c r="Q15" s="1303"/>
      <c r="R15" s="1304"/>
      <c r="S15" s="1305"/>
      <c r="T15" s="1301"/>
      <c r="U15" s="1107"/>
      <c r="V15" s="1107"/>
      <c r="W15" s="1107"/>
      <c r="X15" s="1107"/>
    </row>
    <row r="16" spans="2:24" ht="18">
      <c r="B16" s="1306"/>
      <c r="C16" s="1306"/>
      <c r="D16" s="1306"/>
      <c r="E16" s="1307"/>
      <c r="F16" s="1308"/>
      <c r="G16" s="1309"/>
      <c r="H16" s="1310"/>
      <c r="I16" s="1310"/>
      <c r="J16" s="1310"/>
      <c r="L16" s="1107"/>
      <c r="M16" s="1107"/>
      <c r="N16" s="1107"/>
      <c r="O16" s="1303"/>
      <c r="P16" s="1303"/>
      <c r="Q16" s="1303"/>
      <c r="R16" s="1304"/>
      <c r="S16" s="1311"/>
      <c r="T16" s="1301"/>
      <c r="U16" s="1312"/>
      <c r="V16" s="1312"/>
      <c r="W16" s="1312"/>
      <c r="X16" s="1107"/>
    </row>
    <row r="17" spans="2:24" ht="18">
      <c r="B17" s="2420" t="s">
        <v>7</v>
      </c>
      <c r="C17" s="2420"/>
      <c r="D17" s="2420"/>
      <c r="E17" s="2420"/>
      <c r="F17" s="2420"/>
      <c r="G17" s="2420"/>
      <c r="H17" s="2420"/>
      <c r="I17" s="2420"/>
      <c r="J17" s="2420"/>
      <c r="L17" s="1107"/>
      <c r="M17" s="1107"/>
      <c r="N17" s="1107"/>
      <c r="O17" s="1291"/>
      <c r="P17" s="1291"/>
      <c r="Q17" s="1291"/>
      <c r="R17" s="1307"/>
      <c r="S17" s="1308"/>
      <c r="T17" s="1309"/>
      <c r="U17" s="1310"/>
      <c r="V17" s="1310"/>
      <c r="W17" s="1310"/>
      <c r="X17" s="1107"/>
    </row>
    <row r="18" spans="2:24" ht="39">
      <c r="B18" s="2392" t="s">
        <v>1</v>
      </c>
      <c r="C18" s="2393"/>
      <c r="D18" s="2412"/>
      <c r="E18" s="1269" t="s">
        <v>1456</v>
      </c>
      <c r="F18" s="1269" t="s">
        <v>1457</v>
      </c>
      <c r="G18" s="1270" t="s">
        <v>8</v>
      </c>
      <c r="H18" s="2403" t="s">
        <v>7</v>
      </c>
      <c r="I18" s="2404"/>
      <c r="J18" s="2405"/>
      <c r="L18" s="1107"/>
      <c r="M18" s="1107"/>
      <c r="N18" s="1107"/>
      <c r="O18" s="1291"/>
      <c r="P18" s="1291"/>
      <c r="Q18" s="1291"/>
      <c r="R18" s="1307"/>
      <c r="S18" s="1308"/>
      <c r="T18" s="1309"/>
      <c r="U18" s="1310"/>
      <c r="V18" s="1310"/>
      <c r="W18" s="1310"/>
      <c r="X18" s="1107"/>
    </row>
    <row r="19" spans="2:24" ht="24.75" customHeight="1">
      <c r="B19" s="2394"/>
      <c r="C19" s="2395"/>
      <c r="D19" s="2413"/>
      <c r="E19" s="1313"/>
      <c r="F19" s="1313"/>
      <c r="G19" s="1314"/>
      <c r="H19" s="1270" t="s">
        <v>3</v>
      </c>
      <c r="I19" s="1270" t="s">
        <v>1317</v>
      </c>
      <c r="J19" s="1270" t="s">
        <v>1318</v>
      </c>
      <c r="L19" s="1107"/>
      <c r="M19" s="1107"/>
      <c r="N19" s="1107"/>
      <c r="O19" s="1291"/>
      <c r="P19" s="1315"/>
      <c r="Q19" s="1315"/>
      <c r="R19" s="1307"/>
      <c r="S19" s="1308"/>
      <c r="T19" s="1309"/>
      <c r="U19" s="1310"/>
      <c r="V19" s="1310"/>
      <c r="W19" s="1310"/>
      <c r="X19" s="1107"/>
    </row>
    <row r="20" spans="2:24" ht="12" customHeight="1">
      <c r="B20" s="2414" t="s">
        <v>4</v>
      </c>
      <c r="C20" s="2415"/>
      <c r="D20" s="2415"/>
      <c r="E20" s="2415"/>
      <c r="F20" s="2415"/>
      <c r="G20" s="2415"/>
      <c r="H20" s="2415"/>
      <c r="I20" s="2415"/>
      <c r="J20" s="2416"/>
      <c r="L20" s="1107"/>
      <c r="M20" s="1107"/>
      <c r="N20" s="1107"/>
      <c r="O20" s="1315"/>
      <c r="P20" s="1315"/>
      <c r="Q20" s="1315"/>
      <c r="R20" s="1307"/>
      <c r="S20" s="1308"/>
      <c r="T20" s="1309"/>
      <c r="U20" s="1310"/>
      <c r="V20" s="1310"/>
      <c r="W20" s="1310"/>
      <c r="X20" s="1107"/>
    </row>
    <row r="21" spans="2:24" ht="15.75" customHeight="1">
      <c r="B21" s="1273" t="s">
        <v>1459</v>
      </c>
      <c r="C21" s="1274"/>
      <c r="D21" s="1275"/>
      <c r="E21" s="1316"/>
      <c r="F21" s="1317">
        <v>180</v>
      </c>
      <c r="G21" s="1318"/>
      <c r="H21" s="1319">
        <f>H23+H27</f>
        <v>115.48066499999999</v>
      </c>
      <c r="I21" s="1319">
        <f>I23+I27</f>
        <v>64.2973335</v>
      </c>
      <c r="J21" s="1319">
        <f>J23+J27</f>
        <v>51.1833315</v>
      </c>
      <c r="L21" s="1107"/>
      <c r="M21" s="2367"/>
      <c r="N21" s="2367"/>
      <c r="O21" s="2367"/>
      <c r="P21" s="1361"/>
      <c r="Q21" s="1354"/>
      <c r="R21" s="1362"/>
      <c r="S21" s="1355"/>
      <c r="T21" s="1359"/>
      <c r="U21" s="1356"/>
      <c r="V21" s="1312"/>
      <c r="W21" s="1312"/>
      <c r="X21" s="1107"/>
    </row>
    <row r="22" spans="2:24" ht="18" customHeight="1">
      <c r="B22" s="1280" t="s">
        <v>1688</v>
      </c>
      <c r="C22" s="1281"/>
      <c r="D22" s="1282"/>
      <c r="E22" s="1283"/>
      <c r="F22" s="1284"/>
      <c r="G22" s="1285"/>
      <c r="H22" s="1320"/>
      <c r="I22" s="1320"/>
      <c r="J22" s="1320"/>
      <c r="L22" s="1107"/>
      <c r="M22" s="2367"/>
      <c r="N22" s="2367"/>
      <c r="O22" s="2367"/>
      <c r="P22" s="1363"/>
      <c r="Q22" s="1354"/>
      <c r="R22" s="1362"/>
      <c r="S22" s="1355"/>
      <c r="T22" s="1359"/>
      <c r="U22" s="1356"/>
      <c r="V22" s="1310"/>
      <c r="W22" s="1310"/>
      <c r="X22" s="1107"/>
    </row>
    <row r="23" spans="2:24" ht="15" customHeight="1">
      <c r="B23" s="2417" t="s">
        <v>5</v>
      </c>
      <c r="C23" s="2418"/>
      <c r="D23" s="2419"/>
      <c r="E23" s="1283"/>
      <c r="F23" s="1288">
        <f>F24+F25+F26</f>
        <v>53</v>
      </c>
      <c r="G23" s="1285"/>
      <c r="H23" s="1111">
        <f>SUM(H24:H26)</f>
        <v>59.01300899999999</v>
      </c>
      <c r="I23" s="1111">
        <f>SUM(I24:I26)</f>
        <v>36.06350549999999</v>
      </c>
      <c r="J23" s="1111">
        <f>SUM(J24:J26)</f>
        <v>22.9495035</v>
      </c>
      <c r="L23" s="1107"/>
      <c r="M23" s="2366"/>
      <c r="N23" s="2366"/>
      <c r="O23" s="2366"/>
      <c r="P23" s="1363"/>
      <c r="Q23" s="1354"/>
      <c r="R23" s="1362"/>
      <c r="S23" s="1355"/>
      <c r="T23" s="1359"/>
      <c r="U23" s="1356"/>
      <c r="V23" s="1310"/>
      <c r="W23" s="1310"/>
      <c r="X23" s="1107"/>
    </row>
    <row r="24" spans="2:24" ht="18">
      <c r="B24" s="2373" t="s">
        <v>15</v>
      </c>
      <c r="C24" s="2373"/>
      <c r="D24" s="2373"/>
      <c r="E24" s="1292" t="s">
        <v>1455</v>
      </c>
      <c r="F24" s="1093">
        <v>3</v>
      </c>
      <c r="G24" s="1293">
        <v>0.0489</v>
      </c>
      <c r="H24" s="1110">
        <f>I24+J24</f>
        <v>3.340359</v>
      </c>
      <c r="I24" s="1110">
        <f>I9*G24</f>
        <v>2.0413305</v>
      </c>
      <c r="J24" s="1110">
        <f>J9*G24</f>
        <v>1.2990285</v>
      </c>
      <c r="L24" s="1107"/>
      <c r="M24" s="2366"/>
      <c r="N24" s="2366"/>
      <c r="O24" s="2366"/>
      <c r="P24" s="1354"/>
      <c r="Q24" s="1354"/>
      <c r="R24" s="1362"/>
      <c r="S24" s="1355"/>
      <c r="T24" s="1359"/>
      <c r="U24" s="1356"/>
      <c r="V24" s="1107"/>
      <c r="W24" s="1107"/>
      <c r="X24" s="1107"/>
    </row>
    <row r="25" spans="2:24" ht="18">
      <c r="B25" s="2373" t="s">
        <v>13</v>
      </c>
      <c r="C25" s="2373"/>
      <c r="D25" s="2373"/>
      <c r="E25" s="1292" t="s">
        <v>1455</v>
      </c>
      <c r="F25" s="1093">
        <v>20</v>
      </c>
      <c r="G25" s="1293">
        <v>0.0489</v>
      </c>
      <c r="H25" s="1110">
        <f>I25+J25</f>
        <v>22.269059999999996</v>
      </c>
      <c r="I25" s="1110">
        <f>I10*G25</f>
        <v>13.608869999999998</v>
      </c>
      <c r="J25" s="1110">
        <f>J10*G25</f>
        <v>8.660189999999998</v>
      </c>
      <c r="L25" s="1107"/>
      <c r="M25" s="2366"/>
      <c r="N25" s="2366"/>
      <c r="O25" s="2366"/>
      <c r="P25" s="1364"/>
      <c r="Q25" s="1354"/>
      <c r="R25" s="1362"/>
      <c r="S25" s="1355"/>
      <c r="T25" s="1359"/>
      <c r="U25" s="1356"/>
      <c r="V25" s="1107"/>
      <c r="W25" s="1107"/>
      <c r="X25" s="1107"/>
    </row>
    <row r="26" spans="2:24" ht="18">
      <c r="B26" s="2408" t="s">
        <v>1460</v>
      </c>
      <c r="C26" s="2409"/>
      <c r="D26" s="2410"/>
      <c r="E26" s="1295" t="s">
        <v>1455</v>
      </c>
      <c r="F26" s="1093">
        <v>30</v>
      </c>
      <c r="G26" s="1293">
        <v>0.0489</v>
      </c>
      <c r="H26" s="1110">
        <f>I26+J26</f>
        <v>33.403589999999994</v>
      </c>
      <c r="I26" s="1110">
        <f>I11*G26</f>
        <v>20.413304999999998</v>
      </c>
      <c r="J26" s="1110">
        <f>J11*G26</f>
        <v>12.990284999999998</v>
      </c>
      <c r="L26" s="1107"/>
      <c r="M26" s="1107"/>
      <c r="N26" s="1107"/>
      <c r="O26" s="1291"/>
      <c r="P26" s="1291"/>
      <c r="Q26" s="1291"/>
      <c r="R26" s="1107"/>
      <c r="S26" s="1365"/>
      <c r="T26" s="1359"/>
      <c r="U26" s="1366"/>
      <c r="V26" s="1321"/>
      <c r="W26" s="1107"/>
      <c r="X26" s="1107"/>
    </row>
    <row r="27" spans="2:24" ht="15" customHeight="1">
      <c r="B27" s="2372" t="s">
        <v>6</v>
      </c>
      <c r="C27" s="2372"/>
      <c r="D27" s="2372"/>
      <c r="E27" s="1283"/>
      <c r="F27" s="1288">
        <f>F28+F29</f>
        <v>42</v>
      </c>
      <c r="G27" s="1293"/>
      <c r="H27" s="1111">
        <f>H28+H29</f>
        <v>56.467656000000005</v>
      </c>
      <c r="I27" s="1111">
        <f>I28+I29</f>
        <v>28.233828000000003</v>
      </c>
      <c r="J27" s="1111">
        <f>J28+J29</f>
        <v>28.233828000000003</v>
      </c>
      <c r="L27" s="1107"/>
      <c r="M27" s="1107"/>
      <c r="N27" s="1107"/>
      <c r="O27" s="1107"/>
      <c r="P27" s="1315"/>
      <c r="Q27" s="1315"/>
      <c r="R27" s="1107"/>
      <c r="S27" s="1322"/>
      <c r="T27" s="1107"/>
      <c r="U27" s="1321"/>
      <c r="V27" s="1107"/>
      <c r="W27" s="1107"/>
      <c r="X27" s="1107"/>
    </row>
    <row r="28" spans="2:24" ht="15" customHeight="1">
      <c r="B28" s="2407" t="s">
        <v>1461</v>
      </c>
      <c r="C28" s="2407"/>
      <c r="D28" s="2407"/>
      <c r="E28" s="1295" t="s">
        <v>1455</v>
      </c>
      <c r="F28" s="1093">
        <v>20</v>
      </c>
      <c r="G28" s="1293">
        <v>0.0619</v>
      </c>
      <c r="H28" s="1110">
        <f>I28+J28</f>
        <v>26.88936</v>
      </c>
      <c r="I28" s="1110">
        <f>I13*G28</f>
        <v>13.44468</v>
      </c>
      <c r="J28" s="1110">
        <f>J13*G28</f>
        <v>13.44468</v>
      </c>
      <c r="L28" s="1107"/>
      <c r="M28" s="1107"/>
      <c r="N28" s="1107"/>
      <c r="O28" s="1315"/>
      <c r="P28" s="1315"/>
      <c r="Q28" s="1315"/>
      <c r="R28" s="1107"/>
      <c r="S28" s="1367"/>
      <c r="T28" s="1107"/>
      <c r="U28" s="1321"/>
      <c r="V28" s="1107"/>
      <c r="W28" s="1107"/>
      <c r="X28" s="1107"/>
    </row>
    <row r="29" spans="2:24" ht="18">
      <c r="B29" s="2407" t="s">
        <v>1462</v>
      </c>
      <c r="C29" s="2407"/>
      <c r="D29" s="2407"/>
      <c r="E29" s="1295" t="s">
        <v>1455</v>
      </c>
      <c r="F29" s="1093">
        <v>22</v>
      </c>
      <c r="G29" s="1293">
        <v>0.0619</v>
      </c>
      <c r="H29" s="1110">
        <f>I29+J29</f>
        <v>29.578296</v>
      </c>
      <c r="I29" s="1110">
        <f>I14*G29</f>
        <v>14.789148</v>
      </c>
      <c r="J29" s="1110">
        <f>J14*G29</f>
        <v>14.789148</v>
      </c>
      <c r="L29" s="1107"/>
      <c r="M29" s="1107"/>
      <c r="N29" s="1107"/>
      <c r="O29" s="1315"/>
      <c r="P29" s="1315"/>
      <c r="Q29" s="1315"/>
      <c r="R29" s="1107"/>
      <c r="S29" s="1107"/>
      <c r="T29" s="1107"/>
      <c r="U29" s="1321"/>
      <c r="V29" s="1107"/>
      <c r="W29" s="1107"/>
      <c r="X29" s="1107"/>
    </row>
    <row r="30" spans="12:24" ht="15.75" customHeight="1">
      <c r="L30" s="1107"/>
      <c r="M30" s="1107"/>
      <c r="N30" s="1107"/>
      <c r="O30" s="1107"/>
      <c r="P30" s="1107"/>
      <c r="Q30" s="1107"/>
      <c r="R30" s="1107"/>
      <c r="S30" s="1107"/>
      <c r="T30" s="1107"/>
      <c r="U30" s="1107"/>
      <c r="V30" s="1107"/>
      <c r="W30" s="1107"/>
      <c r="X30" s="1107"/>
    </row>
    <row r="31" spans="12:24" ht="12.75">
      <c r="L31" s="1107"/>
      <c r="M31" s="1107"/>
      <c r="N31" s="1107"/>
      <c r="O31" s="1107"/>
      <c r="P31" s="1107"/>
      <c r="Q31" s="1107"/>
      <c r="R31" s="1107"/>
      <c r="S31" s="1107"/>
      <c r="T31" s="1107"/>
      <c r="U31" s="1323"/>
      <c r="V31" s="1324"/>
      <c r="W31" s="1107"/>
      <c r="X31" s="1107"/>
    </row>
    <row r="32" spans="2:24" ht="15">
      <c r="B32" s="2406" t="s">
        <v>9</v>
      </c>
      <c r="C32" s="2406"/>
      <c r="D32" s="2406"/>
      <c r="E32" s="2406"/>
      <c r="F32" s="2406"/>
      <c r="G32" s="2406"/>
      <c r="H32" s="2406"/>
      <c r="I32" s="2406"/>
      <c r="J32" s="2406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1107"/>
    </row>
    <row r="33" spans="2:24" ht="12.75">
      <c r="B33" s="2392" t="s">
        <v>1</v>
      </c>
      <c r="C33" s="2393"/>
      <c r="D33" s="2393"/>
      <c r="E33" s="2396" t="s">
        <v>10</v>
      </c>
      <c r="F33" s="2398" t="s">
        <v>8</v>
      </c>
      <c r="G33" s="2400"/>
      <c r="H33" s="2403" t="s">
        <v>7</v>
      </c>
      <c r="I33" s="2404"/>
      <c r="J33" s="2405"/>
      <c r="K33" s="1325"/>
      <c r="L33" s="1107"/>
      <c r="M33" s="1107"/>
      <c r="N33" s="1107"/>
      <c r="O33" s="1107"/>
      <c r="P33" s="1107"/>
      <c r="Q33" s="1107"/>
      <c r="R33" s="1107"/>
      <c r="S33" s="1107"/>
      <c r="T33" s="1107"/>
      <c r="U33" s="1107"/>
      <c r="V33" s="1107"/>
      <c r="W33" s="1107"/>
      <c r="X33" s="1107"/>
    </row>
    <row r="34" spans="1:24" ht="26.25">
      <c r="A34" s="1109"/>
      <c r="B34" s="2394"/>
      <c r="C34" s="2395"/>
      <c r="D34" s="2395"/>
      <c r="E34" s="2397"/>
      <c r="F34" s="2399"/>
      <c r="G34" s="2401"/>
      <c r="H34" s="1270" t="s">
        <v>3</v>
      </c>
      <c r="I34" s="1270" t="s">
        <v>1317</v>
      </c>
      <c r="J34" s="1270" t="s">
        <v>1318</v>
      </c>
      <c r="L34" s="1107"/>
      <c r="M34" s="1107"/>
      <c r="N34" s="1107"/>
      <c r="O34" s="1107"/>
      <c r="P34" s="1107"/>
      <c r="Q34" s="1107"/>
      <c r="R34" s="1107"/>
      <c r="S34" s="1326"/>
      <c r="T34" s="1107"/>
      <c r="U34" s="1107"/>
      <c r="V34" s="1107"/>
      <c r="W34" s="1107"/>
      <c r="X34" s="1107"/>
    </row>
    <row r="35" spans="1:24" ht="18" customHeight="1">
      <c r="A35" s="1109"/>
      <c r="B35" s="2385" t="s">
        <v>1459</v>
      </c>
      <c r="C35" s="2386"/>
      <c r="D35" s="2387"/>
      <c r="E35" s="1327">
        <f>E37+E44</f>
        <v>2874.3999999999996</v>
      </c>
      <c r="F35" s="1318"/>
      <c r="G35" s="1318"/>
      <c r="H35" s="1328">
        <f>H37+H43</f>
        <v>836.3890754199999</v>
      </c>
      <c r="I35" s="1328">
        <f>I37+I43</f>
        <v>522.7431721375</v>
      </c>
      <c r="J35" s="1328">
        <f>J37+J43</f>
        <v>313.64590328250006</v>
      </c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</row>
    <row r="36" spans="1:24" ht="39" customHeight="1">
      <c r="A36" s="1109"/>
      <c r="B36" s="2388" t="s">
        <v>1688</v>
      </c>
      <c r="C36" s="2389"/>
      <c r="D36" s="2390"/>
      <c r="E36" s="1284"/>
      <c r="F36" s="1285"/>
      <c r="G36" s="1285"/>
      <c r="H36" s="1320"/>
      <c r="I36" s="1320"/>
      <c r="J36" s="1320"/>
      <c r="L36" s="1107"/>
      <c r="M36" s="1107"/>
      <c r="N36" s="1107"/>
      <c r="O36" s="1107"/>
      <c r="P36" s="1107"/>
      <c r="Q36" s="1107"/>
      <c r="R36" s="1107"/>
      <c r="S36" s="1107"/>
      <c r="T36" s="1107"/>
      <c r="U36" s="1107"/>
      <c r="V36" s="1107"/>
      <c r="W36" s="1107"/>
      <c r="X36" s="1107"/>
    </row>
    <row r="37" spans="1:24" ht="15">
      <c r="A37" s="1109"/>
      <c r="B37" s="2382" t="s">
        <v>4</v>
      </c>
      <c r="C37" s="2383"/>
      <c r="D37" s="2384"/>
      <c r="E37" s="1329">
        <f>SUM(E38:E42)</f>
        <v>2874.3999999999996</v>
      </c>
      <c r="F37" s="1285"/>
      <c r="G37" s="1330">
        <f>SUM(G38:G42)</f>
        <v>87.30574899999999</v>
      </c>
      <c r="H37" s="1331">
        <f>SUM(H38:H42)</f>
        <v>836.3890754199999</v>
      </c>
      <c r="I37" s="1331">
        <f>SUM(I38:I42)</f>
        <v>522.7431721375</v>
      </c>
      <c r="J37" s="1331">
        <f>SUM(J38:J42)</f>
        <v>313.64590328250006</v>
      </c>
      <c r="L37" s="1107"/>
      <c r="M37" s="1107"/>
      <c r="N37" s="1107"/>
      <c r="O37" s="1107"/>
      <c r="P37" s="1107"/>
      <c r="Q37" s="1107"/>
      <c r="R37" s="1107"/>
      <c r="S37" s="1107"/>
      <c r="T37" s="1107"/>
      <c r="U37" s="1107"/>
      <c r="V37" s="1107"/>
      <c r="W37" s="1107"/>
      <c r="X37" s="1107"/>
    </row>
    <row r="38" spans="2:24" ht="15">
      <c r="B38" s="2373" t="s">
        <v>15</v>
      </c>
      <c r="C38" s="2373"/>
      <c r="D38" s="2373"/>
      <c r="E38" s="1093">
        <v>144.7</v>
      </c>
      <c r="F38" s="1368">
        <v>0.0361</v>
      </c>
      <c r="G38" s="1332">
        <f>E38*F38</f>
        <v>5.223669999999999</v>
      </c>
      <c r="H38" s="1110">
        <f>G38*9.58</f>
        <v>50.04275859999999</v>
      </c>
      <c r="I38" s="1110">
        <f>H38/1.6</f>
        <v>31.276724124999994</v>
      </c>
      <c r="J38" s="1110">
        <f>H38-I38</f>
        <v>18.766034474999998</v>
      </c>
      <c r="L38" s="1107"/>
      <c r="M38" s="1107"/>
      <c r="N38" s="1107"/>
      <c r="O38" s="1107"/>
      <c r="P38" s="1107"/>
      <c r="Q38" s="1107"/>
      <c r="R38" s="1107"/>
      <c r="S38" s="1107"/>
      <c r="T38" s="1107"/>
      <c r="U38" s="1107"/>
      <c r="V38" s="1107"/>
      <c r="W38" s="1107"/>
      <c r="X38" s="1107"/>
    </row>
    <row r="39" spans="2:10" ht="15">
      <c r="B39" s="2375" t="s">
        <v>14</v>
      </c>
      <c r="C39" s="2375"/>
      <c r="D39" s="2375"/>
      <c r="E39" s="1093">
        <v>501.2</v>
      </c>
      <c r="F39" s="1368">
        <v>0.03007</v>
      </c>
      <c r="G39" s="1332">
        <f>E39*F39</f>
        <v>15.071083999999999</v>
      </c>
      <c r="H39" s="1110">
        <f>G39*9.58</f>
        <v>144.38098472</v>
      </c>
      <c r="I39" s="1110">
        <f>H39/1.6</f>
        <v>90.23811544999998</v>
      </c>
      <c r="J39" s="1110">
        <f>H39-I39</f>
        <v>54.142869270000006</v>
      </c>
    </row>
    <row r="40" spans="2:10" ht="15">
      <c r="B40" s="2376" t="s">
        <v>1460</v>
      </c>
      <c r="C40" s="2377"/>
      <c r="D40" s="2378"/>
      <c r="E40" s="1093">
        <v>725.1</v>
      </c>
      <c r="F40" s="1368">
        <v>0.03007</v>
      </c>
      <c r="G40" s="1332">
        <f>E40*F40</f>
        <v>21.803757</v>
      </c>
      <c r="H40" s="1110">
        <f>G40*9.58</f>
        <v>208.87999206</v>
      </c>
      <c r="I40" s="1110">
        <f>H40/1.6</f>
        <v>130.5499950375</v>
      </c>
      <c r="J40" s="1110">
        <f>H40-I40</f>
        <v>78.32999702250001</v>
      </c>
    </row>
    <row r="41" spans="2:10" ht="15">
      <c r="B41" s="2379" t="s">
        <v>1461</v>
      </c>
      <c r="C41" s="2380"/>
      <c r="D41" s="2381"/>
      <c r="E41" s="1093">
        <v>783.6</v>
      </c>
      <c r="F41" s="1368">
        <v>0.03007</v>
      </c>
      <c r="G41" s="1332">
        <f>E41*F41</f>
        <v>23.562852</v>
      </c>
      <c r="H41" s="1110">
        <f>G41*9.58</f>
        <v>225.73212216</v>
      </c>
      <c r="I41" s="1110">
        <f>H41/1.6</f>
        <v>141.08257634999998</v>
      </c>
      <c r="J41" s="1110">
        <f>H41-I41</f>
        <v>84.64954581</v>
      </c>
    </row>
    <row r="42" spans="2:10" ht="15">
      <c r="B42" s="2379" t="s">
        <v>1462</v>
      </c>
      <c r="C42" s="2380"/>
      <c r="D42" s="2381"/>
      <c r="E42" s="1093">
        <v>719.8</v>
      </c>
      <c r="F42" s="1368">
        <v>0.03007</v>
      </c>
      <c r="G42" s="1332">
        <f>E42*F42</f>
        <v>21.644385999999997</v>
      </c>
      <c r="H42" s="1110">
        <f>G42*9.58</f>
        <v>207.35321788</v>
      </c>
      <c r="I42" s="1110">
        <f>H42/1.6</f>
        <v>129.59576117499998</v>
      </c>
      <c r="J42" s="1110">
        <f>H42-I42</f>
        <v>77.75745670500001</v>
      </c>
    </row>
    <row r="43" spans="2:10" ht="15">
      <c r="B43" s="2382"/>
      <c r="C43" s="2383"/>
      <c r="D43" s="2384"/>
      <c r="E43" s="1333"/>
      <c r="F43" s="1285"/>
      <c r="G43" s="1285"/>
      <c r="H43" s="1331"/>
      <c r="I43" s="1331"/>
      <c r="J43" s="1331"/>
    </row>
    <row r="44" spans="2:10" ht="12.75">
      <c r="B44" s="2402"/>
      <c r="C44" s="2402"/>
      <c r="D44" s="2402"/>
      <c r="E44" s="1334"/>
      <c r="F44" s="1285"/>
      <c r="G44" s="1285"/>
      <c r="H44" s="1110"/>
      <c r="I44" s="1110"/>
      <c r="J44" s="1110"/>
    </row>
    <row r="45" spans="2:10" ht="18">
      <c r="B45" s="2374"/>
      <c r="C45" s="2374"/>
      <c r="D45" s="2374"/>
      <c r="E45" s="1307"/>
      <c r="F45" s="1308"/>
      <c r="G45" s="1309"/>
      <c r="H45" s="1335"/>
      <c r="I45" s="1335"/>
      <c r="J45" s="1335"/>
    </row>
    <row r="46" spans="2:10" ht="18" customHeight="1">
      <c r="B46" s="2391" t="s">
        <v>11</v>
      </c>
      <c r="C46" s="2391"/>
      <c r="D46" s="2391"/>
      <c r="E46" s="2391"/>
      <c r="F46" s="2391"/>
      <c r="G46" s="2391"/>
      <c r="H46" s="2391"/>
      <c r="I46" s="2391"/>
      <c r="J46" s="2391"/>
    </row>
    <row r="47" spans="2:10" ht="12.75">
      <c r="B47" s="2392" t="s">
        <v>1</v>
      </c>
      <c r="C47" s="2393"/>
      <c r="D47" s="2393"/>
      <c r="E47" s="2396"/>
      <c r="F47" s="2398"/>
      <c r="G47" s="2400"/>
      <c r="H47" s="2403" t="s">
        <v>399</v>
      </c>
      <c r="I47" s="2404"/>
      <c r="J47" s="2405"/>
    </row>
    <row r="48" spans="2:10" ht="26.25">
      <c r="B48" s="2394"/>
      <c r="C48" s="2395"/>
      <c r="D48" s="2395"/>
      <c r="E48" s="2397"/>
      <c r="F48" s="2399"/>
      <c r="G48" s="2401"/>
      <c r="H48" s="1270" t="s">
        <v>3</v>
      </c>
      <c r="I48" s="1270" t="s">
        <v>1317</v>
      </c>
      <c r="J48" s="1270" t="s">
        <v>1318</v>
      </c>
    </row>
    <row r="49" spans="2:10" ht="15">
      <c r="B49" s="2385" t="s">
        <v>1459</v>
      </c>
      <c r="C49" s="2386"/>
      <c r="D49" s="2387"/>
      <c r="E49" s="1327"/>
      <c r="F49" s="1318"/>
      <c r="G49" s="1318"/>
      <c r="H49" s="1328">
        <f>H51+H52</f>
        <v>951.86974042</v>
      </c>
      <c r="I49" s="1328">
        <f>I51+I52</f>
        <v>587.0405056375</v>
      </c>
      <c r="J49" s="1328">
        <f>J51+J52</f>
        <v>364.82923478250007</v>
      </c>
    </row>
    <row r="50" spans="2:10" ht="12.75" customHeight="1">
      <c r="B50" s="2388" t="s">
        <v>1688</v>
      </c>
      <c r="C50" s="2389"/>
      <c r="D50" s="2390"/>
      <c r="E50" s="1284"/>
      <c r="F50" s="1285"/>
      <c r="G50" s="1285"/>
      <c r="H50" s="1320"/>
      <c r="I50" s="1320"/>
      <c r="J50" s="1320"/>
    </row>
    <row r="51" spans="2:10" ht="15">
      <c r="B51" s="2382" t="s">
        <v>4</v>
      </c>
      <c r="C51" s="2383"/>
      <c r="D51" s="2384"/>
      <c r="E51" s="1329"/>
      <c r="F51" s="1285"/>
      <c r="G51" s="1330"/>
      <c r="H51" s="1336">
        <f>H37+H21</f>
        <v>951.86974042</v>
      </c>
      <c r="I51" s="1336">
        <f>I37+I21</f>
        <v>587.0405056375</v>
      </c>
      <c r="J51" s="1336">
        <f>J37+J21</f>
        <v>364.82923478250007</v>
      </c>
    </row>
    <row r="52" spans="2:10" ht="15">
      <c r="B52" s="2382"/>
      <c r="C52" s="2383"/>
      <c r="D52" s="2384"/>
      <c r="E52" s="1333"/>
      <c r="F52" s="1285"/>
      <c r="G52" s="1285"/>
      <c r="H52" s="1331"/>
      <c r="I52" s="1331"/>
      <c r="J52" s="1331"/>
    </row>
    <row r="53" spans="2:10" ht="15">
      <c r="B53" s="1337"/>
      <c r="C53" s="1337"/>
      <c r="D53" s="1337"/>
      <c r="E53" s="1308"/>
      <c r="F53" s="1301"/>
      <c r="G53" s="1338"/>
      <c r="H53" s="1335"/>
      <c r="I53" s="1335"/>
      <c r="J53" s="1335"/>
    </row>
    <row r="54" spans="2:10" ht="15">
      <c r="B54" s="1339"/>
      <c r="C54" s="1339"/>
      <c r="D54" s="1339"/>
      <c r="E54" s="1340"/>
      <c r="F54" s="1301"/>
      <c r="G54" s="1301"/>
      <c r="H54" s="1341"/>
      <c r="I54" s="1341"/>
      <c r="J54" s="1341"/>
    </row>
    <row r="55" spans="2:10" ht="12.75">
      <c r="B55" s="1342"/>
      <c r="C55" s="1342"/>
      <c r="D55" s="1342"/>
      <c r="E55" s="1343"/>
      <c r="F55" s="1301"/>
      <c r="G55" s="1301"/>
      <c r="H55" s="1335"/>
      <c r="I55" s="1335"/>
      <c r="J55" s="1335"/>
    </row>
    <row r="56" spans="2:10" ht="15">
      <c r="B56" s="1344" t="s">
        <v>1362</v>
      </c>
      <c r="C56" s="1344"/>
      <c r="D56" s="1344"/>
      <c r="E56" s="1344"/>
      <c r="F56" s="1344"/>
      <c r="G56" s="1344"/>
      <c r="H56" s="1344" t="s">
        <v>12</v>
      </c>
      <c r="I56" s="1344"/>
      <c r="J56" s="1344"/>
    </row>
  </sheetData>
  <sheetProtection/>
  <mergeCells count="64">
    <mergeCell ref="B49:D49"/>
    <mergeCell ref="B50:D50"/>
    <mergeCell ref="B51:D51"/>
    <mergeCell ref="B17:J17"/>
    <mergeCell ref="B23:D23"/>
    <mergeCell ref="B24:D24"/>
    <mergeCell ref="B25:D25"/>
    <mergeCell ref="B18:D19"/>
    <mergeCell ref="H18:J18"/>
    <mergeCell ref="B20:J20"/>
    <mergeCell ref="B13:D13"/>
    <mergeCell ref="B14:D14"/>
    <mergeCell ref="B2:J2"/>
    <mergeCell ref="B3:D4"/>
    <mergeCell ref="H3:J3"/>
    <mergeCell ref="B5:J5"/>
    <mergeCell ref="B11:D11"/>
    <mergeCell ref="B10:D10"/>
    <mergeCell ref="B8:D8"/>
    <mergeCell ref="B12:D12"/>
    <mergeCell ref="B9:D9"/>
    <mergeCell ref="B32:J32"/>
    <mergeCell ref="B33:D34"/>
    <mergeCell ref="E33:E34"/>
    <mergeCell ref="F33:F34"/>
    <mergeCell ref="G33:G34"/>
    <mergeCell ref="H33:J33"/>
    <mergeCell ref="B28:D28"/>
    <mergeCell ref="B29:D29"/>
    <mergeCell ref="B26:D26"/>
    <mergeCell ref="B52:D52"/>
    <mergeCell ref="B36:D36"/>
    <mergeCell ref="B37:D37"/>
    <mergeCell ref="B46:J46"/>
    <mergeCell ref="B47:D48"/>
    <mergeCell ref="E47:E48"/>
    <mergeCell ref="F47:F48"/>
    <mergeCell ref="G47:G48"/>
    <mergeCell ref="B44:D44"/>
    <mergeCell ref="H47:J47"/>
    <mergeCell ref="B27:D27"/>
    <mergeCell ref="B38:D38"/>
    <mergeCell ref="B45:D45"/>
    <mergeCell ref="B39:D39"/>
    <mergeCell ref="B40:D40"/>
    <mergeCell ref="B41:D41"/>
    <mergeCell ref="B42:D42"/>
    <mergeCell ref="B43:D43"/>
    <mergeCell ref="B35:D35"/>
    <mergeCell ref="M3:O4"/>
    <mergeCell ref="S3:U3"/>
    <mergeCell ref="M5:U5"/>
    <mergeCell ref="M8:O8"/>
    <mergeCell ref="M9:O9"/>
    <mergeCell ref="M10:O10"/>
    <mergeCell ref="M23:O23"/>
    <mergeCell ref="M24:O24"/>
    <mergeCell ref="M25:O25"/>
    <mergeCell ref="M21:O21"/>
    <mergeCell ref="M22:O22"/>
    <mergeCell ref="M11:O11"/>
    <mergeCell ref="M12:O12"/>
    <mergeCell ref="M13:O13"/>
    <mergeCell ref="M14:O14"/>
  </mergeCells>
  <printOptions horizontalCentered="1"/>
  <pageMargins left="0.5511811023622047" right="0.35433070866141736" top="0.1968503937007874" bottom="0.3937007874015748" header="0.5118110236220472" footer="0.5118110236220472"/>
  <pageSetup orientation="portrait" paperSize="9" scale="73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M48"/>
  <sheetViews>
    <sheetView zoomScaleSheetLayoutView="100" zoomScalePageLayoutView="0" workbookViewId="0" topLeftCell="A1">
      <pane xSplit="3" ySplit="12" topLeftCell="T30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 outlineLevelCol="4"/>
  <cols>
    <col min="1" max="1" width="5.00390625" style="212" customWidth="1"/>
    <col min="2" max="2" width="7.421875" style="10" customWidth="1"/>
    <col min="3" max="3" width="28.57421875" style="10" customWidth="1"/>
    <col min="4" max="4" width="6.28125" style="10" hidden="1" customWidth="1"/>
    <col min="5" max="5" width="7.57421875" style="10" hidden="1" customWidth="1"/>
    <col min="6" max="6" width="6.8515625" style="10" hidden="1" customWidth="1"/>
    <col min="7" max="10" width="6.140625" style="10" hidden="1" customWidth="1" outlineLevel="1"/>
    <col min="11" max="11" width="8.28125" style="10" hidden="1" customWidth="1" outlineLevel="1"/>
    <col min="12" max="12" width="6.28125" style="10" hidden="1" customWidth="1" collapsed="1"/>
    <col min="13" max="13" width="7.57421875" style="10" hidden="1" customWidth="1"/>
    <col min="14" max="14" width="6.8515625" style="10" hidden="1" customWidth="1"/>
    <col min="15" max="18" width="6.140625" style="10" hidden="1" customWidth="1" outlineLevel="1"/>
    <col min="19" max="19" width="8.28125" style="10" hidden="1" customWidth="1" outlineLevel="1"/>
    <col min="20" max="20" width="6.28125" style="10" customWidth="1" collapsed="1"/>
    <col min="21" max="21" width="9.00390625" style="10" customWidth="1"/>
    <col min="22" max="22" width="6.140625" style="10" customWidth="1"/>
    <col min="23" max="26" width="6.140625" style="10" hidden="1" customWidth="1" outlineLevel="1"/>
    <col min="27" max="27" width="8.00390625" style="10" hidden="1" customWidth="1" outlineLevel="1"/>
    <col min="28" max="28" width="7.8515625" style="10" customWidth="1" collapsed="1"/>
    <col min="29" max="29" width="7.57421875" style="10" customWidth="1"/>
    <col min="30" max="30" width="6.140625" style="10" customWidth="1"/>
    <col min="31" max="35" width="6.140625" style="10" hidden="1" customWidth="1" outlineLevel="1"/>
    <col min="36" max="36" width="6.00390625" style="10" customWidth="1" collapsed="1"/>
    <col min="37" max="37" width="6.28125" style="10" customWidth="1"/>
    <col min="38" max="38" width="6.140625" style="10" customWidth="1"/>
    <col min="39" max="42" width="6.140625" style="10" hidden="1" customWidth="1" outlineLevel="1"/>
    <col min="43" max="43" width="8.28125" style="10" hidden="1" customWidth="1" outlineLevel="1"/>
    <col min="44" max="44" width="6.140625" style="10" customWidth="1" collapsed="1"/>
    <col min="45" max="45" width="7.140625" style="10" customWidth="1"/>
    <col min="46" max="46" width="6.140625" style="10" customWidth="1"/>
    <col min="47" max="50" width="6.140625" style="10" hidden="1" customWidth="1" outlineLevel="1"/>
    <col min="51" max="51" width="8.8515625" style="10" hidden="1" customWidth="1" outlineLevel="1"/>
    <col min="52" max="52" width="6.140625" style="10" customWidth="1" collapsed="1"/>
    <col min="53" max="53" width="6.140625" style="10" customWidth="1"/>
    <col min="54" max="54" width="6.140625" style="10" customWidth="1" outlineLevel="1"/>
    <col min="55" max="58" width="6.140625" style="10" hidden="1" customWidth="1" outlineLevel="3"/>
    <col min="59" max="59" width="8.421875" style="10" hidden="1" customWidth="1" outlineLevel="3"/>
    <col min="60" max="64" width="8.421875" style="10" hidden="1" customWidth="1" outlineLevel="4"/>
    <col min="65" max="65" width="8.140625" style="10" customWidth="1" outlineLevel="1" collapsed="1"/>
    <col min="66" max="66" width="6.00390625" style="10" customWidth="1" outlineLevel="1"/>
    <col min="67" max="67" width="6.140625" style="10" customWidth="1" outlineLevel="1"/>
    <col min="68" max="72" width="6.140625" style="10" hidden="1" customWidth="1" outlineLevel="2"/>
    <col min="73" max="73" width="6.421875" style="10" customWidth="1" outlineLevel="1" collapsed="1"/>
    <col min="74" max="74" width="6.421875" style="10" customWidth="1" outlineLevel="1"/>
    <col min="75" max="75" width="6.140625" style="10" customWidth="1" outlineLevel="1"/>
    <col min="76" max="80" width="6.140625" style="10" hidden="1" customWidth="1" outlineLevel="2"/>
    <col min="81" max="81" width="6.140625" style="10" customWidth="1" outlineLevel="1" collapsed="1"/>
    <col min="82" max="83" width="6.140625" style="10" customWidth="1" outlineLevel="1"/>
    <col min="84" max="88" width="6.140625" style="10" hidden="1" customWidth="1" outlineLevel="2"/>
    <col min="89" max="93" width="0" style="10" hidden="1" customWidth="1" outlineLevel="1"/>
    <col min="94" max="94" width="8.7109375" style="10" customWidth="1" collapsed="1"/>
    <col min="95" max="95" width="5.7109375" style="10" customWidth="1"/>
    <col min="96" max="96" width="6.28125" style="10" customWidth="1"/>
    <col min="97" max="100" width="0" style="10" hidden="1" customWidth="1"/>
    <col min="101" max="101" width="6.8515625" style="10" hidden="1" customWidth="1"/>
    <col min="102" max="102" width="7.8515625" style="10" customWidth="1"/>
    <col min="103" max="103" width="6.140625" style="10" customWidth="1"/>
    <col min="104" max="104" width="7.140625" style="10" customWidth="1"/>
    <col min="105" max="109" width="0" style="10" hidden="1" customWidth="1"/>
    <col min="110" max="110" width="9.28125" style="10" bestFit="1" customWidth="1"/>
    <col min="111" max="111" width="6.7109375" style="10" customWidth="1"/>
    <col min="112" max="112" width="7.57421875" style="10" customWidth="1"/>
    <col min="113" max="117" width="0" style="10" hidden="1" customWidth="1"/>
    <col min="118" max="16384" width="9.140625" style="10" customWidth="1"/>
  </cols>
  <sheetData>
    <row r="1" spans="1:88" s="212" customFormat="1" ht="13.5" customHeight="1" hidden="1">
      <c r="A1" s="211">
        <v>1</v>
      </c>
      <c r="B1" s="211">
        <v>2</v>
      </c>
      <c r="C1" s="211">
        <v>3</v>
      </c>
      <c r="D1" s="211">
        <v>4</v>
      </c>
      <c r="E1" s="211">
        <v>5</v>
      </c>
      <c r="F1" s="211">
        <v>6</v>
      </c>
      <c r="G1" s="211">
        <v>7</v>
      </c>
      <c r="H1" s="211">
        <v>8</v>
      </c>
      <c r="I1" s="211">
        <v>9</v>
      </c>
      <c r="J1" s="211">
        <v>10</v>
      </c>
      <c r="K1" s="211">
        <v>11</v>
      </c>
      <c r="L1" s="211">
        <v>4</v>
      </c>
      <c r="M1" s="211">
        <v>5</v>
      </c>
      <c r="N1" s="211">
        <v>6</v>
      </c>
      <c r="O1" s="211">
        <v>7</v>
      </c>
      <c r="P1" s="211">
        <v>8</v>
      </c>
      <c r="Q1" s="211">
        <v>9</v>
      </c>
      <c r="R1" s="211">
        <v>10</v>
      </c>
      <c r="S1" s="211">
        <v>11</v>
      </c>
      <c r="T1" s="211">
        <v>12</v>
      </c>
      <c r="U1" s="211">
        <v>13</v>
      </c>
      <c r="V1" s="211">
        <v>14</v>
      </c>
      <c r="W1" s="211">
        <v>15</v>
      </c>
      <c r="X1" s="211">
        <v>16</v>
      </c>
      <c r="Y1" s="211">
        <v>17</v>
      </c>
      <c r="Z1" s="211">
        <v>18</v>
      </c>
      <c r="AA1" s="211">
        <v>19</v>
      </c>
      <c r="AB1" s="211">
        <v>20</v>
      </c>
      <c r="AC1" s="211">
        <v>21</v>
      </c>
      <c r="AD1" s="211">
        <v>22</v>
      </c>
      <c r="AE1" s="211">
        <v>23</v>
      </c>
      <c r="AF1" s="211">
        <v>24</v>
      </c>
      <c r="AG1" s="211">
        <v>25</v>
      </c>
      <c r="AH1" s="211">
        <v>26</v>
      </c>
      <c r="AI1" s="211">
        <v>27</v>
      </c>
      <c r="AJ1" s="211">
        <v>28</v>
      </c>
      <c r="AK1" s="211">
        <v>29</v>
      </c>
      <c r="AL1" s="211">
        <v>30</v>
      </c>
      <c r="AM1" s="211">
        <v>31</v>
      </c>
      <c r="AN1" s="211">
        <v>32</v>
      </c>
      <c r="AO1" s="211">
        <v>33</v>
      </c>
      <c r="AP1" s="211">
        <v>34</v>
      </c>
      <c r="AQ1" s="211">
        <v>35</v>
      </c>
      <c r="AR1" s="211">
        <v>36</v>
      </c>
      <c r="AS1" s="211">
        <v>37</v>
      </c>
      <c r="AT1" s="211">
        <v>38</v>
      </c>
      <c r="AU1" s="211">
        <v>39</v>
      </c>
      <c r="AV1" s="211">
        <v>40</v>
      </c>
      <c r="AW1" s="211">
        <v>41</v>
      </c>
      <c r="AX1" s="211">
        <v>42</v>
      </c>
      <c r="AY1" s="211">
        <v>43</v>
      </c>
      <c r="AZ1" s="211">
        <v>44</v>
      </c>
      <c r="BA1" s="211">
        <v>45</v>
      </c>
      <c r="BB1" s="211">
        <v>46</v>
      </c>
      <c r="BC1" s="211">
        <v>47</v>
      </c>
      <c r="BD1" s="211">
        <v>48</v>
      </c>
      <c r="BE1" s="211">
        <v>49</v>
      </c>
      <c r="BF1" s="211">
        <v>50</v>
      </c>
      <c r="BG1" s="211">
        <v>51</v>
      </c>
      <c r="BH1" s="211"/>
      <c r="BI1" s="211"/>
      <c r="BJ1" s="211"/>
      <c r="BK1" s="211"/>
      <c r="BL1" s="211"/>
      <c r="BM1" s="211">
        <v>52</v>
      </c>
      <c r="BN1" s="211">
        <v>53</v>
      </c>
      <c r="BO1" s="211">
        <v>54</v>
      </c>
      <c r="BP1" s="211">
        <v>55</v>
      </c>
      <c r="BQ1" s="211">
        <v>56</v>
      </c>
      <c r="BR1" s="211">
        <v>57</v>
      </c>
      <c r="BS1" s="211">
        <v>58</v>
      </c>
      <c r="BT1" s="211">
        <v>59</v>
      </c>
      <c r="BU1" s="211">
        <v>60</v>
      </c>
      <c r="BV1" s="211">
        <v>61</v>
      </c>
      <c r="BW1" s="211">
        <v>62</v>
      </c>
      <c r="BX1" s="211">
        <v>63</v>
      </c>
      <c r="BY1" s="211">
        <v>64</v>
      </c>
      <c r="BZ1" s="211">
        <v>65</v>
      </c>
      <c r="CA1" s="211">
        <v>66</v>
      </c>
      <c r="CB1" s="211">
        <v>67</v>
      </c>
      <c r="CC1" s="211">
        <v>68</v>
      </c>
      <c r="CD1" s="211">
        <v>69</v>
      </c>
      <c r="CE1" s="211">
        <v>70</v>
      </c>
      <c r="CF1" s="211">
        <v>71</v>
      </c>
      <c r="CG1" s="211">
        <v>72</v>
      </c>
      <c r="CH1" s="211">
        <v>73</v>
      </c>
      <c r="CI1" s="211">
        <v>74</v>
      </c>
      <c r="CJ1" s="211">
        <v>75</v>
      </c>
    </row>
    <row r="2" spans="1:112" s="1" customFormat="1" ht="29.25" customHeight="1">
      <c r="A2" s="64"/>
      <c r="B2" s="52" t="s">
        <v>699</v>
      </c>
      <c r="C2" s="52"/>
      <c r="D2" s="52"/>
      <c r="E2" s="52"/>
      <c r="F2" s="52"/>
      <c r="G2" s="52"/>
      <c r="L2" s="52"/>
      <c r="M2" s="514">
        <v>42116</v>
      </c>
      <c r="N2" s="513"/>
      <c r="O2" s="517"/>
      <c r="P2" s="518"/>
      <c r="Q2" s="518"/>
      <c r="R2" s="518"/>
      <c r="S2" s="518"/>
      <c r="T2" s="519"/>
      <c r="U2" s="16"/>
      <c r="V2" s="16"/>
      <c r="AB2" s="16"/>
      <c r="AC2" s="16"/>
      <c r="AD2" s="16"/>
      <c r="AJ2" s="16"/>
      <c r="AK2" s="16"/>
      <c r="AL2" s="16"/>
      <c r="AR2" s="16"/>
      <c r="AS2" s="16"/>
      <c r="AT2" s="16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060"/>
      <c r="CD2" s="2060"/>
      <c r="CE2" s="2060"/>
      <c r="CF2" s="2"/>
      <c r="CG2" s="2"/>
      <c r="CH2" s="2"/>
      <c r="CI2" s="2"/>
      <c r="CJ2" s="2"/>
      <c r="DF2" s="2060" t="s">
        <v>943</v>
      </c>
      <c r="DG2" s="2060"/>
      <c r="DH2" s="2060"/>
    </row>
    <row r="3" spans="1:112" s="1" customFormat="1" ht="11.25" customHeight="1">
      <c r="A3" s="64"/>
      <c r="B3" s="52" t="s">
        <v>873</v>
      </c>
      <c r="C3" s="52"/>
      <c r="D3" s="52"/>
      <c r="E3" s="107"/>
      <c r="F3" s="107"/>
      <c r="G3" s="37"/>
      <c r="L3" s="52"/>
      <c r="M3" s="107"/>
      <c r="N3" s="107"/>
      <c r="O3" s="37"/>
      <c r="T3" s="17"/>
      <c r="U3" s="16"/>
      <c r="V3" s="16"/>
      <c r="AB3" s="17"/>
      <c r="AC3" s="16"/>
      <c r="AD3" s="16"/>
      <c r="AJ3" s="17"/>
      <c r="AK3" s="16"/>
      <c r="AL3" s="16"/>
      <c r="AR3" s="17"/>
      <c r="AS3" s="16"/>
      <c r="AT3" s="16"/>
      <c r="BM3" s="51"/>
      <c r="BN3" s="51"/>
      <c r="BO3" s="51"/>
      <c r="BU3" s="51"/>
      <c r="BV3" s="51"/>
      <c r="BW3" s="51"/>
      <c r="CC3" s="64"/>
      <c r="CD3" s="64"/>
      <c r="CE3" s="64"/>
      <c r="CF3" s="64"/>
      <c r="CG3" s="64"/>
      <c r="CI3" s="52"/>
      <c r="DF3" s="64"/>
      <c r="DG3" s="64"/>
      <c r="DH3" s="64"/>
    </row>
    <row r="4" spans="2:15" ht="11.25" customHeight="1">
      <c r="B4" s="83"/>
      <c r="C4" s="83"/>
      <c r="D4" s="83"/>
      <c r="E4" s="83"/>
      <c r="F4" s="83"/>
      <c r="G4" s="83"/>
      <c r="L4" s="83"/>
      <c r="M4" s="83"/>
      <c r="N4" s="83"/>
      <c r="O4" s="83"/>
    </row>
    <row r="5" spans="2:112" ht="14.25" customHeight="1">
      <c r="B5" s="33" t="s">
        <v>942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DF5" s="33"/>
      <c r="DG5" s="33"/>
      <c r="DH5" s="33"/>
    </row>
    <row r="6" spans="2:112" ht="15" customHeight="1">
      <c r="B6" s="306" t="s">
        <v>777</v>
      </c>
      <c r="BB6" s="450"/>
      <c r="BC6" s="450"/>
      <c r="BD6" s="450"/>
      <c r="BE6" s="450"/>
      <c r="BF6" s="450"/>
      <c r="BG6" s="450"/>
      <c r="BH6" s="450"/>
      <c r="BI6" s="450"/>
      <c r="BJ6" s="450"/>
      <c r="BK6" s="450"/>
      <c r="BL6" s="450"/>
      <c r="BM6" s="450"/>
      <c r="BN6" s="450"/>
      <c r="BO6" s="450"/>
      <c r="BP6" s="450"/>
      <c r="BQ6" s="450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DF6" s="450"/>
      <c r="DG6" s="450"/>
      <c r="DH6" s="450" t="s">
        <v>222</v>
      </c>
    </row>
    <row r="7" spans="1:112" s="1" customFormat="1" ht="11.25" customHeight="1">
      <c r="A7" s="64"/>
      <c r="B7" s="2069" t="s">
        <v>1662</v>
      </c>
      <c r="C7" s="2073" t="s">
        <v>1670</v>
      </c>
      <c r="D7" s="2042" t="s">
        <v>1659</v>
      </c>
      <c r="E7" s="2043"/>
      <c r="F7" s="2043"/>
      <c r="G7" s="2043"/>
      <c r="H7" s="2043"/>
      <c r="I7" s="2043"/>
      <c r="J7" s="2043"/>
      <c r="K7" s="2043"/>
      <c r="L7" s="2043"/>
      <c r="M7" s="2043"/>
      <c r="N7" s="2043"/>
      <c r="O7" s="2043"/>
      <c r="P7" s="2043"/>
      <c r="Q7" s="2043"/>
      <c r="R7" s="2043"/>
      <c r="S7" s="2043"/>
      <c r="T7" s="2043"/>
      <c r="U7" s="2043"/>
      <c r="V7" s="2043"/>
      <c r="W7" s="2043"/>
      <c r="X7" s="2043"/>
      <c r="Y7" s="2043"/>
      <c r="Z7" s="2043"/>
      <c r="AA7" s="2043"/>
      <c r="AB7" s="2043"/>
      <c r="AC7" s="2043"/>
      <c r="AD7" s="2043"/>
      <c r="AE7" s="2043"/>
      <c r="AF7" s="2043"/>
      <c r="AG7" s="2043"/>
      <c r="AH7" s="2043"/>
      <c r="AI7" s="2044"/>
      <c r="AJ7" s="2042" t="s">
        <v>1661</v>
      </c>
      <c r="AK7" s="2043"/>
      <c r="AL7" s="2043"/>
      <c r="AM7" s="2043"/>
      <c r="AN7" s="2043"/>
      <c r="AO7" s="2043"/>
      <c r="AP7" s="2043"/>
      <c r="AQ7" s="2043"/>
      <c r="AR7" s="2043"/>
      <c r="AS7" s="2043"/>
      <c r="AT7" s="2043"/>
      <c r="AU7" s="2043"/>
      <c r="AV7" s="2043"/>
      <c r="AW7" s="2043"/>
      <c r="AX7" s="2043"/>
      <c r="AY7" s="2043"/>
      <c r="AZ7" s="2043"/>
      <c r="BA7" s="2043"/>
      <c r="BB7" s="2043"/>
      <c r="BC7" s="2043"/>
      <c r="BD7" s="2043"/>
      <c r="BE7" s="2043"/>
      <c r="BF7" s="2043"/>
      <c r="BG7" s="2043"/>
      <c r="BH7" s="2043"/>
      <c r="BI7" s="2043"/>
      <c r="BJ7" s="2043"/>
      <c r="BK7" s="2043"/>
      <c r="BL7" s="2043"/>
      <c r="BM7" s="2043"/>
      <c r="BN7" s="2043"/>
      <c r="BO7" s="2043"/>
      <c r="BP7" s="2043"/>
      <c r="BQ7" s="2043"/>
      <c r="BR7" s="2043"/>
      <c r="BS7" s="2043"/>
      <c r="BT7" s="2043"/>
      <c r="BU7" s="2043"/>
      <c r="BV7" s="2043"/>
      <c r="BW7" s="2043"/>
      <c r="BX7" s="2043"/>
      <c r="BY7" s="2043"/>
      <c r="BZ7" s="2043"/>
      <c r="CA7" s="2043"/>
      <c r="CB7" s="2043"/>
      <c r="CC7" s="2043"/>
      <c r="CD7" s="2043"/>
      <c r="CE7" s="2043"/>
      <c r="CF7" s="2043"/>
      <c r="CG7" s="2043"/>
      <c r="CH7" s="2043"/>
      <c r="CI7" s="2043"/>
      <c r="CJ7" s="2043"/>
      <c r="CK7" s="2043"/>
      <c r="CL7" s="2043"/>
      <c r="CM7" s="2043"/>
      <c r="CN7" s="2043"/>
      <c r="CO7" s="2043"/>
      <c r="CP7" s="2043"/>
      <c r="CQ7" s="2043"/>
      <c r="CR7" s="2043"/>
      <c r="CS7" s="2043"/>
      <c r="CT7" s="2043"/>
      <c r="CU7" s="2043"/>
      <c r="CV7" s="2043"/>
      <c r="CW7" s="2043"/>
      <c r="CX7" s="2043"/>
      <c r="CY7" s="2043"/>
      <c r="CZ7" s="2043"/>
      <c r="DA7" s="2043"/>
      <c r="DB7" s="2043"/>
      <c r="DC7" s="2043"/>
      <c r="DD7" s="2043"/>
      <c r="DE7" s="2043"/>
      <c r="DF7" s="2043"/>
      <c r="DG7" s="2043"/>
      <c r="DH7" s="2044"/>
    </row>
    <row r="8" spans="1:117" s="1" customFormat="1" ht="15" customHeight="1">
      <c r="A8" s="64"/>
      <c r="B8" s="2070"/>
      <c r="C8" s="2064"/>
      <c r="D8" s="2073" t="s">
        <v>944</v>
      </c>
      <c r="E8" s="2066"/>
      <c r="F8" s="2066"/>
      <c r="G8" s="2066"/>
      <c r="H8" s="2066"/>
      <c r="I8" s="2066"/>
      <c r="J8" s="2066"/>
      <c r="K8" s="2054"/>
      <c r="L8" s="2073" t="s">
        <v>1139</v>
      </c>
      <c r="M8" s="2066"/>
      <c r="N8" s="2066"/>
      <c r="O8" s="2066"/>
      <c r="P8" s="2066"/>
      <c r="Q8" s="2066"/>
      <c r="R8" s="2066"/>
      <c r="S8" s="2054"/>
      <c r="T8" s="2073" t="s">
        <v>16</v>
      </c>
      <c r="U8" s="2066"/>
      <c r="V8" s="2066"/>
      <c r="W8" s="2066"/>
      <c r="X8" s="2066"/>
      <c r="Y8" s="2066"/>
      <c r="Z8" s="2066"/>
      <c r="AA8" s="2054"/>
      <c r="AB8" s="2073" t="s">
        <v>17</v>
      </c>
      <c r="AC8" s="2066"/>
      <c r="AD8" s="2066"/>
      <c r="AE8" s="2066"/>
      <c r="AF8" s="2066"/>
      <c r="AG8" s="2066"/>
      <c r="AH8" s="2066"/>
      <c r="AI8" s="2054"/>
      <c r="AJ8" s="2085" t="s">
        <v>1143</v>
      </c>
      <c r="AK8" s="2086"/>
      <c r="AL8" s="2086"/>
      <c r="AM8" s="2086"/>
      <c r="AN8" s="2086"/>
      <c r="AO8" s="2086"/>
      <c r="AP8" s="2086"/>
      <c r="AQ8" s="2086"/>
      <c r="AR8" s="2086"/>
      <c r="AS8" s="2086"/>
      <c r="AT8" s="2086"/>
      <c r="AU8" s="2086"/>
      <c r="AV8" s="2086"/>
      <c r="AW8" s="2086"/>
      <c r="AX8" s="2086"/>
      <c r="AY8" s="2086"/>
      <c r="AZ8" s="2086"/>
      <c r="BA8" s="2086"/>
      <c r="BB8" s="2086"/>
      <c r="BC8" s="2086"/>
      <c r="BD8" s="2086"/>
      <c r="BE8" s="2086"/>
      <c r="BF8" s="2086"/>
      <c r="BG8" s="2074"/>
      <c r="BH8" s="2086"/>
      <c r="BI8" s="2086"/>
      <c r="BJ8" s="2086"/>
      <c r="BK8" s="2086"/>
      <c r="BL8" s="2074"/>
      <c r="BM8" s="2085" t="s">
        <v>1148</v>
      </c>
      <c r="BN8" s="2086"/>
      <c r="BO8" s="2086"/>
      <c r="BP8" s="2086"/>
      <c r="BQ8" s="2086"/>
      <c r="BR8" s="2086"/>
      <c r="BS8" s="2086"/>
      <c r="BT8" s="2086"/>
      <c r="BU8" s="2086"/>
      <c r="BV8" s="2086"/>
      <c r="BW8" s="2086"/>
      <c r="BX8" s="2086"/>
      <c r="BY8" s="2086"/>
      <c r="BZ8" s="2086"/>
      <c r="CA8" s="2086"/>
      <c r="CB8" s="2086"/>
      <c r="CC8" s="2086"/>
      <c r="CD8" s="2086"/>
      <c r="CE8" s="2086"/>
      <c r="CF8" s="2086"/>
      <c r="CG8" s="2086"/>
      <c r="CH8" s="2086"/>
      <c r="CI8" s="2086"/>
      <c r="CJ8" s="2074"/>
      <c r="CK8" s="2093"/>
      <c r="CL8" s="2093"/>
      <c r="CM8" s="2093"/>
      <c r="CN8" s="2093"/>
      <c r="CO8" s="2093"/>
      <c r="CP8" s="2085" t="s">
        <v>18</v>
      </c>
      <c r="CQ8" s="2086"/>
      <c r="CR8" s="2086"/>
      <c r="CS8" s="2086"/>
      <c r="CT8" s="2086"/>
      <c r="CU8" s="2086"/>
      <c r="CV8" s="2086"/>
      <c r="CW8" s="2086"/>
      <c r="CX8" s="2086"/>
      <c r="CY8" s="2086"/>
      <c r="CZ8" s="2086"/>
      <c r="DA8" s="2086"/>
      <c r="DB8" s="2086"/>
      <c r="DC8" s="2086"/>
      <c r="DD8" s="2086"/>
      <c r="DE8" s="2086"/>
      <c r="DF8" s="2086"/>
      <c r="DG8" s="2086"/>
      <c r="DH8" s="2086"/>
      <c r="DI8" s="2086"/>
      <c r="DJ8" s="2086"/>
      <c r="DK8" s="2086"/>
      <c r="DL8" s="2086"/>
      <c r="DM8" s="2074"/>
    </row>
    <row r="9" spans="1:117" s="1" customFormat="1" ht="12.75" customHeight="1">
      <c r="A9" s="64"/>
      <c r="B9" s="2070"/>
      <c r="C9" s="2064"/>
      <c r="D9" s="2065"/>
      <c r="E9" s="2055"/>
      <c r="F9" s="2055"/>
      <c r="G9" s="2055"/>
      <c r="H9" s="2055"/>
      <c r="I9" s="2055"/>
      <c r="J9" s="2055"/>
      <c r="K9" s="2056"/>
      <c r="L9" s="2065"/>
      <c r="M9" s="2055"/>
      <c r="N9" s="2055"/>
      <c r="O9" s="2055"/>
      <c r="P9" s="2055"/>
      <c r="Q9" s="2055"/>
      <c r="R9" s="2055"/>
      <c r="S9" s="2056"/>
      <c r="T9" s="2065"/>
      <c r="U9" s="2055"/>
      <c r="V9" s="2055"/>
      <c r="W9" s="2055"/>
      <c r="X9" s="2055"/>
      <c r="Y9" s="2055"/>
      <c r="Z9" s="2055"/>
      <c r="AA9" s="2056"/>
      <c r="AB9" s="2065"/>
      <c r="AC9" s="2055"/>
      <c r="AD9" s="2055"/>
      <c r="AE9" s="2055"/>
      <c r="AF9" s="2055"/>
      <c r="AG9" s="2055"/>
      <c r="AH9" s="2055"/>
      <c r="AI9" s="2056"/>
      <c r="AJ9" s="2085" t="s">
        <v>421</v>
      </c>
      <c r="AK9" s="2086"/>
      <c r="AL9" s="2086"/>
      <c r="AM9" s="2086"/>
      <c r="AN9" s="2086"/>
      <c r="AO9" s="2086"/>
      <c r="AP9" s="2086"/>
      <c r="AQ9" s="2074"/>
      <c r="AR9" s="2057" t="s">
        <v>271</v>
      </c>
      <c r="AS9" s="2057"/>
      <c r="AT9" s="2057"/>
      <c r="AU9" s="2057"/>
      <c r="AV9" s="2057"/>
      <c r="AW9" s="2057"/>
      <c r="AX9" s="2057"/>
      <c r="AY9" s="2057"/>
      <c r="AZ9" s="2085" t="s">
        <v>272</v>
      </c>
      <c r="BA9" s="2086"/>
      <c r="BB9" s="2086"/>
      <c r="BC9" s="2086"/>
      <c r="BD9" s="2086"/>
      <c r="BE9" s="2086"/>
      <c r="BF9" s="2086"/>
      <c r="BG9" s="2074"/>
      <c r="BH9" s="2086"/>
      <c r="BI9" s="2086"/>
      <c r="BJ9" s="2086"/>
      <c r="BK9" s="2086"/>
      <c r="BL9" s="2074"/>
      <c r="BM9" s="2075" t="s">
        <v>421</v>
      </c>
      <c r="BN9" s="2093"/>
      <c r="BO9" s="2093"/>
      <c r="BP9" s="2093"/>
      <c r="BQ9" s="2093"/>
      <c r="BR9" s="2093"/>
      <c r="BS9" s="2093"/>
      <c r="BT9" s="2076"/>
      <c r="BU9" s="2075" t="s">
        <v>271</v>
      </c>
      <c r="BV9" s="2093"/>
      <c r="BW9" s="2093"/>
      <c r="BX9" s="2093"/>
      <c r="BY9" s="2093"/>
      <c r="BZ9" s="2093"/>
      <c r="CA9" s="2093"/>
      <c r="CB9" s="2076"/>
      <c r="CC9" s="2075" t="s">
        <v>272</v>
      </c>
      <c r="CD9" s="2093"/>
      <c r="CE9" s="2093"/>
      <c r="CF9" s="2093"/>
      <c r="CG9" s="2093"/>
      <c r="CH9" s="2093"/>
      <c r="CI9" s="2093"/>
      <c r="CJ9" s="2093"/>
      <c r="CK9" s="2093"/>
      <c r="CL9" s="2093"/>
      <c r="CM9" s="2093"/>
      <c r="CN9" s="2093"/>
      <c r="CO9" s="2093"/>
      <c r="CP9" s="2075" t="s">
        <v>421</v>
      </c>
      <c r="CQ9" s="2093"/>
      <c r="CR9" s="2093"/>
      <c r="CS9" s="2093"/>
      <c r="CT9" s="2093"/>
      <c r="CU9" s="2093"/>
      <c r="CV9" s="2093"/>
      <c r="CW9" s="2076"/>
      <c r="CX9" s="2075" t="s">
        <v>271</v>
      </c>
      <c r="CY9" s="2093"/>
      <c r="CZ9" s="2093"/>
      <c r="DA9" s="2093"/>
      <c r="DB9" s="2093"/>
      <c r="DC9" s="2093"/>
      <c r="DD9" s="2093"/>
      <c r="DE9" s="2076"/>
      <c r="DF9" s="2075" t="s">
        <v>272</v>
      </c>
      <c r="DG9" s="2093"/>
      <c r="DH9" s="2093"/>
      <c r="DI9" s="2093"/>
      <c r="DJ9" s="2093"/>
      <c r="DK9" s="2093"/>
      <c r="DL9" s="2093"/>
      <c r="DM9" s="2093"/>
    </row>
    <row r="10" spans="1:117" s="1" customFormat="1" ht="12.75">
      <c r="A10" s="64"/>
      <c r="B10" s="2071"/>
      <c r="C10" s="2064"/>
      <c r="D10" s="2090" t="s">
        <v>1676</v>
      </c>
      <c r="E10" s="2089" t="s">
        <v>1686</v>
      </c>
      <c r="F10" s="2087"/>
      <c r="G10" s="2087"/>
      <c r="H10" s="2087"/>
      <c r="I10" s="2087"/>
      <c r="J10" s="2087"/>
      <c r="K10" s="2088"/>
      <c r="L10" s="2090" t="s">
        <v>1676</v>
      </c>
      <c r="M10" s="2089" t="s">
        <v>1686</v>
      </c>
      <c r="N10" s="2087"/>
      <c r="O10" s="2087"/>
      <c r="P10" s="2087"/>
      <c r="Q10" s="2087"/>
      <c r="R10" s="2087"/>
      <c r="S10" s="2088"/>
      <c r="T10" s="2090" t="s">
        <v>1676</v>
      </c>
      <c r="U10" s="2089" t="s">
        <v>1686</v>
      </c>
      <c r="V10" s="2087"/>
      <c r="W10" s="2087"/>
      <c r="X10" s="2087"/>
      <c r="Y10" s="2087"/>
      <c r="Z10" s="2087"/>
      <c r="AA10" s="2088"/>
      <c r="AB10" s="2090" t="s">
        <v>1676</v>
      </c>
      <c r="AC10" s="2089" t="s">
        <v>1686</v>
      </c>
      <c r="AD10" s="2087"/>
      <c r="AE10" s="2087"/>
      <c r="AF10" s="2087"/>
      <c r="AG10" s="2087"/>
      <c r="AH10" s="2087"/>
      <c r="AI10" s="2088"/>
      <c r="AJ10" s="2090" t="s">
        <v>1676</v>
      </c>
      <c r="AK10" s="2089" t="s">
        <v>1686</v>
      </c>
      <c r="AL10" s="2087"/>
      <c r="AM10" s="2087"/>
      <c r="AN10" s="2087"/>
      <c r="AO10" s="2087"/>
      <c r="AP10" s="2087"/>
      <c r="AQ10" s="2088"/>
      <c r="AR10" s="2090" t="s">
        <v>1676</v>
      </c>
      <c r="AS10" s="2089" t="s">
        <v>1686</v>
      </c>
      <c r="AT10" s="2087"/>
      <c r="AU10" s="2087"/>
      <c r="AV10" s="2087"/>
      <c r="AW10" s="2087"/>
      <c r="AX10" s="2087"/>
      <c r="AY10" s="2088"/>
      <c r="AZ10" s="2090" t="s">
        <v>1676</v>
      </c>
      <c r="BA10" s="2089" t="s">
        <v>1686</v>
      </c>
      <c r="BB10" s="2087"/>
      <c r="BC10" s="2087"/>
      <c r="BD10" s="2087"/>
      <c r="BE10" s="2087"/>
      <c r="BF10" s="2087"/>
      <c r="BG10" s="2088"/>
      <c r="BH10" s="2087"/>
      <c r="BI10" s="2087"/>
      <c r="BJ10" s="2087"/>
      <c r="BK10" s="2087"/>
      <c r="BL10" s="2088"/>
      <c r="BM10" s="2090" t="s">
        <v>1676</v>
      </c>
      <c r="BN10" s="2094" t="s">
        <v>1686</v>
      </c>
      <c r="BO10" s="2095"/>
      <c r="BP10" s="2095"/>
      <c r="BQ10" s="2095"/>
      <c r="BR10" s="2095"/>
      <c r="BS10" s="2095"/>
      <c r="BT10" s="2079"/>
      <c r="BU10" s="2090" t="s">
        <v>1676</v>
      </c>
      <c r="BV10" s="2094" t="s">
        <v>1686</v>
      </c>
      <c r="BW10" s="2095"/>
      <c r="BX10" s="2095"/>
      <c r="BY10" s="2095"/>
      <c r="BZ10" s="2095"/>
      <c r="CA10" s="2095"/>
      <c r="CB10" s="2079"/>
      <c r="CC10" s="2090" t="s">
        <v>1676</v>
      </c>
      <c r="CD10" s="2094" t="s">
        <v>1686</v>
      </c>
      <c r="CE10" s="2095"/>
      <c r="CF10" s="2095"/>
      <c r="CG10" s="2095"/>
      <c r="CH10" s="2095"/>
      <c r="CI10" s="2095"/>
      <c r="CJ10" s="2095"/>
      <c r="CK10" s="2095"/>
      <c r="CL10" s="2095"/>
      <c r="CM10" s="2095"/>
      <c r="CN10" s="2095"/>
      <c r="CO10" s="2095"/>
      <c r="CP10" s="2090" t="s">
        <v>1676</v>
      </c>
      <c r="CQ10" s="2094" t="s">
        <v>1686</v>
      </c>
      <c r="CR10" s="2095"/>
      <c r="CS10" s="2095"/>
      <c r="CT10" s="2095"/>
      <c r="CU10" s="2095"/>
      <c r="CV10" s="2095"/>
      <c r="CW10" s="2079"/>
      <c r="CX10" s="2090" t="s">
        <v>1676</v>
      </c>
      <c r="CY10" s="2094" t="s">
        <v>1686</v>
      </c>
      <c r="CZ10" s="2095"/>
      <c r="DA10" s="2095"/>
      <c r="DB10" s="2095"/>
      <c r="DC10" s="2095"/>
      <c r="DD10" s="2095"/>
      <c r="DE10" s="2079"/>
      <c r="DF10" s="2090" t="s">
        <v>1676</v>
      </c>
      <c r="DG10" s="2094" t="s">
        <v>1686</v>
      </c>
      <c r="DH10" s="2095"/>
      <c r="DI10" s="2095"/>
      <c r="DJ10" s="2095"/>
      <c r="DK10" s="2095"/>
      <c r="DL10" s="2095"/>
      <c r="DM10" s="2095"/>
    </row>
    <row r="11" spans="1:117" s="1" customFormat="1" ht="15.75" customHeight="1">
      <c r="A11" s="64"/>
      <c r="B11" s="2071"/>
      <c r="C11" s="2064"/>
      <c r="D11" s="2091"/>
      <c r="E11" s="2077" t="s">
        <v>267</v>
      </c>
      <c r="F11" s="2077" t="s">
        <v>433</v>
      </c>
      <c r="G11" s="2089" t="s">
        <v>1686</v>
      </c>
      <c r="H11" s="2087"/>
      <c r="I11" s="2087"/>
      <c r="J11" s="2087"/>
      <c r="K11" s="2088"/>
      <c r="L11" s="2091"/>
      <c r="M11" s="2077" t="s">
        <v>267</v>
      </c>
      <c r="N11" s="2077" t="s">
        <v>433</v>
      </c>
      <c r="O11" s="2089" t="s">
        <v>1686</v>
      </c>
      <c r="P11" s="2087"/>
      <c r="Q11" s="2087"/>
      <c r="R11" s="2087"/>
      <c r="S11" s="2088"/>
      <c r="T11" s="2091"/>
      <c r="U11" s="2077" t="s">
        <v>267</v>
      </c>
      <c r="V11" s="2058" t="s">
        <v>433</v>
      </c>
      <c r="W11" s="2089" t="s">
        <v>1686</v>
      </c>
      <c r="X11" s="2087"/>
      <c r="Y11" s="2087"/>
      <c r="Z11" s="2087"/>
      <c r="AA11" s="2088"/>
      <c r="AB11" s="2091"/>
      <c r="AC11" s="2077" t="s">
        <v>1288</v>
      </c>
      <c r="AD11" s="2077" t="s">
        <v>433</v>
      </c>
      <c r="AE11" s="2089" t="s">
        <v>1686</v>
      </c>
      <c r="AF11" s="2087"/>
      <c r="AG11" s="2087"/>
      <c r="AH11" s="2087"/>
      <c r="AI11" s="2088"/>
      <c r="AJ11" s="2091"/>
      <c r="AK11" s="2077" t="s">
        <v>267</v>
      </c>
      <c r="AL11" s="2077" t="s">
        <v>433</v>
      </c>
      <c r="AM11" s="2089" t="s">
        <v>1686</v>
      </c>
      <c r="AN11" s="2087"/>
      <c r="AO11" s="2087"/>
      <c r="AP11" s="2087"/>
      <c r="AQ11" s="2088"/>
      <c r="AR11" s="2091"/>
      <c r="AS11" s="2077" t="s">
        <v>1288</v>
      </c>
      <c r="AT11" s="2077" t="s">
        <v>433</v>
      </c>
      <c r="AU11" s="2089" t="s">
        <v>1686</v>
      </c>
      <c r="AV11" s="2087"/>
      <c r="AW11" s="2087"/>
      <c r="AX11" s="2087"/>
      <c r="AY11" s="2088"/>
      <c r="AZ11" s="2091"/>
      <c r="BA11" s="2077" t="s">
        <v>1288</v>
      </c>
      <c r="BB11" s="2077" t="s">
        <v>433</v>
      </c>
      <c r="BC11" s="2089" t="s">
        <v>1686</v>
      </c>
      <c r="BD11" s="2087"/>
      <c r="BE11" s="2087"/>
      <c r="BF11" s="2087"/>
      <c r="BG11" s="2088"/>
      <c r="BH11" s="2089" t="s">
        <v>1686</v>
      </c>
      <c r="BI11" s="2087"/>
      <c r="BJ11" s="2087"/>
      <c r="BK11" s="2087"/>
      <c r="BL11" s="2088"/>
      <c r="BM11" s="2091"/>
      <c r="BN11" s="2083" t="s">
        <v>1288</v>
      </c>
      <c r="BO11" s="2083" t="s">
        <v>433</v>
      </c>
      <c r="BP11" s="2094" t="s">
        <v>1686</v>
      </c>
      <c r="BQ11" s="2095"/>
      <c r="BR11" s="2095"/>
      <c r="BS11" s="2095"/>
      <c r="BT11" s="2079"/>
      <c r="BU11" s="2091"/>
      <c r="BV11" s="2083" t="s">
        <v>267</v>
      </c>
      <c r="BW11" s="2083" t="s">
        <v>433</v>
      </c>
      <c r="BX11" s="2094" t="s">
        <v>1686</v>
      </c>
      <c r="BY11" s="2095"/>
      <c r="BZ11" s="2095"/>
      <c r="CA11" s="2095"/>
      <c r="CB11" s="2079"/>
      <c r="CC11" s="2091"/>
      <c r="CD11" s="2083" t="s">
        <v>267</v>
      </c>
      <c r="CE11" s="2083" t="s">
        <v>433</v>
      </c>
      <c r="CF11" s="2094" t="s">
        <v>1686</v>
      </c>
      <c r="CG11" s="2095"/>
      <c r="CH11" s="2095"/>
      <c r="CI11" s="2095"/>
      <c r="CJ11" s="2095"/>
      <c r="CK11" s="2094" t="s">
        <v>1686</v>
      </c>
      <c r="CL11" s="2095"/>
      <c r="CM11" s="2095"/>
      <c r="CN11" s="2095"/>
      <c r="CO11" s="2095"/>
      <c r="CP11" s="2091"/>
      <c r="CQ11" s="2083" t="s">
        <v>1288</v>
      </c>
      <c r="CR11" s="2083" t="s">
        <v>433</v>
      </c>
      <c r="CS11" s="2094" t="s">
        <v>1686</v>
      </c>
      <c r="CT11" s="2095"/>
      <c r="CU11" s="2095"/>
      <c r="CV11" s="2095"/>
      <c r="CW11" s="2079"/>
      <c r="CX11" s="2091"/>
      <c r="CY11" s="2083" t="s">
        <v>267</v>
      </c>
      <c r="CZ11" s="2083" t="s">
        <v>433</v>
      </c>
      <c r="DA11" s="2094" t="s">
        <v>1686</v>
      </c>
      <c r="DB11" s="2095"/>
      <c r="DC11" s="2095"/>
      <c r="DD11" s="2095"/>
      <c r="DE11" s="2079"/>
      <c r="DF11" s="2091"/>
      <c r="DG11" s="2083" t="s">
        <v>267</v>
      </c>
      <c r="DH11" s="2083" t="s">
        <v>433</v>
      </c>
      <c r="DI11" s="2094" t="s">
        <v>1686</v>
      </c>
      <c r="DJ11" s="2095"/>
      <c r="DK11" s="2095"/>
      <c r="DL11" s="2095"/>
      <c r="DM11" s="2095"/>
    </row>
    <row r="12" spans="1:117" s="1" customFormat="1" ht="45" customHeight="1">
      <c r="A12" s="64"/>
      <c r="B12" s="2072"/>
      <c r="C12" s="2065"/>
      <c r="D12" s="2092"/>
      <c r="E12" s="2078"/>
      <c r="F12" s="2078"/>
      <c r="G12" s="3" t="s">
        <v>346</v>
      </c>
      <c r="H12" s="3" t="s">
        <v>347</v>
      </c>
      <c r="I12" s="3" t="s">
        <v>301</v>
      </c>
      <c r="J12" s="3" t="s">
        <v>302</v>
      </c>
      <c r="K12" s="3" t="s">
        <v>303</v>
      </c>
      <c r="L12" s="2092"/>
      <c r="M12" s="2078"/>
      <c r="N12" s="2078"/>
      <c r="O12" s="3" t="s">
        <v>346</v>
      </c>
      <c r="P12" s="3" t="s">
        <v>347</v>
      </c>
      <c r="Q12" s="3" t="s">
        <v>301</v>
      </c>
      <c r="R12" s="3" t="s">
        <v>302</v>
      </c>
      <c r="S12" s="3" t="s">
        <v>303</v>
      </c>
      <c r="T12" s="2092"/>
      <c r="U12" s="2078"/>
      <c r="V12" s="2059"/>
      <c r="W12" s="3" t="s">
        <v>218</v>
      </c>
      <c r="X12" s="3" t="s">
        <v>219</v>
      </c>
      <c r="Y12" s="3" t="s">
        <v>220</v>
      </c>
      <c r="Z12" s="3" t="s">
        <v>221</v>
      </c>
      <c r="AA12" s="3" t="s">
        <v>201</v>
      </c>
      <c r="AB12" s="2092"/>
      <c r="AC12" s="2078"/>
      <c r="AD12" s="2078"/>
      <c r="AE12" s="3" t="s">
        <v>218</v>
      </c>
      <c r="AF12" s="3" t="s">
        <v>219</v>
      </c>
      <c r="AG12" s="3" t="s">
        <v>220</v>
      </c>
      <c r="AH12" s="3" t="s">
        <v>221</v>
      </c>
      <c r="AI12" s="3" t="s">
        <v>201</v>
      </c>
      <c r="AJ12" s="2092"/>
      <c r="AK12" s="2078"/>
      <c r="AL12" s="2078"/>
      <c r="AM12" s="3" t="s">
        <v>218</v>
      </c>
      <c r="AN12" s="3" t="s">
        <v>219</v>
      </c>
      <c r="AO12" s="3" t="s">
        <v>220</v>
      </c>
      <c r="AP12" s="3" t="s">
        <v>221</v>
      </c>
      <c r="AQ12" s="3" t="s">
        <v>201</v>
      </c>
      <c r="AR12" s="2092"/>
      <c r="AS12" s="2078"/>
      <c r="AT12" s="2078"/>
      <c r="AU12" s="3" t="s">
        <v>218</v>
      </c>
      <c r="AV12" s="3" t="s">
        <v>219</v>
      </c>
      <c r="AW12" s="3" t="s">
        <v>220</v>
      </c>
      <c r="AX12" s="3" t="s">
        <v>221</v>
      </c>
      <c r="AY12" s="3" t="s">
        <v>201</v>
      </c>
      <c r="AZ12" s="2092"/>
      <c r="BA12" s="2078"/>
      <c r="BB12" s="2078"/>
      <c r="BC12" s="3" t="s">
        <v>218</v>
      </c>
      <c r="BD12" s="3" t="s">
        <v>219</v>
      </c>
      <c r="BE12" s="3" t="s">
        <v>220</v>
      </c>
      <c r="BF12" s="3" t="s">
        <v>221</v>
      </c>
      <c r="BG12" s="3" t="s">
        <v>201</v>
      </c>
      <c r="BH12" s="3" t="s">
        <v>218</v>
      </c>
      <c r="BI12" s="3" t="s">
        <v>219</v>
      </c>
      <c r="BJ12" s="3" t="s">
        <v>220</v>
      </c>
      <c r="BK12" s="3" t="s">
        <v>221</v>
      </c>
      <c r="BL12" s="3" t="s">
        <v>201</v>
      </c>
      <c r="BM12" s="2092"/>
      <c r="BN12" s="2084"/>
      <c r="BO12" s="2084"/>
      <c r="BP12" s="363" t="s">
        <v>218</v>
      </c>
      <c r="BQ12" s="363" t="s">
        <v>219</v>
      </c>
      <c r="BR12" s="363" t="s">
        <v>220</v>
      </c>
      <c r="BS12" s="363" t="s">
        <v>221</v>
      </c>
      <c r="BT12" s="363" t="s">
        <v>201</v>
      </c>
      <c r="BU12" s="2092"/>
      <c r="BV12" s="2084"/>
      <c r="BW12" s="2084"/>
      <c r="BX12" s="363" t="s">
        <v>218</v>
      </c>
      <c r="BY12" s="363" t="s">
        <v>219</v>
      </c>
      <c r="BZ12" s="363" t="s">
        <v>220</v>
      </c>
      <c r="CA12" s="363" t="s">
        <v>221</v>
      </c>
      <c r="CB12" s="363" t="s">
        <v>201</v>
      </c>
      <c r="CC12" s="2092"/>
      <c r="CD12" s="2084"/>
      <c r="CE12" s="2084"/>
      <c r="CF12" s="363" t="s">
        <v>218</v>
      </c>
      <c r="CG12" s="363" t="s">
        <v>219</v>
      </c>
      <c r="CH12" s="363" t="s">
        <v>220</v>
      </c>
      <c r="CI12" s="363" t="s">
        <v>221</v>
      </c>
      <c r="CJ12" s="364" t="s">
        <v>201</v>
      </c>
      <c r="CK12" s="363" t="s">
        <v>218</v>
      </c>
      <c r="CL12" s="363" t="s">
        <v>219</v>
      </c>
      <c r="CM12" s="363" t="s">
        <v>220</v>
      </c>
      <c r="CN12" s="363" t="s">
        <v>221</v>
      </c>
      <c r="CO12" s="364" t="s">
        <v>201</v>
      </c>
      <c r="CP12" s="2092"/>
      <c r="CQ12" s="2084"/>
      <c r="CR12" s="2084"/>
      <c r="CS12" s="363" t="s">
        <v>218</v>
      </c>
      <c r="CT12" s="363" t="s">
        <v>219</v>
      </c>
      <c r="CU12" s="363" t="s">
        <v>220</v>
      </c>
      <c r="CV12" s="363" t="s">
        <v>221</v>
      </c>
      <c r="CW12" s="363" t="s">
        <v>201</v>
      </c>
      <c r="CX12" s="2092"/>
      <c r="CY12" s="2084"/>
      <c r="CZ12" s="2084"/>
      <c r="DA12" s="363" t="s">
        <v>218</v>
      </c>
      <c r="DB12" s="363" t="s">
        <v>219</v>
      </c>
      <c r="DC12" s="363" t="s">
        <v>220</v>
      </c>
      <c r="DD12" s="363" t="s">
        <v>221</v>
      </c>
      <c r="DE12" s="363" t="s">
        <v>201</v>
      </c>
      <c r="DF12" s="2092"/>
      <c r="DG12" s="2084"/>
      <c r="DH12" s="2084"/>
      <c r="DI12" s="363" t="s">
        <v>218</v>
      </c>
      <c r="DJ12" s="363" t="s">
        <v>219</v>
      </c>
      <c r="DK12" s="363" t="s">
        <v>220</v>
      </c>
      <c r="DL12" s="363" t="s">
        <v>221</v>
      </c>
      <c r="DM12" s="364" t="s">
        <v>201</v>
      </c>
    </row>
    <row r="13" spans="1:117" s="1" customFormat="1" ht="12.75">
      <c r="A13" s="64"/>
      <c r="B13" s="4">
        <v>1</v>
      </c>
      <c r="C13" s="5">
        <v>2</v>
      </c>
      <c r="D13" s="4">
        <v>3</v>
      </c>
      <c r="E13" s="5">
        <v>4</v>
      </c>
      <c r="F13" s="4">
        <v>5</v>
      </c>
      <c r="G13" s="5">
        <v>6</v>
      </c>
      <c r="H13" s="4">
        <v>7</v>
      </c>
      <c r="I13" s="5">
        <v>8</v>
      </c>
      <c r="J13" s="4">
        <v>9</v>
      </c>
      <c r="K13" s="5">
        <v>10</v>
      </c>
      <c r="L13" s="4">
        <v>11</v>
      </c>
      <c r="M13" s="5">
        <v>12</v>
      </c>
      <c r="N13" s="4">
        <v>13</v>
      </c>
      <c r="O13" s="5">
        <v>14</v>
      </c>
      <c r="P13" s="4">
        <v>15</v>
      </c>
      <c r="Q13" s="5">
        <v>16</v>
      </c>
      <c r="R13" s="4">
        <v>17</v>
      </c>
      <c r="S13" s="5">
        <v>18</v>
      </c>
      <c r="T13" s="1121">
        <v>19</v>
      </c>
      <c r="U13" s="5">
        <v>20</v>
      </c>
      <c r="V13" s="520">
        <v>21</v>
      </c>
      <c r="W13" s="5">
        <v>22</v>
      </c>
      <c r="X13" s="4">
        <v>23</v>
      </c>
      <c r="Y13" s="5">
        <v>24</v>
      </c>
      <c r="Z13" s="4">
        <v>25</v>
      </c>
      <c r="AA13" s="5">
        <v>26</v>
      </c>
      <c r="AB13" s="1121">
        <v>27</v>
      </c>
      <c r="AC13" s="5">
        <v>28</v>
      </c>
      <c r="AD13" s="4">
        <v>29</v>
      </c>
      <c r="AE13" s="5">
        <v>30</v>
      </c>
      <c r="AF13" s="4">
        <v>31</v>
      </c>
      <c r="AG13" s="5">
        <v>32</v>
      </c>
      <c r="AH13" s="4">
        <v>33</v>
      </c>
      <c r="AI13" s="5">
        <v>34</v>
      </c>
      <c r="AJ13" s="4">
        <v>35</v>
      </c>
      <c r="AK13" s="5">
        <v>36</v>
      </c>
      <c r="AL13" s="4">
        <v>37</v>
      </c>
      <c r="AM13" s="5">
        <v>38</v>
      </c>
      <c r="AN13" s="4">
        <v>39</v>
      </c>
      <c r="AO13" s="5">
        <v>40</v>
      </c>
      <c r="AP13" s="4">
        <v>41</v>
      </c>
      <c r="AQ13" s="5">
        <v>42</v>
      </c>
      <c r="AR13" s="4">
        <v>43</v>
      </c>
      <c r="AS13" s="5">
        <v>44</v>
      </c>
      <c r="AT13" s="4">
        <v>45</v>
      </c>
      <c r="AU13" s="5">
        <v>46</v>
      </c>
      <c r="AV13" s="4">
        <v>47</v>
      </c>
      <c r="AW13" s="5">
        <v>48</v>
      </c>
      <c r="AX13" s="4">
        <v>49</v>
      </c>
      <c r="AY13" s="5">
        <v>50</v>
      </c>
      <c r="AZ13" s="1121">
        <v>51</v>
      </c>
      <c r="BA13" s="5">
        <v>52</v>
      </c>
      <c r="BB13" s="4">
        <v>53</v>
      </c>
      <c r="BC13" s="5">
        <v>54</v>
      </c>
      <c r="BD13" s="4">
        <v>55</v>
      </c>
      <c r="BE13" s="5">
        <v>56</v>
      </c>
      <c r="BF13" s="4">
        <v>57</v>
      </c>
      <c r="BG13" s="5">
        <v>58</v>
      </c>
      <c r="BH13" s="5">
        <v>54</v>
      </c>
      <c r="BI13" s="4">
        <v>55</v>
      </c>
      <c r="BJ13" s="5">
        <v>56</v>
      </c>
      <c r="BK13" s="4">
        <v>57</v>
      </c>
      <c r="BL13" s="5">
        <v>58</v>
      </c>
      <c r="BM13" s="1121">
        <v>59</v>
      </c>
      <c r="BN13" s="362">
        <v>60</v>
      </c>
      <c r="BO13" s="32">
        <v>61</v>
      </c>
      <c r="BP13" s="362">
        <v>62</v>
      </c>
      <c r="BQ13" s="32">
        <v>63</v>
      </c>
      <c r="BR13" s="362">
        <v>64</v>
      </c>
      <c r="BS13" s="32">
        <v>65</v>
      </c>
      <c r="BT13" s="362">
        <v>66</v>
      </c>
      <c r="BU13" s="1121">
        <v>67</v>
      </c>
      <c r="BV13" s="362">
        <v>68</v>
      </c>
      <c r="BW13" s="32">
        <v>69</v>
      </c>
      <c r="BX13" s="362">
        <v>70</v>
      </c>
      <c r="BY13" s="32">
        <v>71</v>
      </c>
      <c r="BZ13" s="362">
        <v>72</v>
      </c>
      <c r="CA13" s="32">
        <v>73</v>
      </c>
      <c r="CB13" s="362">
        <v>74</v>
      </c>
      <c r="CC13" s="1121">
        <v>75</v>
      </c>
      <c r="CD13" s="362">
        <v>76</v>
      </c>
      <c r="CE13" s="32">
        <v>77</v>
      </c>
      <c r="CF13" s="362">
        <v>78</v>
      </c>
      <c r="CG13" s="32">
        <v>79</v>
      </c>
      <c r="CH13" s="362">
        <v>80</v>
      </c>
      <c r="CI13" s="32">
        <v>81</v>
      </c>
      <c r="CJ13" s="362">
        <v>82</v>
      </c>
      <c r="CK13" s="362">
        <v>78</v>
      </c>
      <c r="CL13" s="32">
        <v>79</v>
      </c>
      <c r="CM13" s="362">
        <v>80</v>
      </c>
      <c r="CN13" s="32">
        <v>81</v>
      </c>
      <c r="CO13" s="362">
        <v>82</v>
      </c>
      <c r="CP13" s="1121">
        <v>59</v>
      </c>
      <c r="CQ13" s="362">
        <v>60</v>
      </c>
      <c r="CR13" s="32">
        <v>61</v>
      </c>
      <c r="CS13" s="362">
        <v>62</v>
      </c>
      <c r="CT13" s="32">
        <v>63</v>
      </c>
      <c r="CU13" s="362">
        <v>64</v>
      </c>
      <c r="CV13" s="32">
        <v>65</v>
      </c>
      <c r="CW13" s="362">
        <v>66</v>
      </c>
      <c r="CX13" s="1121">
        <v>67</v>
      </c>
      <c r="CY13" s="362">
        <v>68</v>
      </c>
      <c r="CZ13" s="32">
        <v>69</v>
      </c>
      <c r="DA13" s="362">
        <v>70</v>
      </c>
      <c r="DB13" s="32">
        <v>71</v>
      </c>
      <c r="DC13" s="362">
        <v>72</v>
      </c>
      <c r="DD13" s="32">
        <v>73</v>
      </c>
      <c r="DE13" s="362">
        <v>74</v>
      </c>
      <c r="DF13" s="1121">
        <v>75</v>
      </c>
      <c r="DG13" s="362">
        <v>76</v>
      </c>
      <c r="DH13" s="32">
        <v>77</v>
      </c>
      <c r="DI13" s="362">
        <v>78</v>
      </c>
      <c r="DJ13" s="32">
        <v>79</v>
      </c>
      <c r="DK13" s="362">
        <v>80</v>
      </c>
      <c r="DL13" s="32">
        <v>81</v>
      </c>
      <c r="DM13" s="362">
        <v>82</v>
      </c>
    </row>
    <row r="14" spans="1:117" ht="51">
      <c r="A14" s="211">
        <v>1</v>
      </c>
      <c r="B14" s="47" t="s">
        <v>1671</v>
      </c>
      <c r="C14" s="23" t="s">
        <v>945</v>
      </c>
      <c r="D14" s="90">
        <f>SUM(E14:F14)</f>
        <v>1.965</v>
      </c>
      <c r="E14" s="19">
        <f>SUM(E16:E19)</f>
        <v>1.965</v>
      </c>
      <c r="F14" s="19">
        <f>SUM(F16:F19)</f>
        <v>0</v>
      </c>
      <c r="G14" s="19"/>
      <c r="H14" s="19"/>
      <c r="I14" s="19"/>
      <c r="J14" s="19"/>
      <c r="K14" s="19"/>
      <c r="L14" s="90">
        <f>SUM(M14:N14)</f>
        <v>1.772</v>
      </c>
      <c r="M14" s="19">
        <f>SUM(M16:M19)</f>
        <v>1.772</v>
      </c>
      <c r="N14" s="19">
        <f>SUM(N16:N19)</f>
        <v>0</v>
      </c>
      <c r="O14" s="19"/>
      <c r="P14" s="19"/>
      <c r="Q14" s="19"/>
      <c r="R14" s="19"/>
      <c r="S14" s="19"/>
      <c r="T14" s="318">
        <f>SUM(U14:V14)</f>
        <v>1.199</v>
      </c>
      <c r="U14" s="19">
        <f>SUM(U16:U19)</f>
        <v>1.199</v>
      </c>
      <c r="V14" s="521">
        <f>SUM(V16:V19)</f>
        <v>0</v>
      </c>
      <c r="W14" s="19"/>
      <c r="X14" s="19"/>
      <c r="Y14" s="19"/>
      <c r="Z14" s="19"/>
      <c r="AA14" s="19"/>
      <c r="AB14" s="499">
        <f>SUM(AB16:AB19)</f>
        <v>0.98087</v>
      </c>
      <c r="AC14" s="488">
        <f>SUM(AC16:AC19)</f>
        <v>0.98087</v>
      </c>
      <c r="AD14" s="487"/>
      <c r="AE14" s="487"/>
      <c r="AF14" s="487"/>
      <c r="AG14" s="487"/>
      <c r="AH14" s="487"/>
      <c r="AI14" s="487"/>
      <c r="AJ14" s="499">
        <f>SUM(AK14:AL14)</f>
        <v>0.9808697404200001</v>
      </c>
      <c r="AK14" s="488">
        <f>SUM(AK16:AK19)</f>
        <v>0.9808697404200001</v>
      </c>
      <c r="AL14" s="488"/>
      <c r="AM14" s="488"/>
      <c r="AN14" s="488"/>
      <c r="AO14" s="488"/>
      <c r="AP14" s="488"/>
      <c r="AQ14" s="488"/>
      <c r="AR14" s="499">
        <f>SUM(AS14:AT14)</f>
        <v>0.6050405056375</v>
      </c>
      <c r="AS14" s="488">
        <f>SUM(AS16:AS19)</f>
        <v>0.6050405056375</v>
      </c>
      <c r="AT14" s="488"/>
      <c r="AU14" s="488"/>
      <c r="AV14" s="488"/>
      <c r="AW14" s="488"/>
      <c r="AX14" s="488"/>
      <c r="AY14" s="488"/>
      <c r="AZ14" s="499">
        <f>SUM(BA14:BB14)</f>
        <v>0.3758292347825001</v>
      </c>
      <c r="BA14" s="488">
        <f>SUM(BA16:BA19)</f>
        <v>0.3758292347825001</v>
      </c>
      <c r="BB14" s="488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499">
        <f>BN14+BO14</f>
        <v>0.9808697404200001</v>
      </c>
      <c r="BN14" s="488">
        <f>SUM(BN16:BN19)</f>
        <v>0.9808697404200001</v>
      </c>
      <c r="BO14" s="488"/>
      <c r="BP14" s="488"/>
      <c r="BQ14" s="488"/>
      <c r="BR14" s="488"/>
      <c r="BS14" s="488"/>
      <c r="BT14" s="488"/>
      <c r="BU14" s="499">
        <f>SUM(BV14:BW14)</f>
        <v>0.6050405056375</v>
      </c>
      <c r="BV14" s="488">
        <f>SUM(BV16:BV19)</f>
        <v>0.6050405056375</v>
      </c>
      <c r="BW14" s="488"/>
      <c r="BX14" s="488"/>
      <c r="BY14" s="488"/>
      <c r="BZ14" s="488"/>
      <c r="CA14" s="488"/>
      <c r="CB14" s="488"/>
      <c r="CC14" s="499">
        <f>SUM(CD14:CE14)</f>
        <v>0.3758292347825001</v>
      </c>
      <c r="CD14" s="488">
        <f>SUM(CD16:CD19)</f>
        <v>0.3758292347825001</v>
      </c>
      <c r="CE14" s="488"/>
      <c r="CF14" s="90"/>
      <c r="CG14" s="90"/>
      <c r="CH14" s="90"/>
      <c r="CI14" s="90"/>
      <c r="CJ14" s="365"/>
      <c r="CK14" s="90"/>
      <c r="CL14" s="90"/>
      <c r="CM14" s="90"/>
      <c r="CN14" s="90"/>
      <c r="CO14" s="365"/>
      <c r="CP14" s="499">
        <f>CQ14+CR14</f>
        <v>0.9808697404200001</v>
      </c>
      <c r="CQ14" s="488">
        <f>SUM(CQ16:CQ19)</f>
        <v>0.9808697404200001</v>
      </c>
      <c r="CR14" s="488"/>
      <c r="CS14" s="488"/>
      <c r="CT14" s="488"/>
      <c r="CU14" s="488"/>
      <c r="CV14" s="488"/>
      <c r="CW14" s="488"/>
      <c r="CX14" s="499">
        <f>SUM(CY14:CZ14)</f>
        <v>0.6050405056375</v>
      </c>
      <c r="CY14" s="488">
        <f>SUM(CY16:CY19)</f>
        <v>0.6050405056375</v>
      </c>
      <c r="CZ14" s="488"/>
      <c r="DA14" s="488"/>
      <c r="DB14" s="488"/>
      <c r="DC14" s="488"/>
      <c r="DD14" s="488"/>
      <c r="DE14" s="488"/>
      <c r="DF14" s="499">
        <f>SUM(DG14:DH14)</f>
        <v>0.3758292347825001</v>
      </c>
      <c r="DG14" s="488">
        <f>SUM(DG16:DG19)</f>
        <v>0.3758292347825001</v>
      </c>
      <c r="DH14" s="488"/>
      <c r="DI14" s="90"/>
      <c r="DJ14" s="90"/>
      <c r="DK14" s="90"/>
      <c r="DL14" s="90"/>
      <c r="DM14" s="365"/>
    </row>
    <row r="15" spans="1:117" ht="15.75">
      <c r="A15" s="211"/>
      <c r="B15" s="2082"/>
      <c r="C15" s="27" t="s">
        <v>1688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22"/>
      <c r="U15" s="109"/>
      <c r="V15" s="522"/>
      <c r="W15" s="109"/>
      <c r="X15" s="109"/>
      <c r="Y15" s="109"/>
      <c r="Z15" s="109"/>
      <c r="AA15" s="109"/>
      <c r="AB15" s="1117"/>
      <c r="AC15" s="490"/>
      <c r="AD15" s="489"/>
      <c r="AE15" s="489"/>
      <c r="AF15" s="489"/>
      <c r="AG15" s="489"/>
      <c r="AH15" s="489"/>
      <c r="AI15" s="489"/>
      <c r="AJ15" s="1117"/>
      <c r="AK15" s="490"/>
      <c r="AL15" s="490"/>
      <c r="AM15" s="490"/>
      <c r="AN15" s="490"/>
      <c r="AO15" s="490"/>
      <c r="AP15" s="490"/>
      <c r="AQ15" s="490"/>
      <c r="AR15" s="1117"/>
      <c r="AS15" s="490"/>
      <c r="AT15" s="490"/>
      <c r="AU15" s="490"/>
      <c r="AV15" s="490"/>
      <c r="AW15" s="490"/>
      <c r="AX15" s="490"/>
      <c r="AY15" s="490"/>
      <c r="AZ15" s="1117"/>
      <c r="BA15" s="490"/>
      <c r="BB15" s="490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122"/>
      <c r="BN15" s="111"/>
      <c r="BO15" s="111"/>
      <c r="BP15" s="111"/>
      <c r="BQ15" s="111"/>
      <c r="BR15" s="111"/>
      <c r="BS15" s="111"/>
      <c r="BT15" s="111"/>
      <c r="BU15" s="1122"/>
      <c r="BV15" s="111"/>
      <c r="BW15" s="111"/>
      <c r="BX15" s="111"/>
      <c r="BY15" s="111"/>
      <c r="BZ15" s="111"/>
      <c r="CA15" s="111"/>
      <c r="CB15" s="111"/>
      <c r="CC15" s="1122"/>
      <c r="CD15" s="111"/>
      <c r="CE15" s="111"/>
      <c r="CF15" s="111"/>
      <c r="CG15" s="111"/>
      <c r="CH15" s="111"/>
      <c r="CI15" s="111"/>
      <c r="CJ15" s="366"/>
      <c r="CK15" s="111"/>
      <c r="CL15" s="111"/>
      <c r="CM15" s="111"/>
      <c r="CN15" s="111"/>
      <c r="CO15" s="366"/>
      <c r="CP15" s="1122"/>
      <c r="CQ15" s="111"/>
      <c r="CR15" s="111"/>
      <c r="CS15" s="111"/>
      <c r="CT15" s="111"/>
      <c r="CU15" s="111"/>
      <c r="CV15" s="111"/>
      <c r="CW15" s="111"/>
      <c r="CX15" s="1122"/>
      <c r="CY15" s="111"/>
      <c r="CZ15" s="111"/>
      <c r="DA15" s="111"/>
      <c r="DB15" s="111"/>
      <c r="DC15" s="111"/>
      <c r="DD15" s="111"/>
      <c r="DE15" s="111"/>
      <c r="DF15" s="1122"/>
      <c r="DG15" s="111"/>
      <c r="DH15" s="111"/>
      <c r="DI15" s="111"/>
      <c r="DJ15" s="111"/>
      <c r="DK15" s="111"/>
      <c r="DL15" s="111"/>
      <c r="DM15" s="366"/>
    </row>
    <row r="16" spans="1:117" ht="15.75">
      <c r="A16" s="211"/>
      <c r="B16" s="2067"/>
      <c r="C16" s="44" t="s">
        <v>946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23"/>
      <c r="U16" s="110"/>
      <c r="V16" s="523"/>
      <c r="W16" s="110"/>
      <c r="X16" s="110"/>
      <c r="Y16" s="110"/>
      <c r="Z16" s="110"/>
      <c r="AA16" s="110"/>
      <c r="AB16" s="1118"/>
      <c r="AC16" s="492"/>
      <c r="AD16" s="491"/>
      <c r="AE16" s="491"/>
      <c r="AF16" s="491"/>
      <c r="AG16" s="491"/>
      <c r="AH16" s="491"/>
      <c r="AI16" s="491"/>
      <c r="AJ16" s="1118"/>
      <c r="AK16" s="492"/>
      <c r="AL16" s="492"/>
      <c r="AM16" s="492"/>
      <c r="AN16" s="492"/>
      <c r="AO16" s="492"/>
      <c r="AP16" s="492"/>
      <c r="AQ16" s="492"/>
      <c r="AR16" s="1118"/>
      <c r="AS16" s="492"/>
      <c r="AT16" s="492"/>
      <c r="AU16" s="492"/>
      <c r="AV16" s="492"/>
      <c r="AW16" s="492"/>
      <c r="AX16" s="492"/>
      <c r="AY16" s="492"/>
      <c r="AZ16" s="1118"/>
      <c r="BA16" s="492"/>
      <c r="BB16" s="492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23"/>
      <c r="BN16" s="112"/>
      <c r="BO16" s="112"/>
      <c r="BP16" s="112"/>
      <c r="BQ16" s="112"/>
      <c r="BR16" s="112"/>
      <c r="BS16" s="112"/>
      <c r="BT16" s="112"/>
      <c r="BU16" s="1123"/>
      <c r="BV16" s="112"/>
      <c r="BW16" s="112"/>
      <c r="BX16" s="112"/>
      <c r="BY16" s="112"/>
      <c r="BZ16" s="112"/>
      <c r="CA16" s="112"/>
      <c r="CB16" s="112"/>
      <c r="CC16" s="1123"/>
      <c r="CD16" s="112"/>
      <c r="CE16" s="112"/>
      <c r="CF16" s="112"/>
      <c r="CG16" s="112"/>
      <c r="CH16" s="112"/>
      <c r="CI16" s="112"/>
      <c r="CJ16" s="367"/>
      <c r="CK16" s="112"/>
      <c r="CL16" s="112"/>
      <c r="CM16" s="112"/>
      <c r="CN16" s="112"/>
      <c r="CO16" s="367"/>
      <c r="CP16" s="1123"/>
      <c r="CQ16" s="112"/>
      <c r="CR16" s="112"/>
      <c r="CS16" s="112"/>
      <c r="CT16" s="112"/>
      <c r="CU16" s="112"/>
      <c r="CV16" s="112"/>
      <c r="CW16" s="112"/>
      <c r="CX16" s="1123"/>
      <c r="CY16" s="112"/>
      <c r="CZ16" s="112"/>
      <c r="DA16" s="112"/>
      <c r="DB16" s="112"/>
      <c r="DC16" s="112"/>
      <c r="DD16" s="112"/>
      <c r="DE16" s="112"/>
      <c r="DF16" s="1123"/>
      <c r="DG16" s="112"/>
      <c r="DH16" s="112"/>
      <c r="DI16" s="112"/>
      <c r="DJ16" s="112"/>
      <c r="DK16" s="112"/>
      <c r="DL16" s="112"/>
      <c r="DM16" s="367"/>
    </row>
    <row r="17" spans="1:117" ht="15.75">
      <c r="A17" s="211"/>
      <c r="B17" s="2067"/>
      <c r="C17" s="45" t="s">
        <v>947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26"/>
      <c r="U17" s="18"/>
      <c r="V17" s="524"/>
      <c r="W17" s="18"/>
      <c r="X17" s="18"/>
      <c r="Y17" s="18"/>
      <c r="Z17" s="18"/>
      <c r="AA17" s="18"/>
      <c r="AB17" s="503"/>
      <c r="AC17" s="494"/>
      <c r="AD17" s="493"/>
      <c r="AE17" s="493"/>
      <c r="AF17" s="493"/>
      <c r="AG17" s="493"/>
      <c r="AH17" s="493"/>
      <c r="AI17" s="493"/>
      <c r="AJ17" s="503"/>
      <c r="AK17" s="494"/>
      <c r="AL17" s="494"/>
      <c r="AM17" s="494"/>
      <c r="AN17" s="494"/>
      <c r="AO17" s="494"/>
      <c r="AP17" s="494"/>
      <c r="AQ17" s="494"/>
      <c r="AR17" s="503"/>
      <c r="AS17" s="494"/>
      <c r="AT17" s="494"/>
      <c r="AU17" s="494"/>
      <c r="AV17" s="494"/>
      <c r="AW17" s="494"/>
      <c r="AX17" s="494"/>
      <c r="AY17" s="494"/>
      <c r="AZ17" s="503"/>
      <c r="BA17" s="494"/>
      <c r="BB17" s="494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326"/>
      <c r="BN17" s="91"/>
      <c r="BO17" s="91"/>
      <c r="BP17" s="91"/>
      <c r="BQ17" s="91"/>
      <c r="BR17" s="91"/>
      <c r="BS17" s="91"/>
      <c r="BT17" s="91"/>
      <c r="BU17" s="326"/>
      <c r="BV17" s="91"/>
      <c r="BW17" s="91"/>
      <c r="BX17" s="91"/>
      <c r="BY17" s="91"/>
      <c r="BZ17" s="91"/>
      <c r="CA17" s="91"/>
      <c r="CB17" s="91"/>
      <c r="CC17" s="326"/>
      <c r="CD17" s="91"/>
      <c r="CE17" s="91"/>
      <c r="CF17" s="91"/>
      <c r="CG17" s="91"/>
      <c r="CH17" s="91"/>
      <c r="CI17" s="91"/>
      <c r="CJ17" s="368"/>
      <c r="CK17" s="91"/>
      <c r="CL17" s="91"/>
      <c r="CM17" s="91"/>
      <c r="CN17" s="91"/>
      <c r="CO17" s="368"/>
      <c r="CP17" s="326"/>
      <c r="CQ17" s="91"/>
      <c r="CR17" s="91"/>
      <c r="CS17" s="91"/>
      <c r="CT17" s="91"/>
      <c r="CU17" s="91"/>
      <c r="CV17" s="91"/>
      <c r="CW17" s="91"/>
      <c r="CX17" s="326"/>
      <c r="CY17" s="91"/>
      <c r="CZ17" s="91"/>
      <c r="DA17" s="91"/>
      <c r="DB17" s="91"/>
      <c r="DC17" s="91"/>
      <c r="DD17" s="91"/>
      <c r="DE17" s="91"/>
      <c r="DF17" s="326"/>
      <c r="DG17" s="91"/>
      <c r="DH17" s="91"/>
      <c r="DI17" s="91"/>
      <c r="DJ17" s="91"/>
      <c r="DK17" s="91"/>
      <c r="DL17" s="91"/>
      <c r="DM17" s="368"/>
    </row>
    <row r="18" spans="1:117" ht="15.75">
      <c r="A18" s="211"/>
      <c r="B18" s="2067"/>
      <c r="C18" s="45" t="s">
        <v>940</v>
      </c>
      <c r="D18" s="91">
        <f>SUM(E18:F18)</f>
        <v>1.965</v>
      </c>
      <c r="E18" s="308">
        <v>1.965</v>
      </c>
      <c r="F18" s="18"/>
      <c r="G18" s="18"/>
      <c r="H18" s="18"/>
      <c r="I18" s="18"/>
      <c r="J18" s="18"/>
      <c r="K18" s="18"/>
      <c r="L18" s="91">
        <f>SUM(M18:N18)</f>
        <v>1.772</v>
      </c>
      <c r="M18" s="308">
        <v>1.772</v>
      </c>
      <c r="N18" s="18"/>
      <c r="O18" s="18"/>
      <c r="P18" s="18"/>
      <c r="Q18" s="18"/>
      <c r="R18" s="18"/>
      <c r="S18" s="18"/>
      <c r="T18" s="326">
        <f>SUM(U18:V18)</f>
        <v>1.199</v>
      </c>
      <c r="U18" s="18">
        <v>1.199</v>
      </c>
      <c r="V18" s="524"/>
      <c r="W18" s="18"/>
      <c r="X18" s="18"/>
      <c r="Y18" s="18"/>
      <c r="Z18" s="18"/>
      <c r="AA18" s="18"/>
      <c r="AB18" s="503">
        <f>AC18+AD18</f>
        <v>0.98087</v>
      </c>
      <c r="AC18" s="494">
        <f>AB24</f>
        <v>0.98087</v>
      </c>
      <c r="AD18" s="494"/>
      <c r="AE18" s="494"/>
      <c r="AF18" s="494"/>
      <c r="AG18" s="494"/>
      <c r="AH18" s="494"/>
      <c r="AI18" s="494"/>
      <c r="AJ18" s="503">
        <f>SUM(AK18:AL18)</f>
        <v>0.9808697404200001</v>
      </c>
      <c r="AK18" s="494">
        <f>AS18+BA18</f>
        <v>0.9808697404200001</v>
      </c>
      <c r="AL18" s="494"/>
      <c r="AM18" s="494"/>
      <c r="AN18" s="494"/>
      <c r="AO18" s="494"/>
      <c r="AP18" s="494"/>
      <c r="AQ18" s="494"/>
      <c r="AR18" s="503">
        <f>SUM(AS18:AT18)</f>
        <v>0.6050405056375</v>
      </c>
      <c r="AS18" s="494">
        <f>AR24</f>
        <v>0.6050405056375</v>
      </c>
      <c r="AT18" s="494"/>
      <c r="AU18" s="494"/>
      <c r="AV18" s="494"/>
      <c r="AW18" s="494"/>
      <c r="AX18" s="494"/>
      <c r="AY18" s="494"/>
      <c r="AZ18" s="503">
        <f>SUM(BA18:BB18)</f>
        <v>0.3758292347825001</v>
      </c>
      <c r="BA18" s="494">
        <f>AZ24</f>
        <v>0.3758292347825001</v>
      </c>
      <c r="BB18" s="494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503">
        <f>BN18+BO18</f>
        <v>0.9808697404200001</v>
      </c>
      <c r="BN18" s="494">
        <f>BM24</f>
        <v>0.9808697404200001</v>
      </c>
      <c r="BO18" s="91"/>
      <c r="BP18" s="91"/>
      <c r="BQ18" s="91"/>
      <c r="BR18" s="91"/>
      <c r="BS18" s="91"/>
      <c r="BT18" s="91"/>
      <c r="BU18" s="503">
        <f>BV18+BW18</f>
        <v>0.6050405056375</v>
      </c>
      <c r="BV18" s="494">
        <f>BU24</f>
        <v>0.6050405056375</v>
      </c>
      <c r="BW18" s="494"/>
      <c r="BX18" s="494"/>
      <c r="BY18" s="494"/>
      <c r="BZ18" s="494"/>
      <c r="CA18" s="494"/>
      <c r="CB18" s="494"/>
      <c r="CC18" s="503">
        <f>CD18+CE18</f>
        <v>0.3758292347825001</v>
      </c>
      <c r="CD18" s="494">
        <f>CC24</f>
        <v>0.3758292347825001</v>
      </c>
      <c r="CE18" s="91"/>
      <c r="CF18" s="91"/>
      <c r="CG18" s="91"/>
      <c r="CH18" s="91"/>
      <c r="CI18" s="91"/>
      <c r="CJ18" s="368"/>
      <c r="CK18" s="91"/>
      <c r="CL18" s="91"/>
      <c r="CM18" s="91"/>
      <c r="CN18" s="91"/>
      <c r="CO18" s="368"/>
      <c r="CP18" s="503">
        <f>CQ18+CR18</f>
        <v>0.9808697404200001</v>
      </c>
      <c r="CQ18" s="494">
        <f>BN18</f>
        <v>0.9808697404200001</v>
      </c>
      <c r="CR18" s="91"/>
      <c r="CS18" s="91"/>
      <c r="CT18" s="91"/>
      <c r="CU18" s="91"/>
      <c r="CV18" s="91"/>
      <c r="CW18" s="91"/>
      <c r="CX18" s="503">
        <f>CY18+CZ18</f>
        <v>0.6050405056375</v>
      </c>
      <c r="CY18" s="494">
        <f>BV18</f>
        <v>0.6050405056375</v>
      </c>
      <c r="CZ18" s="494"/>
      <c r="DA18" s="494"/>
      <c r="DB18" s="494"/>
      <c r="DC18" s="494"/>
      <c r="DD18" s="494"/>
      <c r="DE18" s="494"/>
      <c r="DF18" s="503">
        <f>DG18+DH18</f>
        <v>0.3758292347825001</v>
      </c>
      <c r="DG18" s="494">
        <f>CD18</f>
        <v>0.3758292347825001</v>
      </c>
      <c r="DH18" s="91"/>
      <c r="DI18" s="91"/>
      <c r="DJ18" s="91"/>
      <c r="DK18" s="91"/>
      <c r="DL18" s="91"/>
      <c r="DM18" s="368"/>
    </row>
    <row r="19" spans="1:117" ht="15.75">
      <c r="A19" s="211"/>
      <c r="B19" s="2068"/>
      <c r="C19" s="44" t="s">
        <v>941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326"/>
      <c r="U19" s="18"/>
      <c r="V19" s="524"/>
      <c r="W19" s="18"/>
      <c r="X19" s="18"/>
      <c r="Y19" s="18"/>
      <c r="Z19" s="18"/>
      <c r="AA19" s="18"/>
      <c r="AB19" s="503"/>
      <c r="AC19" s="494"/>
      <c r="AD19" s="494"/>
      <c r="AE19" s="494"/>
      <c r="AF19" s="494"/>
      <c r="AG19" s="494"/>
      <c r="AH19" s="494"/>
      <c r="AI19" s="494"/>
      <c r="AJ19" s="503"/>
      <c r="AK19" s="494"/>
      <c r="AL19" s="494"/>
      <c r="AM19" s="494"/>
      <c r="AN19" s="494"/>
      <c r="AO19" s="494"/>
      <c r="AP19" s="494"/>
      <c r="AQ19" s="494"/>
      <c r="AR19" s="503"/>
      <c r="AS19" s="494"/>
      <c r="AT19" s="494"/>
      <c r="AU19" s="494"/>
      <c r="AV19" s="494"/>
      <c r="AW19" s="494"/>
      <c r="AX19" s="494"/>
      <c r="AY19" s="494"/>
      <c r="AZ19" s="503"/>
      <c r="BA19" s="494"/>
      <c r="BB19" s="494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326"/>
      <c r="BN19" s="91"/>
      <c r="BO19" s="91"/>
      <c r="BP19" s="91"/>
      <c r="BQ19" s="91"/>
      <c r="BR19" s="91"/>
      <c r="BS19" s="91"/>
      <c r="BT19" s="91"/>
      <c r="BU19" s="326"/>
      <c r="BV19" s="91"/>
      <c r="BW19" s="91"/>
      <c r="BX19" s="91"/>
      <c r="BY19" s="91"/>
      <c r="BZ19" s="91"/>
      <c r="CA19" s="91"/>
      <c r="CB19" s="91"/>
      <c r="CC19" s="326"/>
      <c r="CD19" s="91"/>
      <c r="CE19" s="91"/>
      <c r="CF19" s="91"/>
      <c r="CG19" s="91"/>
      <c r="CH19" s="91"/>
      <c r="CI19" s="91"/>
      <c r="CJ19" s="368"/>
      <c r="CK19" s="91"/>
      <c r="CL19" s="91"/>
      <c r="CM19" s="91"/>
      <c r="CN19" s="91"/>
      <c r="CO19" s="368"/>
      <c r="CP19" s="326"/>
      <c r="CQ19" s="91"/>
      <c r="CR19" s="91"/>
      <c r="CS19" s="91"/>
      <c r="CT19" s="91"/>
      <c r="CU19" s="91"/>
      <c r="CV19" s="91"/>
      <c r="CW19" s="91"/>
      <c r="CX19" s="326"/>
      <c r="CY19" s="91"/>
      <c r="CZ19" s="91"/>
      <c r="DA19" s="91"/>
      <c r="DB19" s="91"/>
      <c r="DC19" s="91"/>
      <c r="DD19" s="91"/>
      <c r="DE19" s="91"/>
      <c r="DF19" s="326"/>
      <c r="DG19" s="91"/>
      <c r="DH19" s="91"/>
      <c r="DI19" s="91"/>
      <c r="DJ19" s="91"/>
      <c r="DK19" s="91"/>
      <c r="DL19" s="91"/>
      <c r="DM19" s="368"/>
    </row>
    <row r="20" spans="1:117" ht="15.75">
      <c r="A20" s="211"/>
      <c r="B20" s="47" t="s">
        <v>1664</v>
      </c>
      <c r="C20" s="23" t="s">
        <v>202</v>
      </c>
      <c r="D20" s="90">
        <f>SUM(E20:F20)</f>
        <v>0</v>
      </c>
      <c r="E20" s="18"/>
      <c r="F20" s="18"/>
      <c r="G20" s="18"/>
      <c r="H20" s="18"/>
      <c r="I20" s="18"/>
      <c r="J20" s="18"/>
      <c r="K20" s="18"/>
      <c r="L20" s="90">
        <f>SUM(M20:N20)</f>
        <v>0</v>
      </c>
      <c r="M20" s="18"/>
      <c r="N20" s="18"/>
      <c r="O20" s="18"/>
      <c r="P20" s="18"/>
      <c r="Q20" s="18"/>
      <c r="R20" s="18"/>
      <c r="S20" s="18"/>
      <c r="T20" s="318">
        <f>SUM(U20:V20)</f>
        <v>0</v>
      </c>
      <c r="U20" s="18"/>
      <c r="V20" s="524"/>
      <c r="W20" s="18"/>
      <c r="X20" s="18"/>
      <c r="Y20" s="18"/>
      <c r="Z20" s="18"/>
      <c r="AA20" s="18"/>
      <c r="AB20" s="503"/>
      <c r="AC20" s="494"/>
      <c r="AD20" s="493"/>
      <c r="AE20" s="493"/>
      <c r="AF20" s="493"/>
      <c r="AG20" s="493"/>
      <c r="AH20" s="493"/>
      <c r="AI20" s="493"/>
      <c r="AJ20" s="499"/>
      <c r="AK20" s="494"/>
      <c r="AL20" s="494"/>
      <c r="AM20" s="494"/>
      <c r="AN20" s="494"/>
      <c r="AO20" s="494"/>
      <c r="AP20" s="494"/>
      <c r="AQ20" s="494"/>
      <c r="AR20" s="499"/>
      <c r="AS20" s="494"/>
      <c r="AT20" s="494"/>
      <c r="AU20" s="494"/>
      <c r="AV20" s="494"/>
      <c r="AW20" s="494"/>
      <c r="AX20" s="494"/>
      <c r="AY20" s="494"/>
      <c r="AZ20" s="499"/>
      <c r="BA20" s="494"/>
      <c r="BB20" s="494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318"/>
      <c r="BN20" s="91"/>
      <c r="BO20" s="91"/>
      <c r="BP20" s="91"/>
      <c r="BQ20" s="91"/>
      <c r="BR20" s="91"/>
      <c r="BS20" s="91"/>
      <c r="BT20" s="91"/>
      <c r="BU20" s="318"/>
      <c r="BV20" s="91"/>
      <c r="BW20" s="91"/>
      <c r="BX20" s="91"/>
      <c r="BY20" s="91"/>
      <c r="BZ20" s="91"/>
      <c r="CA20" s="91"/>
      <c r="CB20" s="91"/>
      <c r="CC20" s="318"/>
      <c r="CD20" s="91"/>
      <c r="CE20" s="91"/>
      <c r="CF20" s="91"/>
      <c r="CG20" s="91"/>
      <c r="CH20" s="91"/>
      <c r="CI20" s="91"/>
      <c r="CJ20" s="368"/>
      <c r="CK20" s="91"/>
      <c r="CL20" s="91"/>
      <c r="CM20" s="91"/>
      <c r="CN20" s="91"/>
      <c r="CO20" s="368"/>
      <c r="CP20" s="318"/>
      <c r="CQ20" s="91"/>
      <c r="CR20" s="91"/>
      <c r="CS20" s="91"/>
      <c r="CT20" s="91"/>
      <c r="CU20" s="91"/>
      <c r="CV20" s="91"/>
      <c r="CW20" s="91"/>
      <c r="CX20" s="318"/>
      <c r="CY20" s="91"/>
      <c r="CZ20" s="91"/>
      <c r="DA20" s="91"/>
      <c r="DB20" s="91"/>
      <c r="DC20" s="91"/>
      <c r="DD20" s="91"/>
      <c r="DE20" s="91"/>
      <c r="DF20" s="318"/>
      <c r="DG20" s="91"/>
      <c r="DH20" s="91"/>
      <c r="DI20" s="91"/>
      <c r="DJ20" s="91"/>
      <c r="DK20" s="91"/>
      <c r="DL20" s="91"/>
      <c r="DM20" s="368"/>
    </row>
    <row r="21" spans="1:117" ht="15.75">
      <c r="A21" s="211"/>
      <c r="B21" s="2082"/>
      <c r="C21" s="27" t="s">
        <v>1688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326"/>
      <c r="U21" s="18"/>
      <c r="V21" s="524"/>
      <c r="W21" s="18"/>
      <c r="X21" s="18"/>
      <c r="Y21" s="18"/>
      <c r="Z21" s="18"/>
      <c r="AA21" s="18"/>
      <c r="AB21" s="503"/>
      <c r="AC21" s="494"/>
      <c r="AD21" s="493"/>
      <c r="AE21" s="493"/>
      <c r="AF21" s="493"/>
      <c r="AG21" s="493"/>
      <c r="AH21" s="493"/>
      <c r="AI21" s="493"/>
      <c r="AJ21" s="503"/>
      <c r="AK21" s="494"/>
      <c r="AL21" s="494"/>
      <c r="AM21" s="494"/>
      <c r="AN21" s="494"/>
      <c r="AO21" s="494"/>
      <c r="AP21" s="494"/>
      <c r="AQ21" s="494"/>
      <c r="AR21" s="503"/>
      <c r="AS21" s="494"/>
      <c r="AT21" s="494"/>
      <c r="AU21" s="494"/>
      <c r="AV21" s="494"/>
      <c r="AW21" s="494"/>
      <c r="AX21" s="494"/>
      <c r="AY21" s="494"/>
      <c r="AZ21" s="503"/>
      <c r="BA21" s="494"/>
      <c r="BB21" s="494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326"/>
      <c r="BN21" s="91"/>
      <c r="BO21" s="91"/>
      <c r="BP21" s="91"/>
      <c r="BQ21" s="91"/>
      <c r="BR21" s="91"/>
      <c r="BS21" s="91"/>
      <c r="BT21" s="91"/>
      <c r="BU21" s="326"/>
      <c r="BV21" s="91"/>
      <c r="BW21" s="91"/>
      <c r="BX21" s="91"/>
      <c r="BY21" s="91"/>
      <c r="BZ21" s="91"/>
      <c r="CA21" s="91"/>
      <c r="CB21" s="91"/>
      <c r="CC21" s="326"/>
      <c r="CD21" s="91"/>
      <c r="CE21" s="91"/>
      <c r="CF21" s="91"/>
      <c r="CG21" s="91"/>
      <c r="CH21" s="91"/>
      <c r="CI21" s="91"/>
      <c r="CJ21" s="368"/>
      <c r="CK21" s="91"/>
      <c r="CL21" s="91"/>
      <c r="CM21" s="91"/>
      <c r="CN21" s="91"/>
      <c r="CO21" s="368"/>
      <c r="CP21" s="326"/>
      <c r="CQ21" s="91"/>
      <c r="CR21" s="91"/>
      <c r="CS21" s="91"/>
      <c r="CT21" s="91"/>
      <c r="CU21" s="91"/>
      <c r="CV21" s="91"/>
      <c r="CW21" s="91"/>
      <c r="CX21" s="326"/>
      <c r="CY21" s="91"/>
      <c r="CZ21" s="91"/>
      <c r="DA21" s="91"/>
      <c r="DB21" s="91"/>
      <c r="DC21" s="91"/>
      <c r="DD21" s="91"/>
      <c r="DE21" s="91"/>
      <c r="DF21" s="326"/>
      <c r="DG21" s="91"/>
      <c r="DH21" s="91"/>
      <c r="DI21" s="91"/>
      <c r="DJ21" s="91"/>
      <c r="DK21" s="91"/>
      <c r="DL21" s="91"/>
      <c r="DM21" s="368"/>
    </row>
    <row r="22" spans="1:117" ht="15.75">
      <c r="A22" s="211"/>
      <c r="B22" s="2067"/>
      <c r="C22" s="44" t="s">
        <v>1660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26"/>
      <c r="U22" s="18"/>
      <c r="V22" s="524"/>
      <c r="W22" s="18"/>
      <c r="X22" s="18"/>
      <c r="Y22" s="18"/>
      <c r="Z22" s="18"/>
      <c r="AA22" s="18"/>
      <c r="AB22" s="503"/>
      <c r="AC22" s="494"/>
      <c r="AD22" s="493"/>
      <c r="AE22" s="493"/>
      <c r="AF22" s="493"/>
      <c r="AG22" s="493"/>
      <c r="AH22" s="493"/>
      <c r="AI22" s="493"/>
      <c r="AJ22" s="503"/>
      <c r="AK22" s="494"/>
      <c r="AL22" s="494"/>
      <c r="AM22" s="494"/>
      <c r="AN22" s="494"/>
      <c r="AO22" s="494"/>
      <c r="AP22" s="494"/>
      <c r="AQ22" s="494"/>
      <c r="AR22" s="503"/>
      <c r="AS22" s="494"/>
      <c r="AT22" s="494"/>
      <c r="AU22" s="494"/>
      <c r="AV22" s="494"/>
      <c r="AW22" s="494"/>
      <c r="AX22" s="494"/>
      <c r="AY22" s="494"/>
      <c r="AZ22" s="503"/>
      <c r="BA22" s="494"/>
      <c r="BB22" s="494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326"/>
      <c r="BN22" s="91"/>
      <c r="BO22" s="91"/>
      <c r="BP22" s="91"/>
      <c r="BQ22" s="91"/>
      <c r="BR22" s="91"/>
      <c r="BS22" s="91"/>
      <c r="BT22" s="91"/>
      <c r="BU22" s="326"/>
      <c r="BV22" s="91"/>
      <c r="BW22" s="91"/>
      <c r="BX22" s="91"/>
      <c r="BY22" s="91"/>
      <c r="BZ22" s="91"/>
      <c r="CA22" s="91"/>
      <c r="CB22" s="91"/>
      <c r="CC22" s="326"/>
      <c r="CD22" s="91"/>
      <c r="CE22" s="91"/>
      <c r="CF22" s="91"/>
      <c r="CG22" s="91"/>
      <c r="CH22" s="91"/>
      <c r="CI22" s="91"/>
      <c r="CJ22" s="368"/>
      <c r="CK22" s="91"/>
      <c r="CL22" s="91"/>
      <c r="CM22" s="91"/>
      <c r="CN22" s="91"/>
      <c r="CO22" s="368"/>
      <c r="CP22" s="326"/>
      <c r="CQ22" s="91"/>
      <c r="CR22" s="91"/>
      <c r="CS22" s="91"/>
      <c r="CT22" s="91"/>
      <c r="CU22" s="91"/>
      <c r="CV22" s="91"/>
      <c r="CW22" s="91"/>
      <c r="CX22" s="326"/>
      <c r="CY22" s="91"/>
      <c r="CZ22" s="91"/>
      <c r="DA22" s="91"/>
      <c r="DB22" s="91"/>
      <c r="DC22" s="91"/>
      <c r="DD22" s="91"/>
      <c r="DE22" s="91"/>
      <c r="DF22" s="326"/>
      <c r="DG22" s="91"/>
      <c r="DH22" s="91"/>
      <c r="DI22" s="91"/>
      <c r="DJ22" s="91"/>
      <c r="DK22" s="91"/>
      <c r="DL22" s="91"/>
      <c r="DM22" s="368"/>
    </row>
    <row r="23" spans="1:117" ht="27" customHeight="1">
      <c r="A23" s="211">
        <v>2</v>
      </c>
      <c r="B23" s="47" t="s">
        <v>1666</v>
      </c>
      <c r="C23" s="46" t="s">
        <v>948</v>
      </c>
      <c r="D23" s="90">
        <f>SUM(E23:F23)</f>
        <v>0</v>
      </c>
      <c r="E23" s="307">
        <v>0</v>
      </c>
      <c r="F23" s="20"/>
      <c r="G23" s="20"/>
      <c r="H23" s="20"/>
      <c r="I23" s="20"/>
      <c r="J23" s="20"/>
      <c r="K23" s="20"/>
      <c r="L23" s="90">
        <f>SUM(M23:N23)</f>
        <v>0</v>
      </c>
      <c r="M23" s="307">
        <v>0</v>
      </c>
      <c r="N23" s="20"/>
      <c r="O23" s="20"/>
      <c r="P23" s="20"/>
      <c r="Q23" s="20"/>
      <c r="R23" s="20"/>
      <c r="S23" s="20"/>
      <c r="T23" s="318">
        <f>SUM(U23:V23)</f>
        <v>0</v>
      </c>
      <c r="U23" s="307"/>
      <c r="V23" s="525"/>
      <c r="W23" s="20"/>
      <c r="X23" s="20"/>
      <c r="Y23" s="20"/>
      <c r="Z23" s="20"/>
      <c r="AA23" s="20"/>
      <c r="AB23" s="503"/>
      <c r="AC23" s="494"/>
      <c r="AD23" s="495"/>
      <c r="AE23" s="495"/>
      <c r="AF23" s="495"/>
      <c r="AG23" s="495"/>
      <c r="AH23" s="495"/>
      <c r="AI23" s="495"/>
      <c r="AJ23" s="499"/>
      <c r="AK23" s="496"/>
      <c r="AL23" s="496"/>
      <c r="AM23" s="496"/>
      <c r="AN23" s="496"/>
      <c r="AO23" s="496"/>
      <c r="AP23" s="496"/>
      <c r="AQ23" s="496"/>
      <c r="AR23" s="499"/>
      <c r="AS23" s="494"/>
      <c r="AT23" s="494"/>
      <c r="AU23" s="496"/>
      <c r="AV23" s="496"/>
      <c r="AW23" s="496"/>
      <c r="AX23" s="496"/>
      <c r="AY23" s="496"/>
      <c r="AZ23" s="499"/>
      <c r="BA23" s="496"/>
      <c r="BB23" s="496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318"/>
      <c r="BN23" s="91"/>
      <c r="BO23" s="91"/>
      <c r="BP23" s="93"/>
      <c r="BQ23" s="93"/>
      <c r="BR23" s="93"/>
      <c r="BS23" s="93"/>
      <c r="BT23" s="93"/>
      <c r="BU23" s="318"/>
      <c r="BV23" s="93"/>
      <c r="BW23" s="93"/>
      <c r="BX23" s="93"/>
      <c r="BY23" s="93"/>
      <c r="BZ23" s="93"/>
      <c r="CA23" s="93"/>
      <c r="CB23" s="93"/>
      <c r="CC23" s="318"/>
      <c r="CD23" s="93"/>
      <c r="CE23" s="93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18"/>
      <c r="CQ23" s="91"/>
      <c r="CR23" s="91"/>
      <c r="CS23" s="93"/>
      <c r="CT23" s="93"/>
      <c r="CU23" s="93"/>
      <c r="CV23" s="93"/>
      <c r="CW23" s="93"/>
      <c r="CX23" s="318"/>
      <c r="CY23" s="93"/>
      <c r="CZ23" s="93"/>
      <c r="DA23" s="93"/>
      <c r="DB23" s="93"/>
      <c r="DC23" s="93"/>
      <c r="DD23" s="93"/>
      <c r="DE23" s="93"/>
      <c r="DF23" s="318"/>
      <c r="DG23" s="93"/>
      <c r="DH23" s="93"/>
      <c r="DI23" s="369"/>
      <c r="DJ23" s="369"/>
      <c r="DK23" s="369"/>
      <c r="DL23" s="369"/>
      <c r="DM23" s="369"/>
    </row>
    <row r="24" spans="1:117" s="95" customFormat="1" ht="60.75" customHeight="1">
      <c r="A24" s="315">
        <v>3</v>
      </c>
      <c r="B24" s="316" t="s">
        <v>1672</v>
      </c>
      <c r="C24" s="317" t="s">
        <v>1490</v>
      </c>
      <c r="D24" s="318">
        <f>SUM(E24:F24)</f>
        <v>1.965</v>
      </c>
      <c r="E24" s="318">
        <f>E14+E20-E23</f>
        <v>1.965</v>
      </c>
      <c r="F24" s="318">
        <f>F14+F20-F23</f>
        <v>0</v>
      </c>
      <c r="G24" s="318"/>
      <c r="H24" s="318"/>
      <c r="I24" s="318"/>
      <c r="J24" s="318"/>
      <c r="K24" s="318"/>
      <c r="L24" s="318">
        <f>SUM(M24:N24)</f>
        <v>1.772</v>
      </c>
      <c r="M24" s="318">
        <f>M14+M20-M23</f>
        <v>1.772</v>
      </c>
      <c r="N24" s="318">
        <f>N14+N20-N23</f>
        <v>0</v>
      </c>
      <c r="O24" s="318"/>
      <c r="P24" s="318"/>
      <c r="Q24" s="318"/>
      <c r="R24" s="318"/>
      <c r="S24" s="318"/>
      <c r="T24" s="318">
        <f>SUM(U24:V24)</f>
        <v>1.199</v>
      </c>
      <c r="U24" s="90">
        <f>U14+U20-U23</f>
        <v>1.199</v>
      </c>
      <c r="V24" s="521">
        <f>V14+V20-V23</f>
        <v>0</v>
      </c>
      <c r="W24" s="318"/>
      <c r="X24" s="318"/>
      <c r="Y24" s="318"/>
      <c r="Z24" s="318"/>
      <c r="AA24" s="318"/>
      <c r="AB24" s="499">
        <f>AB30+AB25</f>
        <v>0.98087</v>
      </c>
      <c r="AC24" s="488">
        <f>AC30+AC25</f>
        <v>0.98087</v>
      </c>
      <c r="AD24" s="488"/>
      <c r="AE24" s="499"/>
      <c r="AF24" s="499"/>
      <c r="AG24" s="499"/>
      <c r="AH24" s="499"/>
      <c r="AI24" s="499"/>
      <c r="AJ24" s="499">
        <f>SUM(AK24:AL24)</f>
        <v>0.9808697404200001</v>
      </c>
      <c r="AK24" s="488">
        <f>AS24+BA24</f>
        <v>0.9808697404200001</v>
      </c>
      <c r="AL24" s="488"/>
      <c r="AM24" s="499"/>
      <c r="AN24" s="499"/>
      <c r="AO24" s="499"/>
      <c r="AP24" s="499"/>
      <c r="AQ24" s="499"/>
      <c r="AR24" s="499">
        <f>SUM(AS24:AT24)</f>
        <v>0.6050405056375</v>
      </c>
      <c r="AS24" s="488">
        <f>AS30+AS25</f>
        <v>0.6050405056375</v>
      </c>
      <c r="AT24" s="488"/>
      <c r="AU24" s="499"/>
      <c r="AV24" s="499"/>
      <c r="AW24" s="499"/>
      <c r="AX24" s="499"/>
      <c r="AY24" s="499"/>
      <c r="AZ24" s="499">
        <f>SUM(BA24:BB24)</f>
        <v>0.3758292347825001</v>
      </c>
      <c r="BA24" s="488">
        <f>BA30+BA25</f>
        <v>0.3758292347825001</v>
      </c>
      <c r="BB24" s="48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499">
        <f>BN24+BO24</f>
        <v>0.9808697404200001</v>
      </c>
      <c r="BN24" s="488">
        <f>BV24+CD24</f>
        <v>0.9808697404200001</v>
      </c>
      <c r="BO24" s="488"/>
      <c r="BP24" s="499"/>
      <c r="BQ24" s="499"/>
      <c r="BR24" s="499"/>
      <c r="BS24" s="499"/>
      <c r="BT24" s="499"/>
      <c r="BU24" s="499">
        <f>BU25+BU30</f>
        <v>0.6050405056375</v>
      </c>
      <c r="BV24" s="488">
        <f>BV30+BV25</f>
        <v>0.6050405056375</v>
      </c>
      <c r="BW24" s="488"/>
      <c r="BX24" s="499"/>
      <c r="BY24" s="499"/>
      <c r="BZ24" s="499"/>
      <c r="CA24" s="499"/>
      <c r="CB24" s="499"/>
      <c r="CC24" s="499">
        <f>CD24+CE24</f>
        <v>0.3758292347825001</v>
      </c>
      <c r="CD24" s="488">
        <f>CD30+CD25</f>
        <v>0.3758292347825001</v>
      </c>
      <c r="CE24" s="488"/>
      <c r="CF24" s="318"/>
      <c r="CG24" s="318"/>
      <c r="CH24" s="318"/>
      <c r="CI24" s="318"/>
      <c r="CJ24" s="374"/>
      <c r="CK24" s="90"/>
      <c r="CL24" s="90"/>
      <c r="CM24" s="90"/>
      <c r="CN24" s="90"/>
      <c r="CO24" s="365"/>
      <c r="CP24" s="499">
        <f>CQ24+CR24</f>
        <v>0.9808697404200001</v>
      </c>
      <c r="CQ24" s="488">
        <f>CQ14+CQ20-CQ23</f>
        <v>0.9808697404200001</v>
      </c>
      <c r="CR24" s="488"/>
      <c r="CS24" s="499"/>
      <c r="CT24" s="499"/>
      <c r="CU24" s="499"/>
      <c r="CV24" s="499"/>
      <c r="CW24" s="499"/>
      <c r="CX24" s="499">
        <f>CX25+CX30</f>
        <v>0.6050405056375</v>
      </c>
      <c r="CY24" s="488">
        <f>CY14+CY20-CY23</f>
        <v>0.6050405056375</v>
      </c>
      <c r="CZ24" s="488"/>
      <c r="DA24" s="499"/>
      <c r="DB24" s="499"/>
      <c r="DC24" s="499"/>
      <c r="DD24" s="499"/>
      <c r="DE24" s="499"/>
      <c r="DF24" s="499">
        <f>DG24+DH24</f>
        <v>0.3758292347825001</v>
      </c>
      <c r="DG24" s="488">
        <f>DG30+DG25</f>
        <v>0.3758292347825001</v>
      </c>
      <c r="DH24" s="488"/>
      <c r="DI24" s="90"/>
      <c r="DJ24" s="90"/>
      <c r="DK24" s="90"/>
      <c r="DL24" s="90"/>
      <c r="DM24" s="365"/>
    </row>
    <row r="25" spans="1:117" s="95" customFormat="1" ht="36.75" customHeight="1">
      <c r="A25" s="211">
        <v>4</v>
      </c>
      <c r="B25" s="67" t="s">
        <v>1673</v>
      </c>
      <c r="C25" s="108" t="s">
        <v>949</v>
      </c>
      <c r="D25" s="90">
        <f>SUM(E25:F25)</f>
        <v>0.352</v>
      </c>
      <c r="E25" s="309">
        <v>0.352</v>
      </c>
      <c r="F25" s="90"/>
      <c r="G25" s="90"/>
      <c r="H25" s="90"/>
      <c r="I25" s="90"/>
      <c r="J25" s="90"/>
      <c r="K25" s="90"/>
      <c r="L25" s="90">
        <f>SUM(M25:N25)</f>
        <v>0.327</v>
      </c>
      <c r="M25" s="309">
        <v>0.327</v>
      </c>
      <c r="N25" s="90"/>
      <c r="O25" s="90"/>
      <c r="P25" s="90"/>
      <c r="Q25" s="90"/>
      <c r="R25" s="90"/>
      <c r="S25" s="90"/>
      <c r="T25" s="318">
        <f>SUM(U25:V25)</f>
        <v>0.028999999999999998</v>
      </c>
      <c r="U25" s="90">
        <f>U27+U28</f>
        <v>0.028999999999999998</v>
      </c>
      <c r="V25" s="521"/>
      <c r="W25" s="90"/>
      <c r="X25" s="90"/>
      <c r="Y25" s="90"/>
      <c r="Z25" s="90"/>
      <c r="AA25" s="90"/>
      <c r="AB25" s="499">
        <f>AB27+AB28</f>
        <v>0.028999999999999998</v>
      </c>
      <c r="AC25" s="488">
        <f>AC27+AC28</f>
        <v>0.028999999999999998</v>
      </c>
      <c r="AD25" s="488"/>
      <c r="AE25" s="488"/>
      <c r="AF25" s="488"/>
      <c r="AG25" s="488"/>
      <c r="AH25" s="488"/>
      <c r="AI25" s="488"/>
      <c r="AJ25" s="499">
        <f>AJ27+AJ28</f>
        <v>0.028999999999999998</v>
      </c>
      <c r="AK25" s="488">
        <f>AS25+BA25</f>
        <v>0.028999999999999998</v>
      </c>
      <c r="AL25" s="488"/>
      <c r="AM25" s="488"/>
      <c r="AN25" s="488"/>
      <c r="AO25" s="488"/>
      <c r="AP25" s="488"/>
      <c r="AQ25" s="488"/>
      <c r="AR25" s="499">
        <f>SUM(AS25:AT25)</f>
        <v>0.018</v>
      </c>
      <c r="AS25" s="494">
        <v>0.018</v>
      </c>
      <c r="AT25" s="494"/>
      <c r="AU25" s="488"/>
      <c r="AV25" s="488"/>
      <c r="AW25" s="488"/>
      <c r="AX25" s="488"/>
      <c r="AY25" s="488"/>
      <c r="AZ25" s="499">
        <f>SUM(BA25:BB25)</f>
        <v>0.011</v>
      </c>
      <c r="BA25" s="488">
        <v>0.011</v>
      </c>
      <c r="BB25" s="488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499">
        <f>SUM(BN25:BO25)</f>
        <v>0.028999999999999998</v>
      </c>
      <c r="BN25" s="494">
        <f>BV25+CD25</f>
        <v>0.028999999999999998</v>
      </c>
      <c r="BO25" s="494"/>
      <c r="BP25" s="488"/>
      <c r="BQ25" s="488"/>
      <c r="BR25" s="488"/>
      <c r="BS25" s="488"/>
      <c r="BT25" s="488"/>
      <c r="BU25" s="499">
        <f>SUM(BV25:BW25)</f>
        <v>0.018</v>
      </c>
      <c r="BV25" s="488">
        <f>AS25</f>
        <v>0.018</v>
      </c>
      <c r="BW25" s="488"/>
      <c r="BX25" s="488"/>
      <c r="BY25" s="488"/>
      <c r="BZ25" s="488"/>
      <c r="CA25" s="488"/>
      <c r="CB25" s="488"/>
      <c r="CC25" s="499">
        <f>SUM(CD25:CE25)</f>
        <v>0.011</v>
      </c>
      <c r="CD25" s="488">
        <f>BA25</f>
        <v>0.011</v>
      </c>
      <c r="CE25" s="90"/>
      <c r="CF25" s="370"/>
      <c r="CG25" s="370"/>
      <c r="CH25" s="370"/>
      <c r="CI25" s="370"/>
      <c r="CJ25" s="371"/>
      <c r="CK25" s="370"/>
      <c r="CL25" s="370"/>
      <c r="CM25" s="370"/>
      <c r="CN25" s="370"/>
      <c r="CO25" s="371"/>
      <c r="CP25" s="499">
        <f>SUM(CQ25:CR25)</f>
        <v>0.028999999999999998</v>
      </c>
      <c r="CQ25" s="494">
        <f>CY25+DG25</f>
        <v>0.028999999999999998</v>
      </c>
      <c r="CR25" s="494"/>
      <c r="CS25" s="488"/>
      <c r="CT25" s="488"/>
      <c r="CU25" s="488"/>
      <c r="CV25" s="488"/>
      <c r="CW25" s="488"/>
      <c r="CX25" s="499">
        <f>SUM(CY25:CZ25)</f>
        <v>0.018</v>
      </c>
      <c r="CY25" s="488">
        <f>BV25</f>
        <v>0.018</v>
      </c>
      <c r="CZ25" s="488"/>
      <c r="DA25" s="488"/>
      <c r="DB25" s="488"/>
      <c r="DC25" s="488"/>
      <c r="DD25" s="488"/>
      <c r="DE25" s="488"/>
      <c r="DF25" s="499">
        <f>SUM(DG25:DH25)</f>
        <v>0.011</v>
      </c>
      <c r="DG25" s="488">
        <f>CD25</f>
        <v>0.011</v>
      </c>
      <c r="DH25" s="90"/>
      <c r="DI25" s="370"/>
      <c r="DJ25" s="370"/>
      <c r="DK25" s="370"/>
      <c r="DL25" s="370"/>
      <c r="DM25" s="371"/>
    </row>
    <row r="26" spans="1:117" s="97" customFormat="1" ht="15.75">
      <c r="A26" s="211"/>
      <c r="B26" s="2080" t="s">
        <v>428</v>
      </c>
      <c r="C26" s="96" t="s">
        <v>1688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2"/>
      <c r="U26" s="111"/>
      <c r="V26" s="522"/>
      <c r="W26" s="111"/>
      <c r="X26" s="111"/>
      <c r="Y26" s="111"/>
      <c r="Z26" s="111"/>
      <c r="AA26" s="111"/>
      <c r="AB26" s="1117"/>
      <c r="AC26" s="490"/>
      <c r="AD26" s="490"/>
      <c r="AE26" s="490"/>
      <c r="AF26" s="490"/>
      <c r="AG26" s="490"/>
      <c r="AH26" s="490"/>
      <c r="AI26" s="490"/>
      <c r="AJ26" s="1117"/>
      <c r="AK26" s="490"/>
      <c r="AL26" s="490"/>
      <c r="AM26" s="496"/>
      <c r="AN26" s="496"/>
      <c r="AO26" s="496"/>
      <c r="AP26" s="496"/>
      <c r="AQ26" s="496"/>
      <c r="AR26" s="1117"/>
      <c r="AS26" s="490"/>
      <c r="AT26" s="490"/>
      <c r="AU26" s="490"/>
      <c r="AV26" s="490"/>
      <c r="AW26" s="490"/>
      <c r="AX26" s="490"/>
      <c r="AY26" s="490"/>
      <c r="AZ26" s="1117"/>
      <c r="BA26" s="490"/>
      <c r="BB26" s="490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1117"/>
      <c r="BN26" s="490"/>
      <c r="BO26" s="490"/>
      <c r="BP26" s="490"/>
      <c r="BQ26" s="490"/>
      <c r="BR26" s="490"/>
      <c r="BS26" s="490"/>
      <c r="BT26" s="490"/>
      <c r="BU26" s="1117"/>
      <c r="BV26" s="490"/>
      <c r="BW26" s="490"/>
      <c r="BX26" s="490"/>
      <c r="BY26" s="490"/>
      <c r="BZ26" s="490"/>
      <c r="CA26" s="490"/>
      <c r="CB26" s="490"/>
      <c r="CC26" s="1117"/>
      <c r="CD26" s="490"/>
      <c r="CE26" s="111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1117"/>
      <c r="CQ26" s="490"/>
      <c r="CR26" s="490"/>
      <c r="CS26" s="490"/>
      <c r="CT26" s="490"/>
      <c r="CU26" s="490"/>
      <c r="CV26" s="490"/>
      <c r="CW26" s="490"/>
      <c r="CX26" s="1117"/>
      <c r="CY26" s="490"/>
      <c r="CZ26" s="490"/>
      <c r="DA26" s="490"/>
      <c r="DB26" s="490"/>
      <c r="DC26" s="490"/>
      <c r="DD26" s="490"/>
      <c r="DE26" s="490"/>
      <c r="DF26" s="1117"/>
      <c r="DG26" s="490"/>
      <c r="DH26" s="111"/>
      <c r="DI26" s="369"/>
      <c r="DJ26" s="369"/>
      <c r="DK26" s="369"/>
      <c r="DL26" s="369"/>
      <c r="DM26" s="369"/>
    </row>
    <row r="27" spans="1:117" s="97" customFormat="1" ht="15.75">
      <c r="A27" s="211"/>
      <c r="B27" s="2081"/>
      <c r="C27" s="98" t="s">
        <v>204</v>
      </c>
      <c r="D27" s="94">
        <f>SUM(E27:F27)</f>
        <v>0.348</v>
      </c>
      <c r="E27" s="94">
        <v>0.348</v>
      </c>
      <c r="F27" s="94"/>
      <c r="G27" s="112"/>
      <c r="H27" s="112"/>
      <c r="I27" s="112"/>
      <c r="J27" s="112"/>
      <c r="K27" s="112"/>
      <c r="L27" s="94">
        <f>SUM(M27:N27)</f>
        <v>0.322</v>
      </c>
      <c r="M27" s="94">
        <v>0.322</v>
      </c>
      <c r="N27" s="94"/>
      <c r="O27" s="112"/>
      <c r="P27" s="112"/>
      <c r="Q27" s="112"/>
      <c r="R27" s="112"/>
      <c r="S27" s="112"/>
      <c r="T27" s="1371">
        <f>SUM(U27:V27)</f>
        <v>0.023</v>
      </c>
      <c r="U27" s="94">
        <v>0.023</v>
      </c>
      <c r="V27" s="526"/>
      <c r="W27" s="112"/>
      <c r="X27" s="112"/>
      <c r="Y27" s="112"/>
      <c r="Z27" s="112"/>
      <c r="AA27" s="112"/>
      <c r="AB27" s="1119">
        <f>AC27</f>
        <v>0.023</v>
      </c>
      <c r="AC27" s="497">
        <v>0.023</v>
      </c>
      <c r="AD27" s="497"/>
      <c r="AE27" s="492"/>
      <c r="AF27" s="492"/>
      <c r="AG27" s="492"/>
      <c r="AH27" s="492"/>
      <c r="AI27" s="492"/>
      <c r="AJ27" s="1126">
        <f>SUM(AK27:AL27)</f>
        <v>0.023</v>
      </c>
      <c r="AK27" s="497">
        <f>AK25-AK28</f>
        <v>0.023</v>
      </c>
      <c r="AL27" s="1125"/>
      <c r="AM27" s="1125"/>
      <c r="AN27" s="1125"/>
      <c r="AO27" s="1125"/>
      <c r="AP27" s="1125"/>
      <c r="AQ27" s="1125"/>
      <c r="AR27" s="1119">
        <f>SUM(AS27:AT27)</f>
        <v>0.018</v>
      </c>
      <c r="AS27" s="497">
        <v>0.018</v>
      </c>
      <c r="AT27" s="1125"/>
      <c r="AU27" s="1127"/>
      <c r="AV27" s="1127"/>
      <c r="AW27" s="1127"/>
      <c r="AX27" s="1127"/>
      <c r="AY27" s="1127"/>
      <c r="AZ27" s="1126">
        <f>SUM(BA27:BB27)</f>
        <v>0.011</v>
      </c>
      <c r="BA27" s="497">
        <v>0.011</v>
      </c>
      <c r="BB27" s="1125"/>
      <c r="BC27" s="1128"/>
      <c r="BD27" s="1128"/>
      <c r="BE27" s="1128"/>
      <c r="BF27" s="1128"/>
      <c r="BG27" s="1128"/>
      <c r="BH27" s="1128"/>
      <c r="BI27" s="1128"/>
      <c r="BJ27" s="1128"/>
      <c r="BK27" s="1128"/>
      <c r="BL27" s="1128"/>
      <c r="BM27" s="1119">
        <f>SUM(BN27:BO27)</f>
        <v>0.028999999999999998</v>
      </c>
      <c r="BN27" s="497">
        <f>BV27+CD27</f>
        <v>0.028999999999999998</v>
      </c>
      <c r="BO27" s="1125"/>
      <c r="BP27" s="1127"/>
      <c r="BQ27" s="1127"/>
      <c r="BR27" s="1127"/>
      <c r="BS27" s="1127"/>
      <c r="BT27" s="1127"/>
      <c r="BU27" s="1126">
        <f>SUM(BV27:BW27)</f>
        <v>0.018</v>
      </c>
      <c r="BV27" s="497">
        <f>AS27</f>
        <v>0.018</v>
      </c>
      <c r="BW27" s="1125"/>
      <c r="BX27" s="1127"/>
      <c r="BY27" s="1127"/>
      <c r="BZ27" s="1127"/>
      <c r="CA27" s="1127"/>
      <c r="CB27" s="1127"/>
      <c r="CC27" s="1126">
        <f>SUM(CD27:CE27)</f>
        <v>0.011</v>
      </c>
      <c r="CD27" s="497">
        <f>BA27</f>
        <v>0.011</v>
      </c>
      <c r="CE27" s="1128"/>
      <c r="CF27" s="1129"/>
      <c r="CG27" s="1129"/>
      <c r="CH27" s="1129"/>
      <c r="CI27" s="1129"/>
      <c r="CJ27" s="1129"/>
      <c r="CK27" s="1129"/>
      <c r="CL27" s="1129"/>
      <c r="CM27" s="1129"/>
      <c r="CN27" s="1129"/>
      <c r="CO27" s="1129"/>
      <c r="CP27" s="1119">
        <f>SUM(CQ27:CR27)</f>
        <v>0.028999999999999998</v>
      </c>
      <c r="CQ27" s="497">
        <f>CY27+DG27</f>
        <v>0.028999999999999998</v>
      </c>
      <c r="CR27" s="497"/>
      <c r="CS27" s="492"/>
      <c r="CT27" s="492"/>
      <c r="CU27" s="492"/>
      <c r="CV27" s="492"/>
      <c r="CW27" s="492"/>
      <c r="CX27" s="1119">
        <f>SUM(CY27:CZ27)</f>
        <v>0.018</v>
      </c>
      <c r="CY27" s="497">
        <f>BV27</f>
        <v>0.018</v>
      </c>
      <c r="CZ27" s="1125"/>
      <c r="DA27" s="1127"/>
      <c r="DB27" s="1127"/>
      <c r="DC27" s="1127"/>
      <c r="DD27" s="1127"/>
      <c r="DE27" s="1127"/>
      <c r="DF27" s="1126">
        <f>SUM(DG27:DH27)</f>
        <v>0.011</v>
      </c>
      <c r="DG27" s="1125">
        <f>CD27</f>
        <v>0.011</v>
      </c>
      <c r="DH27" s="94"/>
      <c r="DI27" s="372"/>
      <c r="DJ27" s="372"/>
      <c r="DK27" s="372"/>
      <c r="DL27" s="372"/>
      <c r="DM27" s="372"/>
    </row>
    <row r="28" spans="1:117" s="97" customFormat="1" ht="25.5">
      <c r="A28" s="211"/>
      <c r="B28" s="68" t="s">
        <v>429</v>
      </c>
      <c r="C28" s="99" t="s">
        <v>206</v>
      </c>
      <c r="D28" s="91">
        <f>SUM(E28:F28)</f>
        <v>0.005</v>
      </c>
      <c r="E28" s="91">
        <v>0.005</v>
      </c>
      <c r="F28" s="91">
        <f>F25-F27</f>
        <v>0</v>
      </c>
      <c r="G28" s="91"/>
      <c r="H28" s="91"/>
      <c r="I28" s="91"/>
      <c r="J28" s="91"/>
      <c r="K28" s="91"/>
      <c r="L28" s="91">
        <f>SUM(M28:N28)</f>
        <v>0.0050000000000000044</v>
      </c>
      <c r="M28" s="91">
        <f>M25-M27</f>
        <v>0.0050000000000000044</v>
      </c>
      <c r="N28" s="91">
        <f>N25-N27</f>
        <v>0</v>
      </c>
      <c r="O28" s="91"/>
      <c r="P28" s="91"/>
      <c r="Q28" s="91"/>
      <c r="R28" s="91"/>
      <c r="S28" s="91"/>
      <c r="T28" s="326">
        <f>SUM(U28:V28)</f>
        <v>0.006</v>
      </c>
      <c r="U28" s="91">
        <v>0.006</v>
      </c>
      <c r="V28" s="524">
        <f>V25-V27</f>
        <v>0</v>
      </c>
      <c r="W28" s="91"/>
      <c r="X28" s="91"/>
      <c r="Y28" s="91"/>
      <c r="Z28" s="91"/>
      <c r="AA28" s="91"/>
      <c r="AB28" s="503">
        <f>AC28</f>
        <v>0.006</v>
      </c>
      <c r="AC28" s="494">
        <v>0.006</v>
      </c>
      <c r="AD28" s="494"/>
      <c r="AE28" s="494"/>
      <c r="AF28" s="494"/>
      <c r="AG28" s="494"/>
      <c r="AH28" s="494"/>
      <c r="AI28" s="494"/>
      <c r="AJ28" s="503">
        <f>SUM(AK28:AL28)</f>
        <v>0.006</v>
      </c>
      <c r="AK28" s="497">
        <v>0.006</v>
      </c>
      <c r="AL28" s="494"/>
      <c r="AM28" s="494"/>
      <c r="AN28" s="494"/>
      <c r="AO28" s="494"/>
      <c r="AP28" s="494"/>
      <c r="AQ28" s="494"/>
      <c r="AR28" s="503">
        <f>SUM(AS28:AT28)</f>
        <v>0.003</v>
      </c>
      <c r="AS28" s="494">
        <v>0.003</v>
      </c>
      <c r="AT28" s="494"/>
      <c r="AU28" s="494"/>
      <c r="AV28" s="494"/>
      <c r="AW28" s="494"/>
      <c r="AX28" s="494"/>
      <c r="AY28" s="494"/>
      <c r="AZ28" s="503">
        <f>SUM(BA28:BB28)</f>
        <v>0.003</v>
      </c>
      <c r="BA28" s="494">
        <v>0.003</v>
      </c>
      <c r="BB28" s="494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503">
        <f>SUM(BN28:BO28)</f>
        <v>0.006</v>
      </c>
      <c r="BN28" s="494">
        <f>BV28+CD28</f>
        <v>0.006</v>
      </c>
      <c r="BO28" s="494"/>
      <c r="BP28" s="494"/>
      <c r="BQ28" s="494"/>
      <c r="BR28" s="494"/>
      <c r="BS28" s="494"/>
      <c r="BT28" s="494"/>
      <c r="BU28" s="503">
        <f>SUM(BV28:BW28)</f>
        <v>0.003</v>
      </c>
      <c r="BV28" s="494">
        <f>AS28</f>
        <v>0.003</v>
      </c>
      <c r="BW28" s="494"/>
      <c r="BX28" s="494"/>
      <c r="BY28" s="494"/>
      <c r="BZ28" s="494"/>
      <c r="CA28" s="494"/>
      <c r="CB28" s="494"/>
      <c r="CC28" s="503">
        <f>SUM(CD28:CE28)</f>
        <v>0.003</v>
      </c>
      <c r="CD28" s="494">
        <f>BA28</f>
        <v>0.003</v>
      </c>
      <c r="CE28" s="91"/>
      <c r="CF28" s="91"/>
      <c r="CG28" s="91"/>
      <c r="CH28" s="91"/>
      <c r="CI28" s="91"/>
      <c r="CJ28" s="368"/>
      <c r="CK28" s="91"/>
      <c r="CL28" s="91"/>
      <c r="CM28" s="91"/>
      <c r="CN28" s="91"/>
      <c r="CO28" s="368"/>
      <c r="CP28" s="503">
        <f>SUM(CQ28:CR28)</f>
        <v>0</v>
      </c>
      <c r="CQ28" s="494">
        <f>CY28+DG28</f>
        <v>0</v>
      </c>
      <c r="CR28" s="494"/>
      <c r="CS28" s="494"/>
      <c r="CT28" s="494"/>
      <c r="CU28" s="494"/>
      <c r="CV28" s="494"/>
      <c r="CW28" s="494"/>
      <c r="CX28" s="503">
        <f>SUM(CY28:CZ28)</f>
        <v>0</v>
      </c>
      <c r="CY28" s="494">
        <f>CY25-CY27</f>
        <v>0</v>
      </c>
      <c r="CZ28" s="494"/>
      <c r="DA28" s="494"/>
      <c r="DB28" s="494"/>
      <c r="DC28" s="494"/>
      <c r="DD28" s="494"/>
      <c r="DE28" s="494"/>
      <c r="DF28" s="503">
        <f>SUM(DG28:DH28)</f>
        <v>0</v>
      </c>
      <c r="DG28" s="494">
        <f>DG25-DG27</f>
        <v>0</v>
      </c>
      <c r="DH28" s="91"/>
      <c r="DI28" s="91"/>
      <c r="DJ28" s="91"/>
      <c r="DK28" s="91"/>
      <c r="DL28" s="91"/>
      <c r="DM28" s="368"/>
    </row>
    <row r="29" spans="1:117" s="97" customFormat="1" ht="38.25">
      <c r="A29" s="211"/>
      <c r="B29" s="68" t="s">
        <v>430</v>
      </c>
      <c r="C29" s="100" t="s">
        <v>266</v>
      </c>
      <c r="D29" s="92">
        <f aca="true" t="shared" si="0" ref="D29:K29">IF(D24&gt;0,(D25/D24),0%)</f>
        <v>0.17913486005089058</v>
      </c>
      <c r="E29" s="92">
        <f t="shared" si="0"/>
        <v>0.17913486005089058</v>
      </c>
      <c r="F29" s="92">
        <f t="shared" si="0"/>
        <v>0</v>
      </c>
      <c r="G29" s="92">
        <f t="shared" si="0"/>
        <v>0</v>
      </c>
      <c r="H29" s="92">
        <f t="shared" si="0"/>
        <v>0</v>
      </c>
      <c r="I29" s="92">
        <f t="shared" si="0"/>
        <v>0</v>
      </c>
      <c r="J29" s="92">
        <f t="shared" si="0"/>
        <v>0</v>
      </c>
      <c r="K29" s="92">
        <f t="shared" si="0"/>
        <v>0</v>
      </c>
      <c r="L29" s="92">
        <f aca="true" t="shared" si="1" ref="L29:AA29">IF(L24&gt;0,(L25/L24),0%)</f>
        <v>0.1845372460496614</v>
      </c>
      <c r="M29" s="92">
        <f t="shared" si="1"/>
        <v>0.1845372460496614</v>
      </c>
      <c r="N29" s="92">
        <f t="shared" si="1"/>
        <v>0</v>
      </c>
      <c r="O29" s="92">
        <f t="shared" si="1"/>
        <v>0</v>
      </c>
      <c r="P29" s="92">
        <f t="shared" si="1"/>
        <v>0</v>
      </c>
      <c r="Q29" s="92">
        <f t="shared" si="1"/>
        <v>0</v>
      </c>
      <c r="R29" s="92">
        <f t="shared" si="1"/>
        <v>0</v>
      </c>
      <c r="S29" s="92">
        <f t="shared" si="1"/>
        <v>0</v>
      </c>
      <c r="T29" s="1124">
        <f t="shared" si="1"/>
        <v>0.024186822351959965</v>
      </c>
      <c r="U29" s="92">
        <f>IF(U24&gt;0,(U25/U24),0%)</f>
        <v>0.024186822351959965</v>
      </c>
      <c r="V29" s="527">
        <f t="shared" si="1"/>
        <v>0</v>
      </c>
      <c r="W29" s="92">
        <f t="shared" si="1"/>
        <v>0</v>
      </c>
      <c r="X29" s="92">
        <f t="shared" si="1"/>
        <v>0</v>
      </c>
      <c r="Y29" s="92">
        <f t="shared" si="1"/>
        <v>0</v>
      </c>
      <c r="Z29" s="92">
        <f t="shared" si="1"/>
        <v>0</v>
      </c>
      <c r="AA29" s="92">
        <f t="shared" si="1"/>
        <v>0</v>
      </c>
      <c r="AB29" s="1120">
        <f>IF(AB24&gt;0,(AB25/AB24),0%)</f>
        <v>0.029565589731564833</v>
      </c>
      <c r="AC29" s="498">
        <f>IF(AC24&gt;0,(AC25/AC24),0%)</f>
        <v>0.029565589731564833</v>
      </c>
      <c r="AD29" s="498"/>
      <c r="AE29" s="498" t="e">
        <f>#N/A</f>
        <v>#N/A</v>
      </c>
      <c r="AF29" s="498" t="e">
        <f>#N/A</f>
        <v>#N/A</v>
      </c>
      <c r="AG29" s="498" t="e">
        <f>#N/A</f>
        <v>#N/A</v>
      </c>
      <c r="AH29" s="498" t="e">
        <f>#N/A</f>
        <v>#N/A</v>
      </c>
      <c r="AI29" s="498" t="e">
        <f>#N/A</f>
        <v>#N/A</v>
      </c>
      <c r="AJ29" s="1120">
        <f>IF(AJ24&gt;0,(AJ25/AJ24),0%)</f>
        <v>0.02956559755588183</v>
      </c>
      <c r="AK29" s="498">
        <f>IF(AK24&gt;0,(AK25/AK24),0%)</f>
        <v>0.02956559755588183</v>
      </c>
      <c r="AL29" s="498"/>
      <c r="AM29" s="498" t="e">
        <f>#N/A</f>
        <v>#N/A</v>
      </c>
      <c r="AN29" s="498" t="e">
        <f>#N/A</f>
        <v>#N/A</v>
      </c>
      <c r="AO29" s="498" t="e">
        <f>#N/A</f>
        <v>#N/A</v>
      </c>
      <c r="AP29" s="498" t="e">
        <f>#N/A</f>
        <v>#N/A</v>
      </c>
      <c r="AQ29" s="498" t="e">
        <f>#N/A</f>
        <v>#N/A</v>
      </c>
      <c r="AR29" s="1120">
        <f>AS29</f>
        <v>0.029750074304586146</v>
      </c>
      <c r="AS29" s="498">
        <f>IF(AS24&gt;0,(AS25/AS24),0%)</f>
        <v>0.029750074304586146</v>
      </c>
      <c r="AT29" s="498"/>
      <c r="AU29" s="498" t="e">
        <f>#N/A</f>
        <v>#N/A</v>
      </c>
      <c r="AV29" s="498" t="e">
        <f>#N/A</f>
        <v>#N/A</v>
      </c>
      <c r="AW29" s="498" t="e">
        <f>#N/A</f>
        <v>#N/A</v>
      </c>
      <c r="AX29" s="498" t="e">
        <f>#N/A</f>
        <v>#N/A</v>
      </c>
      <c r="AY29" s="498" t="e">
        <f>#N/A</f>
        <v>#N/A</v>
      </c>
      <c r="AZ29" s="1120">
        <f>BA29</f>
        <v>0.029268611864018294</v>
      </c>
      <c r="BA29" s="498">
        <f>IF(BA24&gt;0,(BA25/BA24),0%)</f>
        <v>0.029268611864018294</v>
      </c>
      <c r="BB29" s="498"/>
      <c r="BC29" s="92">
        <f aca="true" t="shared" si="2" ref="BC29:CE29">IF(BC24&gt;0,(BC25/BC24),0%)</f>
        <v>0</v>
      </c>
      <c r="BD29" s="92">
        <f t="shared" si="2"/>
        <v>0</v>
      </c>
      <c r="BE29" s="92">
        <f t="shared" si="2"/>
        <v>0</v>
      </c>
      <c r="BF29" s="92">
        <f t="shared" si="2"/>
        <v>0</v>
      </c>
      <c r="BG29" s="92">
        <f t="shared" si="2"/>
        <v>0</v>
      </c>
      <c r="BH29" s="92">
        <f t="shared" si="2"/>
        <v>0</v>
      </c>
      <c r="BI29" s="92">
        <f t="shared" si="2"/>
        <v>0</v>
      </c>
      <c r="BJ29" s="92">
        <f t="shared" si="2"/>
        <v>0</v>
      </c>
      <c r="BK29" s="92">
        <f t="shared" si="2"/>
        <v>0</v>
      </c>
      <c r="BL29" s="92">
        <f t="shared" si="2"/>
        <v>0</v>
      </c>
      <c r="BM29" s="1124">
        <f t="shared" si="2"/>
        <v>0.02956559755588183</v>
      </c>
      <c r="BN29" s="92">
        <f t="shared" si="2"/>
        <v>0.02956559755588183</v>
      </c>
      <c r="BO29" s="92">
        <f t="shared" si="2"/>
        <v>0</v>
      </c>
      <c r="BP29" s="92">
        <f t="shared" si="2"/>
        <v>0</v>
      </c>
      <c r="BQ29" s="92">
        <f t="shared" si="2"/>
        <v>0</v>
      </c>
      <c r="BR29" s="92">
        <f t="shared" si="2"/>
        <v>0</v>
      </c>
      <c r="BS29" s="92">
        <f t="shared" si="2"/>
        <v>0</v>
      </c>
      <c r="BT29" s="92">
        <f t="shared" si="2"/>
        <v>0</v>
      </c>
      <c r="BU29" s="1124">
        <f t="shared" si="2"/>
        <v>0.029750074304586146</v>
      </c>
      <c r="BV29" s="92">
        <f t="shared" si="2"/>
        <v>0.029750074304586146</v>
      </c>
      <c r="BW29" s="92">
        <f t="shared" si="2"/>
        <v>0</v>
      </c>
      <c r="BX29" s="92">
        <f t="shared" si="2"/>
        <v>0</v>
      </c>
      <c r="BY29" s="92">
        <f t="shared" si="2"/>
        <v>0</v>
      </c>
      <c r="BZ29" s="92">
        <f t="shared" si="2"/>
        <v>0</v>
      </c>
      <c r="CA29" s="92">
        <f t="shared" si="2"/>
        <v>0</v>
      </c>
      <c r="CB29" s="92">
        <f t="shared" si="2"/>
        <v>0</v>
      </c>
      <c r="CC29" s="1124">
        <f t="shared" si="2"/>
        <v>0.029268611864018294</v>
      </c>
      <c r="CD29" s="92">
        <f t="shared" si="2"/>
        <v>0.029268611864018294</v>
      </c>
      <c r="CE29" s="92">
        <f t="shared" si="2"/>
        <v>0</v>
      </c>
      <c r="CF29" s="92"/>
      <c r="CG29" s="92"/>
      <c r="CH29" s="92"/>
      <c r="CI29" s="92"/>
      <c r="CJ29" s="373"/>
      <c r="CK29" s="92"/>
      <c r="CL29" s="92"/>
      <c r="CM29" s="92"/>
      <c r="CN29" s="92"/>
      <c r="CO29" s="373"/>
      <c r="CP29" s="1124">
        <f aca="true" t="shared" si="3" ref="CP29:DG29">IF(CP24&gt;0,(CP25/CP24),0%)</f>
        <v>0.02956559755588183</v>
      </c>
      <c r="CQ29" s="92">
        <f t="shared" si="3"/>
        <v>0.02956559755588183</v>
      </c>
      <c r="CR29" s="92"/>
      <c r="CS29" s="92">
        <f t="shared" si="3"/>
        <v>0</v>
      </c>
      <c r="CT29" s="92">
        <f t="shared" si="3"/>
        <v>0</v>
      </c>
      <c r="CU29" s="92">
        <f t="shared" si="3"/>
        <v>0</v>
      </c>
      <c r="CV29" s="92">
        <f t="shared" si="3"/>
        <v>0</v>
      </c>
      <c r="CW29" s="92">
        <f t="shared" si="3"/>
        <v>0</v>
      </c>
      <c r="CX29" s="1124">
        <f t="shared" si="3"/>
        <v>0.029750074304586146</v>
      </c>
      <c r="CY29" s="92">
        <f t="shared" si="3"/>
        <v>0.029750074304586146</v>
      </c>
      <c r="CZ29" s="92">
        <f t="shared" si="3"/>
        <v>0</v>
      </c>
      <c r="DA29" s="92">
        <f t="shared" si="3"/>
        <v>0</v>
      </c>
      <c r="DB29" s="92">
        <f t="shared" si="3"/>
        <v>0</v>
      </c>
      <c r="DC29" s="92">
        <f t="shared" si="3"/>
        <v>0</v>
      </c>
      <c r="DD29" s="92">
        <f t="shared" si="3"/>
        <v>0</v>
      </c>
      <c r="DE29" s="92">
        <f t="shared" si="3"/>
        <v>0</v>
      </c>
      <c r="DF29" s="1124">
        <f t="shared" si="3"/>
        <v>0.029268611864018294</v>
      </c>
      <c r="DG29" s="92">
        <f t="shared" si="3"/>
        <v>0.029268611864018294</v>
      </c>
      <c r="DH29" s="92"/>
      <c r="DI29" s="92"/>
      <c r="DJ29" s="92"/>
      <c r="DK29" s="92"/>
      <c r="DL29" s="92"/>
      <c r="DM29" s="373"/>
    </row>
    <row r="30" spans="1:117" s="319" customFormat="1" ht="51">
      <c r="A30" s="315">
        <v>5</v>
      </c>
      <c r="B30" s="316" t="s">
        <v>1674</v>
      </c>
      <c r="C30" s="317" t="s">
        <v>1487</v>
      </c>
      <c r="D30" s="318">
        <f>SUM(E30:F30)</f>
        <v>1.613</v>
      </c>
      <c r="E30" s="318">
        <f>E24-E25</f>
        <v>1.613</v>
      </c>
      <c r="F30" s="318">
        <f>F24-F25</f>
        <v>0</v>
      </c>
      <c r="G30" s="318"/>
      <c r="H30" s="318"/>
      <c r="I30" s="318"/>
      <c r="J30" s="318"/>
      <c r="K30" s="318"/>
      <c r="L30" s="318">
        <f>SUM(M30:N30)</f>
        <v>1.445</v>
      </c>
      <c r="M30" s="318">
        <f>M24-M25</f>
        <v>1.445</v>
      </c>
      <c r="N30" s="318">
        <f>N24-N25</f>
        <v>0</v>
      </c>
      <c r="O30" s="318"/>
      <c r="P30" s="318"/>
      <c r="Q30" s="318"/>
      <c r="R30" s="318"/>
      <c r="S30" s="318"/>
      <c r="T30" s="318">
        <f>SUM(U30:V30)</f>
        <v>1.1700000000000002</v>
      </c>
      <c r="U30" s="318">
        <f>U24-U25</f>
        <v>1.1700000000000002</v>
      </c>
      <c r="V30" s="528">
        <f>V24-V25</f>
        <v>0</v>
      </c>
      <c r="W30" s="318"/>
      <c r="X30" s="318"/>
      <c r="Y30" s="318"/>
      <c r="Z30" s="318"/>
      <c r="AA30" s="318"/>
      <c r="AB30" s="499">
        <f>AC30+AD30</f>
        <v>0.95187</v>
      </c>
      <c r="AC30" s="499">
        <v>0.95187</v>
      </c>
      <c r="AD30" s="499"/>
      <c r="AE30" s="499"/>
      <c r="AF30" s="499"/>
      <c r="AG30" s="499"/>
      <c r="AH30" s="499"/>
      <c r="AI30" s="499"/>
      <c r="AJ30" s="499">
        <f>SUM(AK30:AL30)</f>
        <v>0.95186974042</v>
      </c>
      <c r="AK30" s="499">
        <f>AS30+BA30</f>
        <v>0.95186974042</v>
      </c>
      <c r="AL30" s="499"/>
      <c r="AM30" s="499"/>
      <c r="AN30" s="499"/>
      <c r="AO30" s="499"/>
      <c r="AP30" s="499"/>
      <c r="AQ30" s="499"/>
      <c r="AR30" s="499">
        <f>SUM(AS30:AT30)</f>
        <v>0.5870405056375</v>
      </c>
      <c r="AS30" s="499">
        <f>'перечень строений'!I51/1000</f>
        <v>0.5870405056375</v>
      </c>
      <c r="AT30" s="499"/>
      <c r="AU30" s="499"/>
      <c r="AV30" s="499"/>
      <c r="AW30" s="499"/>
      <c r="AX30" s="499"/>
      <c r="AY30" s="499"/>
      <c r="AZ30" s="499">
        <f>SUM(BA30:BB30)</f>
        <v>0.36482923478250007</v>
      </c>
      <c r="BA30" s="499">
        <f>'перечень строений'!J51/1000</f>
        <v>0.36482923478250007</v>
      </c>
      <c r="BB30" s="499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499">
        <f>BN30+BO30</f>
        <v>0.95186974042</v>
      </c>
      <c r="BN30" s="499">
        <f>AK30</f>
        <v>0.95186974042</v>
      </c>
      <c r="BO30" s="499"/>
      <c r="BP30" s="499"/>
      <c r="BQ30" s="499"/>
      <c r="BR30" s="499"/>
      <c r="BS30" s="499"/>
      <c r="BT30" s="499"/>
      <c r="BU30" s="499">
        <f>BV30+BW30</f>
        <v>0.5870405056375</v>
      </c>
      <c r="BV30" s="499">
        <f>AS30</f>
        <v>0.5870405056375</v>
      </c>
      <c r="BW30" s="499"/>
      <c r="BX30" s="499"/>
      <c r="BY30" s="499"/>
      <c r="BZ30" s="499"/>
      <c r="CA30" s="499"/>
      <c r="CB30" s="499"/>
      <c r="CC30" s="499">
        <f>CD30+CE30</f>
        <v>0.36482923478250007</v>
      </c>
      <c r="CD30" s="499">
        <f>BA30</f>
        <v>0.36482923478250007</v>
      </c>
      <c r="CE30" s="318"/>
      <c r="CF30" s="318">
        <f aca="true" t="shared" si="4" ref="CF30:CO30">CF24-CF25</f>
        <v>0</v>
      </c>
      <c r="CG30" s="318">
        <f t="shared" si="4"/>
        <v>0</v>
      </c>
      <c r="CH30" s="318">
        <f t="shared" si="4"/>
        <v>0</v>
      </c>
      <c r="CI30" s="318">
        <f t="shared" si="4"/>
        <v>0</v>
      </c>
      <c r="CJ30" s="374">
        <f t="shared" si="4"/>
        <v>0</v>
      </c>
      <c r="CK30" s="90">
        <f t="shared" si="4"/>
        <v>0</v>
      </c>
      <c r="CL30" s="90">
        <f t="shared" si="4"/>
        <v>0</v>
      </c>
      <c r="CM30" s="90">
        <f t="shared" si="4"/>
        <v>0</v>
      </c>
      <c r="CN30" s="90">
        <f t="shared" si="4"/>
        <v>0</v>
      </c>
      <c r="CO30" s="365">
        <f t="shared" si="4"/>
        <v>0</v>
      </c>
      <c r="CP30" s="499">
        <f>CQ30+CR30</f>
        <v>0.95186974042</v>
      </c>
      <c r="CQ30" s="499">
        <f>CQ24-CQ25</f>
        <v>0.95186974042</v>
      </c>
      <c r="CR30" s="499"/>
      <c r="CS30" s="499"/>
      <c r="CT30" s="499"/>
      <c r="CU30" s="499"/>
      <c r="CV30" s="499"/>
      <c r="CW30" s="499"/>
      <c r="CX30" s="499">
        <f>CY30+CZ30</f>
        <v>0.5870405056375</v>
      </c>
      <c r="CY30" s="499">
        <f>BV30</f>
        <v>0.5870405056375</v>
      </c>
      <c r="CZ30" s="499"/>
      <c r="DA30" s="499"/>
      <c r="DB30" s="499"/>
      <c r="DC30" s="499"/>
      <c r="DD30" s="499"/>
      <c r="DE30" s="499"/>
      <c r="DF30" s="499">
        <f>DG30+DH30</f>
        <v>0.36482923478250007</v>
      </c>
      <c r="DG30" s="499">
        <f>CD30</f>
        <v>0.36482923478250007</v>
      </c>
      <c r="DH30" s="318"/>
      <c r="DI30" s="318">
        <f>DI24-DI25</f>
        <v>0</v>
      </c>
      <c r="DJ30" s="318">
        <f>DJ24-DJ25</f>
        <v>0</v>
      </c>
      <c r="DK30" s="318">
        <f>DK24-DK25</f>
        <v>0</v>
      </c>
      <c r="DL30" s="318">
        <f>DL24-DL25</f>
        <v>0</v>
      </c>
      <c r="DM30" s="374">
        <f>DM24-DM25</f>
        <v>0</v>
      </c>
    </row>
    <row r="31" spans="1:2" ht="15" hidden="1" outlineLevel="1">
      <c r="A31" s="211"/>
      <c r="B31" s="113" t="s">
        <v>304</v>
      </c>
    </row>
    <row r="32" spans="1:101" ht="15.75" customHeight="1" hidden="1" outlineLevel="1">
      <c r="A32" s="211"/>
      <c r="B32" s="116" t="s">
        <v>238</v>
      </c>
      <c r="C32" s="115" t="s">
        <v>1228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</row>
    <row r="33" spans="1:101" ht="15" hidden="1" outlineLevel="1">
      <c r="A33" s="211"/>
      <c r="B33" s="116" t="s">
        <v>240</v>
      </c>
      <c r="C33" s="114" t="s">
        <v>1229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</row>
    <row r="34" spans="1:101" ht="15" hidden="1" outlineLevel="1">
      <c r="A34" s="211"/>
      <c r="B34" s="116" t="s">
        <v>241</v>
      </c>
      <c r="C34" s="114" t="s">
        <v>1593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</row>
    <row r="35" spans="1:101" ht="15" hidden="1" outlineLevel="1">
      <c r="A35" s="211"/>
      <c r="B35" s="116" t="s">
        <v>242</v>
      </c>
      <c r="C35" s="114" t="s">
        <v>164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</row>
    <row r="36" spans="1:101" ht="15.75" customHeight="1" hidden="1" outlineLevel="1">
      <c r="A36" s="211"/>
      <c r="B36" s="116" t="s">
        <v>243</v>
      </c>
      <c r="C36" s="115" t="s">
        <v>1249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</row>
    <row r="37" spans="1:36" ht="15" collapsed="1">
      <c r="A37" s="211"/>
      <c r="AB37" s="209"/>
      <c r="AC37" s="209"/>
      <c r="AD37" s="209"/>
      <c r="AJ37" s="209"/>
    </row>
    <row r="38" spans="1:36" ht="15">
      <c r="A38" s="211"/>
      <c r="AJ38" s="209"/>
    </row>
    <row r="39" spans="1:36" ht="15">
      <c r="A39" s="211"/>
      <c r="B39" s="1"/>
      <c r="AJ39" s="209"/>
    </row>
    <row r="40" spans="1:66" ht="15">
      <c r="A40" s="211"/>
      <c r="B40" s="52" t="s">
        <v>1156</v>
      </c>
      <c r="C40" s="375"/>
      <c r="D40" s="310"/>
      <c r="E40" s="310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</row>
    <row r="41" spans="21:66" ht="15">
      <c r="U41" s="97"/>
      <c r="V41" s="97"/>
      <c r="W41" s="97"/>
      <c r="X41" s="97"/>
      <c r="Y41" s="97"/>
      <c r="Z41" s="97"/>
      <c r="AA41" s="97"/>
      <c r="AB41" s="97"/>
      <c r="AC41" s="442"/>
      <c r="AD41" s="443"/>
      <c r="AE41" s="444"/>
      <c r="AF41" s="444"/>
      <c r="AG41" s="444"/>
      <c r="AH41" s="444"/>
      <c r="AI41" s="444"/>
      <c r="AJ41" s="445"/>
      <c r="AK41" s="446"/>
      <c r="AL41" s="447"/>
      <c r="AM41" s="445"/>
      <c r="AN41" s="445"/>
      <c r="AO41" s="445"/>
      <c r="AP41" s="445"/>
      <c r="AQ41" s="445"/>
      <c r="AR41" s="448"/>
      <c r="AS41" s="448"/>
      <c r="AT41" s="448"/>
      <c r="AU41" s="448"/>
      <c r="AV41" s="448"/>
      <c r="AW41" s="448"/>
      <c r="AX41" s="448"/>
      <c r="AY41" s="448"/>
      <c r="AZ41" s="448"/>
      <c r="BA41" s="444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</row>
    <row r="42" spans="21:66" ht="15">
      <c r="U42" s="97"/>
      <c r="V42" s="97"/>
      <c r="W42" s="97"/>
      <c r="X42" s="97"/>
      <c r="Y42" s="97"/>
      <c r="Z42" s="97"/>
      <c r="AA42" s="97"/>
      <c r="AB42" s="97"/>
      <c r="AC42" s="97"/>
      <c r="AD42" s="442"/>
      <c r="AE42" s="97"/>
      <c r="AF42" s="97"/>
      <c r="AG42" s="97"/>
      <c r="AH42" s="97"/>
      <c r="AI42" s="97"/>
      <c r="AJ42" s="449"/>
      <c r="AK42" s="97"/>
      <c r="AL42" s="97"/>
      <c r="AM42" s="97"/>
      <c r="AN42" s="97"/>
      <c r="AO42" s="97"/>
      <c r="AP42" s="97"/>
      <c r="AQ42" s="97"/>
      <c r="AR42" s="449"/>
      <c r="AS42" s="449"/>
      <c r="AT42" s="449"/>
      <c r="AU42" s="449"/>
      <c r="AV42" s="449"/>
      <c r="AW42" s="449"/>
      <c r="AX42" s="449"/>
      <c r="AY42" s="449"/>
      <c r="AZ42" s="449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</row>
    <row r="43" spans="29:52" ht="15">
      <c r="AC43" s="11"/>
      <c r="AD43" s="2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</row>
    <row r="44" spans="29:52" ht="15">
      <c r="AC44" s="11"/>
      <c r="AD44" s="2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</row>
    <row r="45" spans="30:52" ht="15">
      <c r="AD45" s="11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</row>
    <row r="47" spans="29:53" ht="15">
      <c r="AC47" s="188"/>
      <c r="AD47" s="189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90"/>
      <c r="AS47" s="190"/>
      <c r="AT47" s="190"/>
      <c r="AU47" s="190"/>
      <c r="AV47" s="190"/>
      <c r="AW47" s="190"/>
      <c r="AX47" s="190"/>
      <c r="AY47" s="190"/>
      <c r="AZ47" s="190"/>
      <c r="BA47" s="188"/>
    </row>
    <row r="48" ht="15">
      <c r="AD48" s="11"/>
    </row>
  </sheetData>
  <sheetProtection/>
  <protectedRanges>
    <protectedRange password="CC01" sqref="M2:N2" name="Диапазон1_1"/>
  </protectedRanges>
  <mergeCells count="98">
    <mergeCell ref="DI11:DM11"/>
    <mergeCell ref="AJ7:DH7"/>
    <mergeCell ref="DF2:DH2"/>
    <mergeCell ref="DF10:DF12"/>
    <mergeCell ref="DG10:DM10"/>
    <mergeCell ref="CQ11:CQ12"/>
    <mergeCell ref="CR11:CR12"/>
    <mergeCell ref="CS11:CW11"/>
    <mergeCell ref="CY11:CY12"/>
    <mergeCell ref="CZ11:CZ12"/>
    <mergeCell ref="CC2:CE2"/>
    <mergeCell ref="D7:AI7"/>
    <mergeCell ref="D8:K9"/>
    <mergeCell ref="AJ8:BG8"/>
    <mergeCell ref="AZ9:BG9"/>
    <mergeCell ref="BH8:BL8"/>
    <mergeCell ref="L8:S9"/>
    <mergeCell ref="T8:AA9"/>
    <mergeCell ref="BH9:BL9"/>
    <mergeCell ref="CC9:CJ9"/>
    <mergeCell ref="DA11:DE11"/>
    <mergeCell ref="DG11:DG12"/>
    <mergeCell ref="DH11:DH12"/>
    <mergeCell ref="O11:S11"/>
    <mergeCell ref="CP10:CP12"/>
    <mergeCell ref="CQ10:CW10"/>
    <mergeCell ref="CX10:CX12"/>
    <mergeCell ref="CY10:DE10"/>
    <mergeCell ref="T10:T12"/>
    <mergeCell ref="CC10:CC12"/>
    <mergeCell ref="CP8:DM8"/>
    <mergeCell ref="CP9:CW9"/>
    <mergeCell ref="CX9:DE9"/>
    <mergeCell ref="DF9:DM9"/>
    <mergeCell ref="D10:D12"/>
    <mergeCell ref="AJ9:AQ9"/>
    <mergeCell ref="AB10:AB12"/>
    <mergeCell ref="AL11:AL12"/>
    <mergeCell ref="V11:V12"/>
    <mergeCell ref="AJ10:AJ12"/>
    <mergeCell ref="E11:E12"/>
    <mergeCell ref="F11:F12"/>
    <mergeCell ref="N11:N12"/>
    <mergeCell ref="U10:AA10"/>
    <mergeCell ref="L10:L12"/>
    <mergeCell ref="BA10:BG10"/>
    <mergeCell ref="AB8:AI9"/>
    <mergeCell ref="AK10:AQ10"/>
    <mergeCell ref="AS10:AY10"/>
    <mergeCell ref="AR9:AY9"/>
    <mergeCell ref="AC10:AI10"/>
    <mergeCell ref="U11:U12"/>
    <mergeCell ref="W11:AA11"/>
    <mergeCell ref="B7:B12"/>
    <mergeCell ref="C7:C12"/>
    <mergeCell ref="CD10:CJ10"/>
    <mergeCell ref="CD11:CD12"/>
    <mergeCell ref="CE11:CE12"/>
    <mergeCell ref="BM10:BM12"/>
    <mergeCell ref="BN10:BT10"/>
    <mergeCell ref="CF11:CJ11"/>
    <mergeCell ref="BX11:CB11"/>
    <mergeCell ref="M10:S10"/>
    <mergeCell ref="B26:B27"/>
    <mergeCell ref="B15:B19"/>
    <mergeCell ref="B21:B22"/>
    <mergeCell ref="AR10:AR12"/>
    <mergeCell ref="M11:M12"/>
    <mergeCell ref="AK11:AK12"/>
    <mergeCell ref="AC11:AC12"/>
    <mergeCell ref="E10:K10"/>
    <mergeCell ref="G11:K11"/>
    <mergeCell ref="AE11:AI11"/>
    <mergeCell ref="BV10:CB10"/>
    <mergeCell ref="BP11:BT11"/>
    <mergeCell ref="BN11:BN12"/>
    <mergeCell ref="BO11:BO12"/>
    <mergeCell ref="BU10:BU12"/>
    <mergeCell ref="BM9:BT9"/>
    <mergeCell ref="BU9:CB9"/>
    <mergeCell ref="AD11:AD12"/>
    <mergeCell ref="BA11:BA12"/>
    <mergeCell ref="AS11:AS12"/>
    <mergeCell ref="AM11:AQ11"/>
    <mergeCell ref="AT11:AT12"/>
    <mergeCell ref="AU11:AY11"/>
    <mergeCell ref="BC11:BG11"/>
    <mergeCell ref="BB11:BB12"/>
    <mergeCell ref="BH10:BL10"/>
    <mergeCell ref="BH11:BL11"/>
    <mergeCell ref="AZ10:AZ12"/>
    <mergeCell ref="CK8:CO8"/>
    <mergeCell ref="CK9:CO9"/>
    <mergeCell ref="CK11:CO11"/>
    <mergeCell ref="CK10:CO10"/>
    <mergeCell ref="BV11:BV12"/>
    <mergeCell ref="BW11:BW12"/>
    <mergeCell ref="BM8:CJ8"/>
  </mergeCells>
  <printOptions horizontalCentered="1" verticalCentered="1"/>
  <pageMargins left="0.1968503937007874" right="0.1968503937007874" top="0.5905511811023623" bottom="0.35433070866141736" header="0.31496062992125984" footer="0.31496062992125984"/>
  <pageSetup fitToHeight="1" fitToWidth="1" horizontalDpi="600" verticalDpi="600" orientation="landscape" paperSize="9" scale="60" r:id="rId3"/>
  <ignoredErrors>
    <ignoredError sqref="B20 B23:B25 B30" numberStoredAsText="1"/>
  </ignoredError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A1:Z65"/>
  <sheetViews>
    <sheetView zoomScaleSheetLayoutView="70" workbookViewId="0" topLeftCell="A1">
      <selection activeCell="V37" sqref="V37"/>
    </sheetView>
  </sheetViews>
  <sheetFormatPr defaultColWidth="9.140625" defaultRowHeight="15"/>
  <cols>
    <col min="1" max="1" width="7.421875" style="1148" customWidth="1"/>
    <col min="2" max="2" width="50.140625" style="1145" customWidth="1"/>
    <col min="3" max="3" width="9.140625" style="1146" customWidth="1"/>
    <col min="4" max="4" width="0" style="1146" hidden="1" customWidth="1"/>
    <col min="5" max="6" width="9.28125" style="1147" hidden="1" customWidth="1"/>
    <col min="7" max="7" width="9.57421875" style="1147" hidden="1" customWidth="1"/>
    <col min="8" max="8" width="10.00390625" style="1147" customWidth="1"/>
    <col min="9" max="10" width="10.28125" style="1147" customWidth="1"/>
    <col min="11" max="12" width="9.28125" style="1147" customWidth="1"/>
    <col min="13" max="13" width="10.00390625" style="1147" customWidth="1"/>
    <col min="14" max="14" width="10.00390625" style="1148" customWidth="1"/>
    <col min="15" max="15" width="11.00390625" style="1148" bestFit="1" customWidth="1"/>
    <col min="16" max="16" width="9.8515625" style="1148" customWidth="1"/>
    <col min="17" max="16384" width="9.140625" style="1148" customWidth="1"/>
  </cols>
  <sheetData>
    <row r="1" spans="1:15" ht="14.25">
      <c r="A1" s="1144" t="s">
        <v>1186</v>
      </c>
      <c r="N1" s="514">
        <v>42116</v>
      </c>
      <c r="O1" s="515"/>
    </row>
    <row r="2" ht="14.25">
      <c r="A2" s="1149" t="s">
        <v>405</v>
      </c>
    </row>
    <row r="3" ht="7.5" customHeight="1"/>
    <row r="4" spans="1:13" ht="16.5">
      <c r="A4" s="2430" t="s">
        <v>1187</v>
      </c>
      <c r="B4" s="2430"/>
      <c r="C4" s="2430"/>
      <c r="D4" s="2430"/>
      <c r="E4" s="2430"/>
      <c r="F4" s="2430"/>
      <c r="G4" s="2430"/>
      <c r="H4" s="2430"/>
      <c r="I4" s="2430"/>
      <c r="J4" s="2430"/>
      <c r="K4" s="2430"/>
      <c r="L4" s="2430"/>
      <c r="M4" s="2430"/>
    </row>
    <row r="5" ht="3" customHeight="1"/>
    <row r="6" spans="1:16" ht="15" customHeight="1">
      <c r="A6" s="2431" t="s">
        <v>254</v>
      </c>
      <c r="B6" s="2434" t="s">
        <v>1463</v>
      </c>
      <c r="C6" s="2434" t="s">
        <v>431</v>
      </c>
      <c r="D6" s="2429" t="s">
        <v>1659</v>
      </c>
      <c r="E6" s="2429"/>
      <c r="F6" s="2429"/>
      <c r="G6" s="2429"/>
      <c r="H6" s="2435" t="s">
        <v>1661</v>
      </c>
      <c r="I6" s="2436"/>
      <c r="J6" s="2436"/>
      <c r="K6" s="2436"/>
      <c r="L6" s="2436"/>
      <c r="M6" s="2436"/>
      <c r="N6" s="2436"/>
      <c r="O6" s="2436"/>
      <c r="P6" s="2437"/>
    </row>
    <row r="7" spans="1:16" ht="15" customHeight="1">
      <c r="A7" s="2432"/>
      <c r="B7" s="2424"/>
      <c r="C7" s="2424"/>
      <c r="D7" s="2424" t="s">
        <v>778</v>
      </c>
      <c r="E7" s="2424" t="s">
        <v>1158</v>
      </c>
      <c r="F7" s="2424" t="s">
        <v>779</v>
      </c>
      <c r="G7" s="2424" t="s">
        <v>780</v>
      </c>
      <c r="H7" s="2426" t="s">
        <v>1143</v>
      </c>
      <c r="I7" s="2427"/>
      <c r="J7" s="2428"/>
      <c r="K7" s="2426" t="s">
        <v>1148</v>
      </c>
      <c r="L7" s="2427"/>
      <c r="M7" s="2428"/>
      <c r="N7" s="2426" t="s">
        <v>18</v>
      </c>
      <c r="O7" s="2427"/>
      <c r="P7" s="2428"/>
    </row>
    <row r="8" spans="1:16" ht="28.5" customHeight="1">
      <c r="A8" s="2433"/>
      <c r="B8" s="2425"/>
      <c r="C8" s="2425"/>
      <c r="D8" s="2425"/>
      <c r="E8" s="2425"/>
      <c r="F8" s="2425"/>
      <c r="G8" s="2425"/>
      <c r="H8" s="2030" t="s">
        <v>397</v>
      </c>
      <c r="I8" s="2031" t="s">
        <v>1284</v>
      </c>
      <c r="J8" s="2031" t="s">
        <v>396</v>
      </c>
      <c r="K8" s="2030" t="s">
        <v>397</v>
      </c>
      <c r="L8" s="2031" t="s">
        <v>1284</v>
      </c>
      <c r="M8" s="2031" t="s">
        <v>396</v>
      </c>
      <c r="N8" s="1150" t="s">
        <v>397</v>
      </c>
      <c r="O8" s="1151" t="s">
        <v>1284</v>
      </c>
      <c r="P8" s="1151" t="s">
        <v>396</v>
      </c>
    </row>
    <row r="9" spans="1:16" ht="14.25">
      <c r="A9" s="1152">
        <v>1</v>
      </c>
      <c r="B9" s="1153">
        <v>2</v>
      </c>
      <c r="C9" s="1154">
        <v>3</v>
      </c>
      <c r="D9" s="1152">
        <v>4</v>
      </c>
      <c r="E9" s="1153">
        <v>5</v>
      </c>
      <c r="F9" s="1153"/>
      <c r="G9" s="1154">
        <v>6</v>
      </c>
      <c r="H9" s="1152">
        <v>7</v>
      </c>
      <c r="I9" s="1153">
        <v>8</v>
      </c>
      <c r="J9" s="1154">
        <v>9</v>
      </c>
      <c r="K9" s="1152">
        <v>10</v>
      </c>
      <c r="L9" s="1153">
        <v>11</v>
      </c>
      <c r="M9" s="1154">
        <v>12</v>
      </c>
      <c r="N9" s="1152">
        <v>10</v>
      </c>
      <c r="O9" s="1153">
        <v>11</v>
      </c>
      <c r="P9" s="1154">
        <v>12</v>
      </c>
    </row>
    <row r="10" spans="1:16" ht="14.25">
      <c r="A10" s="2441" t="s">
        <v>1464</v>
      </c>
      <c r="B10" s="2441"/>
      <c r="C10" s="2441"/>
      <c r="D10" s="2441"/>
      <c r="E10" s="2441"/>
      <c r="F10" s="2441"/>
      <c r="G10" s="2441"/>
      <c r="H10" s="2441"/>
      <c r="I10" s="2441"/>
      <c r="J10" s="2441"/>
      <c r="K10" s="2441"/>
      <c r="L10" s="2441"/>
      <c r="M10" s="2441"/>
      <c r="N10" s="2421"/>
      <c r="O10" s="2422"/>
      <c r="P10" s="2423"/>
    </row>
    <row r="11" spans="1:16" ht="14.25">
      <c r="A11" s="1155" t="s">
        <v>1663</v>
      </c>
      <c r="B11" s="1156" t="s">
        <v>1465</v>
      </c>
      <c r="C11" s="1154" t="s">
        <v>222</v>
      </c>
      <c r="D11" s="1154">
        <v>1.759</v>
      </c>
      <c r="E11" s="1157">
        <f>'[4]4.1'!L30</f>
        <v>1.445</v>
      </c>
      <c r="F11" s="1158">
        <v>1.574</v>
      </c>
      <c r="G11" s="1159">
        <f>G13+G14</f>
        <v>0.95186974042</v>
      </c>
      <c r="H11" s="1159">
        <f>I11+J11</f>
        <v>0.95186974042</v>
      </c>
      <c r="I11" s="1159">
        <f>'4.1'!AR30</f>
        <v>0.5870405056375</v>
      </c>
      <c r="J11" s="1159">
        <f>'4.1'!AZ30</f>
        <v>0.36482923478250007</v>
      </c>
      <c r="K11" s="1159">
        <f>L11+M11</f>
        <v>0.95186974042</v>
      </c>
      <c r="L11" s="1159">
        <f>'4.1'!AR30</f>
        <v>0.5870405056375</v>
      </c>
      <c r="M11" s="1159">
        <f>'4.1'!AZ30</f>
        <v>0.36482923478250007</v>
      </c>
      <c r="N11" s="1159">
        <f>O11+P11</f>
        <v>0.95186974042</v>
      </c>
      <c r="O11" s="1159">
        <f>'4.1'!AR30</f>
        <v>0.5870405056375</v>
      </c>
      <c r="P11" s="1159">
        <f>'4.1'!AZ30</f>
        <v>0.36482923478250007</v>
      </c>
    </row>
    <row r="12" spans="1:16" ht="14.25">
      <c r="A12" s="1155"/>
      <c r="B12" s="1160" t="s">
        <v>1688</v>
      </c>
      <c r="C12" s="1154"/>
      <c r="D12" s="1154"/>
      <c r="E12" s="1157"/>
      <c r="F12" s="1158"/>
      <c r="G12" s="1161"/>
      <c r="H12" s="1162"/>
      <c r="I12" s="1163"/>
      <c r="J12" s="1163"/>
      <c r="K12" s="1162"/>
      <c r="L12" s="1163"/>
      <c r="M12" s="1163"/>
      <c r="N12" s="1162"/>
      <c r="O12" s="1163"/>
      <c r="P12" s="1163"/>
    </row>
    <row r="13" spans="1:16" ht="14.25">
      <c r="A13" s="1155" t="s">
        <v>424</v>
      </c>
      <c r="B13" s="1164" t="s">
        <v>1466</v>
      </c>
      <c r="C13" s="1154" t="s">
        <v>222</v>
      </c>
      <c r="D13" s="1154">
        <v>1.614</v>
      </c>
      <c r="E13" s="1157">
        <f>E11-E17</f>
        <v>1.31666108</v>
      </c>
      <c r="F13" s="1158">
        <v>1.45</v>
      </c>
      <c r="G13" s="1159">
        <f>K13</f>
        <v>0.89540208442</v>
      </c>
      <c r="H13" s="1165">
        <f>H11-H14</f>
        <v>0.89540208442</v>
      </c>
      <c r="I13" s="1165">
        <f>I11-I14</f>
        <v>0.5588066776375</v>
      </c>
      <c r="J13" s="1165">
        <f>J11-J14</f>
        <v>0.33659540678250005</v>
      </c>
      <c r="K13" s="1165">
        <f aca="true" t="shared" si="0" ref="K13:P13">K11-K14</f>
        <v>0.89540208442</v>
      </c>
      <c r="L13" s="1165">
        <f t="shared" si="0"/>
        <v>0.5588066776375</v>
      </c>
      <c r="M13" s="1165">
        <f t="shared" si="0"/>
        <v>0.33659540678250005</v>
      </c>
      <c r="N13" s="1165">
        <f t="shared" si="0"/>
        <v>0.89540208442</v>
      </c>
      <c r="O13" s="1165">
        <f t="shared" si="0"/>
        <v>0.5588066776375</v>
      </c>
      <c r="P13" s="1165">
        <f t="shared" si="0"/>
        <v>0.33659540678250005</v>
      </c>
    </row>
    <row r="14" spans="1:16" ht="14.25">
      <c r="A14" s="1155" t="s">
        <v>425</v>
      </c>
      <c r="B14" s="1164" t="s">
        <v>1467</v>
      </c>
      <c r="C14" s="1154" t="s">
        <v>222</v>
      </c>
      <c r="D14" s="1154">
        <v>0.145</v>
      </c>
      <c r="E14" s="1157">
        <f>E17</f>
        <v>0.12833892000000002</v>
      </c>
      <c r="F14" s="1158">
        <v>0.124</v>
      </c>
      <c r="G14" s="1159">
        <f>K14</f>
        <v>0.056467656000000005</v>
      </c>
      <c r="H14" s="1166">
        <f aca="true" t="shared" si="1" ref="H14:P14">H17</f>
        <v>0.056467656000000005</v>
      </c>
      <c r="I14" s="1166">
        <f t="shared" si="1"/>
        <v>0.028233828000000002</v>
      </c>
      <c r="J14" s="1166">
        <f t="shared" si="1"/>
        <v>0.028233828000000002</v>
      </c>
      <c r="K14" s="1166">
        <f t="shared" si="1"/>
        <v>0.056467656000000005</v>
      </c>
      <c r="L14" s="1166">
        <f t="shared" si="1"/>
        <v>0.028233828000000002</v>
      </c>
      <c r="M14" s="1166">
        <f t="shared" si="1"/>
        <v>0.028233828000000002</v>
      </c>
      <c r="N14" s="1166">
        <f t="shared" si="1"/>
        <v>0.056467656000000005</v>
      </c>
      <c r="O14" s="1166">
        <f t="shared" si="1"/>
        <v>0.028233828000000002</v>
      </c>
      <c r="P14" s="1166">
        <f t="shared" si="1"/>
        <v>0.028233828000000002</v>
      </c>
    </row>
    <row r="15" spans="1:16" ht="14.25">
      <c r="A15" s="1155"/>
      <c r="B15" s="1160" t="s">
        <v>1688</v>
      </c>
      <c r="C15" s="1154"/>
      <c r="D15" s="1154"/>
      <c r="E15" s="1157"/>
      <c r="F15" s="1158"/>
      <c r="G15" s="1161"/>
      <c r="H15" s="1165"/>
      <c r="I15" s="1167"/>
      <c r="J15" s="1167"/>
      <c r="K15" s="1165"/>
      <c r="L15" s="1167"/>
      <c r="M15" s="1167"/>
      <c r="N15" s="1165"/>
      <c r="O15" s="1167"/>
      <c r="P15" s="1167"/>
    </row>
    <row r="16" spans="1:16" ht="14.25">
      <c r="A16" s="1155" t="s">
        <v>1468</v>
      </c>
      <c r="B16" s="1168" t="s">
        <v>1471</v>
      </c>
      <c r="C16" s="1154" t="s">
        <v>222</v>
      </c>
      <c r="D16" s="1154"/>
      <c r="E16" s="1157"/>
      <c r="F16" s="1158"/>
      <c r="G16" s="1161"/>
      <c r="H16" s="1162"/>
      <c r="I16" s="1163"/>
      <c r="J16" s="1163"/>
      <c r="K16" s="1162"/>
      <c r="L16" s="1163"/>
      <c r="M16" s="1163"/>
      <c r="N16" s="1162"/>
      <c r="O16" s="1163"/>
      <c r="P16" s="1163"/>
    </row>
    <row r="17" spans="1:16" ht="14.25">
      <c r="A17" s="1155" t="s">
        <v>1470</v>
      </c>
      <c r="B17" s="1236" t="s">
        <v>1469</v>
      </c>
      <c r="C17" s="1154" t="s">
        <v>222</v>
      </c>
      <c r="D17" s="1154">
        <v>0.145</v>
      </c>
      <c r="E17" s="1157">
        <f>E18*E40</f>
        <v>0.12833892000000002</v>
      </c>
      <c r="F17" s="1158">
        <v>0.124</v>
      </c>
      <c r="G17" s="1163">
        <f>K17</f>
        <v>0.056467656000000005</v>
      </c>
      <c r="H17" s="1167">
        <f>I17+J17</f>
        <v>0.056467656000000005</v>
      </c>
      <c r="I17" s="1167">
        <f>'перечень строений'!I27/1000</f>
        <v>0.028233828000000002</v>
      </c>
      <c r="J17" s="1167">
        <f>'перечень строений'!J27/1000</f>
        <v>0.028233828000000002</v>
      </c>
      <c r="K17" s="1167">
        <f>L17+M17</f>
        <v>0.056467656000000005</v>
      </c>
      <c r="L17" s="1167">
        <f>I17</f>
        <v>0.028233828000000002</v>
      </c>
      <c r="M17" s="1167">
        <f>J17</f>
        <v>0.028233828000000002</v>
      </c>
      <c r="N17" s="1167">
        <f>H17</f>
        <v>0.056467656000000005</v>
      </c>
      <c r="O17" s="1167">
        <f>L17</f>
        <v>0.028233828000000002</v>
      </c>
      <c r="P17" s="1167">
        <f>J17</f>
        <v>0.028233828000000002</v>
      </c>
    </row>
    <row r="18" spans="1:16" ht="14.25">
      <c r="A18" s="1155" t="s">
        <v>232</v>
      </c>
      <c r="B18" s="1164" t="s">
        <v>1467</v>
      </c>
      <c r="C18" s="1154" t="s">
        <v>1472</v>
      </c>
      <c r="D18" s="1154">
        <v>2.926</v>
      </c>
      <c r="E18" s="1157">
        <f>'[4]4.2'!G26</f>
        <v>2.588</v>
      </c>
      <c r="F18" s="1158">
        <v>2.596</v>
      </c>
      <c r="G18" s="1167">
        <f>K18</f>
        <v>0.91224</v>
      </c>
      <c r="H18" s="1163">
        <f aca="true" t="shared" si="2" ref="H18:P18">H21</f>
        <v>0.91224</v>
      </c>
      <c r="I18" s="1163">
        <f>I21</f>
        <v>0.45612</v>
      </c>
      <c r="J18" s="1163">
        <f t="shared" si="2"/>
        <v>0.45612</v>
      </c>
      <c r="K18" s="1163">
        <f t="shared" si="2"/>
        <v>0.91224</v>
      </c>
      <c r="L18" s="1163">
        <f t="shared" si="2"/>
        <v>0.45612</v>
      </c>
      <c r="M18" s="1163">
        <f t="shared" si="2"/>
        <v>0.45612</v>
      </c>
      <c r="N18" s="1163">
        <f t="shared" si="2"/>
        <v>0.91224</v>
      </c>
      <c r="O18" s="1163">
        <f t="shared" si="2"/>
        <v>0.45612</v>
      </c>
      <c r="P18" s="1163">
        <f t="shared" si="2"/>
        <v>0.45612</v>
      </c>
    </row>
    <row r="19" spans="1:16" ht="14.25">
      <c r="A19" s="1155"/>
      <c r="B19" s="1160" t="s">
        <v>1688</v>
      </c>
      <c r="C19" s="1154"/>
      <c r="D19" s="1154"/>
      <c r="E19" s="1157"/>
      <c r="F19" s="1158"/>
      <c r="G19" s="1161"/>
      <c r="H19" s="1165"/>
      <c r="I19" s="1167"/>
      <c r="J19" s="1167"/>
      <c r="K19" s="1165"/>
      <c r="L19" s="1167"/>
      <c r="M19" s="1167"/>
      <c r="N19" s="1165"/>
      <c r="O19" s="1167"/>
      <c r="P19" s="1167"/>
    </row>
    <row r="20" spans="1:16" ht="14.25">
      <c r="A20" s="1155" t="s">
        <v>139</v>
      </c>
      <c r="B20" s="1168" t="s">
        <v>1471</v>
      </c>
      <c r="C20" s="1154" t="s">
        <v>1472</v>
      </c>
      <c r="D20" s="1154"/>
      <c r="E20" s="1157"/>
      <c r="F20" s="1158"/>
      <c r="G20" s="1161"/>
      <c r="H20" s="1162"/>
      <c r="I20" s="1163"/>
      <c r="J20" s="1163"/>
      <c r="K20" s="1162"/>
      <c r="L20" s="1163"/>
      <c r="M20" s="1163"/>
      <c r="N20" s="1162"/>
      <c r="O20" s="1163"/>
      <c r="P20" s="1163"/>
    </row>
    <row r="21" spans="1:16" ht="14.25">
      <c r="A21" s="1155" t="s">
        <v>140</v>
      </c>
      <c r="B21" s="1236" t="s">
        <v>1469</v>
      </c>
      <c r="C21" s="1154" t="s">
        <v>1472</v>
      </c>
      <c r="D21" s="1154">
        <v>2.926</v>
      </c>
      <c r="E21" s="1157">
        <f>'[4]4.2'!G26</f>
        <v>2.588</v>
      </c>
      <c r="F21" s="1158">
        <v>2.596</v>
      </c>
      <c r="G21" s="1166">
        <f>K21</f>
        <v>0.91224</v>
      </c>
      <c r="H21" s="1165">
        <f>I21+J21</f>
        <v>0.91224</v>
      </c>
      <c r="I21" s="1166">
        <f>'перечень строений'!I12/1000</f>
        <v>0.45612</v>
      </c>
      <c r="J21" s="1165">
        <f>'перечень строений'!J12/1000</f>
        <v>0.45612</v>
      </c>
      <c r="K21" s="1166">
        <f>L21+M21</f>
        <v>0.91224</v>
      </c>
      <c r="L21" s="1166">
        <f>I21</f>
        <v>0.45612</v>
      </c>
      <c r="M21" s="1165">
        <f>J21</f>
        <v>0.45612</v>
      </c>
      <c r="N21" s="1166">
        <f>O21+P21</f>
        <v>0.91224</v>
      </c>
      <c r="O21" s="1166">
        <f>I21</f>
        <v>0.45612</v>
      </c>
      <c r="P21" s="1166">
        <f>J21</f>
        <v>0.45612</v>
      </c>
    </row>
    <row r="22" spans="1:26" ht="15">
      <c r="A22" s="2441" t="s">
        <v>1473</v>
      </c>
      <c r="B22" s="2441"/>
      <c r="C22" s="2441"/>
      <c r="D22" s="2441"/>
      <c r="E22" s="2441"/>
      <c r="F22" s="2441"/>
      <c r="G22" s="2441"/>
      <c r="H22" s="2441"/>
      <c r="I22" s="2441"/>
      <c r="J22" s="2441"/>
      <c r="K22" s="2441"/>
      <c r="L22" s="2441"/>
      <c r="M22" s="2441"/>
      <c r="N22" s="2421"/>
      <c r="O22" s="2422"/>
      <c r="P22" s="2423"/>
      <c r="R22" s="1169"/>
      <c r="S22" s="1170"/>
      <c r="T22" s="1169"/>
      <c r="U22" s="1169"/>
      <c r="V22" s="1169"/>
      <c r="W22" s="1169"/>
      <c r="X22" s="1169"/>
      <c r="Y22" s="1169"/>
      <c r="Z22" s="1169"/>
    </row>
    <row r="23" spans="1:26" ht="16.5">
      <c r="A23" s="1155" t="s">
        <v>1665</v>
      </c>
      <c r="B23" s="1156" t="s">
        <v>1474</v>
      </c>
      <c r="C23" s="1154"/>
      <c r="D23" s="1154">
        <v>25</v>
      </c>
      <c r="E23" s="1154">
        <v>25</v>
      </c>
      <c r="F23" s="1171">
        <v>25</v>
      </c>
      <c r="G23" s="1172">
        <v>25</v>
      </c>
      <c r="H23" s="1172">
        <v>25</v>
      </c>
      <c r="I23" s="1172">
        <v>25</v>
      </c>
      <c r="J23" s="1172">
        <v>25</v>
      </c>
      <c r="K23" s="1172">
        <v>25</v>
      </c>
      <c r="L23" s="1172">
        <v>25</v>
      </c>
      <c r="M23" s="1172">
        <v>25</v>
      </c>
      <c r="N23" s="1172">
        <v>25</v>
      </c>
      <c r="O23" s="1172">
        <v>25</v>
      </c>
      <c r="P23" s="1172">
        <v>25</v>
      </c>
      <c r="R23" s="1173"/>
      <c r="S23" s="1169"/>
      <c r="T23" s="1169"/>
      <c r="U23" s="1169"/>
      <c r="V23" s="1169"/>
      <c r="W23" s="1169"/>
      <c r="X23" s="1169"/>
      <c r="Y23" s="1169"/>
      <c r="Z23" s="1169"/>
    </row>
    <row r="24" spans="1:26" ht="14.25">
      <c r="A24" s="1155" t="s">
        <v>932</v>
      </c>
      <c r="B24" s="1164" t="s">
        <v>1475</v>
      </c>
      <c r="C24" s="1154"/>
      <c r="D24" s="1154"/>
      <c r="E24" s="1154"/>
      <c r="F24" s="1171"/>
      <c r="G24" s="1172"/>
      <c r="H24" s="1172"/>
      <c r="I24" s="1172"/>
      <c r="J24" s="1172"/>
      <c r="K24" s="1174"/>
      <c r="L24" s="1174"/>
      <c r="M24" s="1174"/>
      <c r="N24" s="1175"/>
      <c r="O24" s="1175"/>
      <c r="P24" s="1175"/>
      <c r="R24" s="1169"/>
      <c r="S24" s="1063"/>
      <c r="T24" s="1176"/>
      <c r="U24" s="1176"/>
      <c r="V24" s="1176"/>
      <c r="W24" s="1176"/>
      <c r="X24" s="1176"/>
      <c r="Y24" s="1176"/>
      <c r="Z24" s="1169"/>
    </row>
    <row r="25" spans="1:26" ht="14.25">
      <c r="A25" s="1155" t="s">
        <v>1335</v>
      </c>
      <c r="B25" s="1164" t="s">
        <v>1476</v>
      </c>
      <c r="C25" s="1154"/>
      <c r="D25" s="1154"/>
      <c r="E25" s="1154"/>
      <c r="F25" s="1171"/>
      <c r="G25" s="1172"/>
      <c r="H25" s="1172"/>
      <c r="I25" s="1172"/>
      <c r="J25" s="1172"/>
      <c r="K25" s="1174"/>
      <c r="L25" s="1174"/>
      <c r="M25" s="1174"/>
      <c r="N25" s="1175"/>
      <c r="O25" s="1175"/>
      <c r="P25" s="1175"/>
      <c r="R25" s="1177"/>
      <c r="S25" s="858"/>
      <c r="T25" s="858"/>
      <c r="U25" s="858"/>
      <c r="V25" s="1178"/>
      <c r="W25" s="858"/>
      <c r="X25" s="1178"/>
      <c r="Y25" s="858"/>
      <c r="Z25" s="1169"/>
    </row>
    <row r="26" spans="1:26" ht="14.25">
      <c r="A26" s="1155" t="s">
        <v>1477</v>
      </c>
      <c r="B26" s="1164" t="s">
        <v>1478</v>
      </c>
      <c r="C26" s="1154"/>
      <c r="D26" s="1154"/>
      <c r="E26" s="1154"/>
      <c r="F26" s="1171"/>
      <c r="G26" s="1172"/>
      <c r="H26" s="1172"/>
      <c r="I26" s="1172"/>
      <c r="J26" s="1172"/>
      <c r="K26" s="1174"/>
      <c r="L26" s="1174"/>
      <c r="M26" s="1174"/>
      <c r="N26" s="1175"/>
      <c r="O26" s="1175"/>
      <c r="P26" s="1175"/>
      <c r="R26" s="1177"/>
      <c r="S26" s="1179"/>
      <c r="T26" s="1176"/>
      <c r="U26" s="1180"/>
      <c r="V26" s="1176"/>
      <c r="W26" s="1180"/>
      <c r="X26" s="1176"/>
      <c r="Y26" s="1180"/>
      <c r="Z26" s="1169"/>
    </row>
    <row r="27" spans="1:26" ht="14.25">
      <c r="A27" s="1155" t="s">
        <v>1479</v>
      </c>
      <c r="B27" s="1164" t="s">
        <v>1480</v>
      </c>
      <c r="C27" s="1154"/>
      <c r="D27" s="1154">
        <v>25</v>
      </c>
      <c r="E27" s="1154">
        <v>25</v>
      </c>
      <c r="F27" s="1171">
        <v>25</v>
      </c>
      <c r="G27" s="1172">
        <v>25</v>
      </c>
      <c r="H27" s="1172">
        <v>25</v>
      </c>
      <c r="I27" s="1172">
        <v>25</v>
      </c>
      <c r="J27" s="1172">
        <v>25</v>
      </c>
      <c r="K27" s="1172">
        <v>25</v>
      </c>
      <c r="L27" s="1172">
        <v>25</v>
      </c>
      <c r="M27" s="1172">
        <v>25</v>
      </c>
      <c r="N27" s="1172">
        <v>25</v>
      </c>
      <c r="O27" s="1172">
        <v>25</v>
      </c>
      <c r="P27" s="1172">
        <v>25</v>
      </c>
      <c r="R27" s="1177"/>
      <c r="S27" s="1169"/>
      <c r="T27" s="1176"/>
      <c r="U27" s="1176"/>
      <c r="V27" s="1176"/>
      <c r="W27" s="1176"/>
      <c r="X27" s="1176"/>
      <c r="Y27" s="1176"/>
      <c r="Z27" s="1169"/>
    </row>
    <row r="28" spans="1:26" ht="14.25">
      <c r="A28" s="1155" t="s">
        <v>1695</v>
      </c>
      <c r="B28" s="1156" t="s">
        <v>1481</v>
      </c>
      <c r="C28" s="1154"/>
      <c r="D28" s="1154"/>
      <c r="E28" s="1154"/>
      <c r="F28" s="1171"/>
      <c r="G28" s="1172"/>
      <c r="H28" s="1181"/>
      <c r="I28" s="1181"/>
      <c r="J28" s="1181"/>
      <c r="K28" s="1174"/>
      <c r="L28" s="1174"/>
      <c r="M28" s="1174"/>
      <c r="N28" s="1175"/>
      <c r="O28" s="1175"/>
      <c r="P28" s="1175"/>
      <c r="R28" s="1182"/>
      <c r="S28" s="858"/>
      <c r="T28" s="1183"/>
      <c r="U28" s="1184"/>
      <c r="V28" s="1183"/>
      <c r="W28" s="1184"/>
      <c r="X28" s="1183"/>
      <c r="Y28" s="1184"/>
      <c r="Z28" s="1169"/>
    </row>
    <row r="29" spans="1:26" ht="14.25">
      <c r="A29" s="1155" t="s">
        <v>706</v>
      </c>
      <c r="B29" s="1164" t="s">
        <v>1475</v>
      </c>
      <c r="C29" s="1154"/>
      <c r="D29" s="1154">
        <v>0.2</v>
      </c>
      <c r="E29" s="1154">
        <v>0.2</v>
      </c>
      <c r="F29" s="1171">
        <v>0.2</v>
      </c>
      <c r="G29" s="1172">
        <v>0.2</v>
      </c>
      <c r="H29" s="1172">
        <v>0.2</v>
      </c>
      <c r="I29" s="1172">
        <v>0.2</v>
      </c>
      <c r="J29" s="1172">
        <v>0.2</v>
      </c>
      <c r="K29" s="1172">
        <v>0.2</v>
      </c>
      <c r="L29" s="1172">
        <v>0.2</v>
      </c>
      <c r="M29" s="1172">
        <v>0.2</v>
      </c>
      <c r="N29" s="1172">
        <v>0.2</v>
      </c>
      <c r="O29" s="1172">
        <v>0.2</v>
      </c>
      <c r="P29" s="1172">
        <v>0.2</v>
      </c>
      <c r="R29" s="1185"/>
      <c r="S29" s="858"/>
      <c r="T29" s="1184"/>
      <c r="U29" s="1184"/>
      <c r="V29" s="1184"/>
      <c r="W29" s="1184"/>
      <c r="X29" s="1184"/>
      <c r="Y29" s="1184"/>
      <c r="Z29" s="1169"/>
    </row>
    <row r="30" spans="1:26" ht="14.25">
      <c r="A30" s="1155" t="s">
        <v>1338</v>
      </c>
      <c r="B30" s="1186" t="s">
        <v>1476</v>
      </c>
      <c r="C30" s="1154"/>
      <c r="D30" s="1154">
        <v>0.3</v>
      </c>
      <c r="E30" s="1154">
        <v>0.3</v>
      </c>
      <c r="F30" s="1171">
        <v>0.3</v>
      </c>
      <c r="G30" s="1172">
        <v>0.3</v>
      </c>
      <c r="H30" s="1172">
        <v>0.3</v>
      </c>
      <c r="I30" s="1172">
        <v>0.3</v>
      </c>
      <c r="J30" s="1172">
        <v>0.3</v>
      </c>
      <c r="K30" s="1172">
        <v>0.3</v>
      </c>
      <c r="L30" s="1172">
        <v>0.3</v>
      </c>
      <c r="M30" s="1172">
        <v>0.3</v>
      </c>
      <c r="N30" s="1172">
        <v>0.3</v>
      </c>
      <c r="O30" s="1172">
        <v>0.3</v>
      </c>
      <c r="P30" s="1172">
        <v>0.3</v>
      </c>
      <c r="R30" s="1187"/>
      <c r="S30" s="858"/>
      <c r="T30" s="1183"/>
      <c r="U30" s="1184"/>
      <c r="V30" s="1183"/>
      <c r="W30" s="1184"/>
      <c r="X30" s="1183"/>
      <c r="Y30" s="1184"/>
      <c r="Z30" s="1169"/>
    </row>
    <row r="31" spans="1:26" ht="14.25">
      <c r="A31" s="1155" t="s">
        <v>706</v>
      </c>
      <c r="B31" s="1164" t="s">
        <v>1478</v>
      </c>
      <c r="C31" s="1154"/>
      <c r="D31" s="1154">
        <v>0.2</v>
      </c>
      <c r="E31" s="1154">
        <v>0.2</v>
      </c>
      <c r="F31" s="1171">
        <v>0.1</v>
      </c>
      <c r="G31" s="1172">
        <v>0.1</v>
      </c>
      <c r="H31" s="1172">
        <v>0.1</v>
      </c>
      <c r="I31" s="1172">
        <v>0.1</v>
      </c>
      <c r="J31" s="1172">
        <v>0.1</v>
      </c>
      <c r="K31" s="1172">
        <v>0.1</v>
      </c>
      <c r="L31" s="1172">
        <v>0.1</v>
      </c>
      <c r="M31" s="1172">
        <v>0.1</v>
      </c>
      <c r="N31" s="1172">
        <v>0.1</v>
      </c>
      <c r="O31" s="1172">
        <v>0.1</v>
      </c>
      <c r="P31" s="1172">
        <v>0.1</v>
      </c>
      <c r="R31" s="1187"/>
      <c r="S31" s="858"/>
      <c r="T31" s="1184"/>
      <c r="U31" s="1184"/>
      <c r="V31" s="1184"/>
      <c r="W31" s="1184"/>
      <c r="X31" s="1184"/>
      <c r="Y31" s="1184"/>
      <c r="Z31" s="1169"/>
    </row>
    <row r="32" spans="1:26" ht="14.25">
      <c r="A32" s="1155" t="s">
        <v>1338</v>
      </c>
      <c r="B32" s="1186" t="s">
        <v>1480</v>
      </c>
      <c r="C32" s="1154"/>
      <c r="D32" s="1154">
        <v>0.3</v>
      </c>
      <c r="E32" s="1154">
        <v>0.3</v>
      </c>
      <c r="F32" s="1171">
        <v>0.2</v>
      </c>
      <c r="G32" s="1172">
        <v>0.2</v>
      </c>
      <c r="H32" s="1172">
        <v>0.2</v>
      </c>
      <c r="I32" s="1172">
        <v>0.2</v>
      </c>
      <c r="J32" s="1172">
        <v>0.2</v>
      </c>
      <c r="K32" s="1172">
        <v>0.2</v>
      </c>
      <c r="L32" s="1172">
        <v>0.2</v>
      </c>
      <c r="M32" s="1172">
        <v>0.2</v>
      </c>
      <c r="N32" s="1172">
        <v>0.2</v>
      </c>
      <c r="O32" s="1172">
        <v>0.2</v>
      </c>
      <c r="P32" s="1172">
        <v>0.2</v>
      </c>
      <c r="R32" s="1187"/>
      <c r="S32" s="858"/>
      <c r="T32" s="1183"/>
      <c r="U32" s="1184"/>
      <c r="V32" s="1183"/>
      <c r="W32" s="1184"/>
      <c r="X32" s="1183"/>
      <c r="Y32" s="1184"/>
      <c r="Z32" s="1169"/>
    </row>
    <row r="33" spans="1:26" ht="39">
      <c r="A33" s="1155" t="s">
        <v>1657</v>
      </c>
      <c r="B33" s="1188" t="s">
        <v>783</v>
      </c>
      <c r="C33" s="1154"/>
      <c r="D33" s="1154">
        <v>0.2</v>
      </c>
      <c r="E33" s="1154">
        <v>0.2</v>
      </c>
      <c r="F33" s="1171">
        <v>0.2</v>
      </c>
      <c r="G33" s="1181">
        <v>0.2</v>
      </c>
      <c r="H33" s="1181">
        <v>0.2</v>
      </c>
      <c r="I33" s="1181">
        <v>0.2</v>
      </c>
      <c r="J33" s="1181">
        <v>0.2</v>
      </c>
      <c r="K33" s="1181">
        <v>0.2</v>
      </c>
      <c r="L33" s="1181">
        <v>0.2</v>
      </c>
      <c r="M33" s="1181">
        <v>0.2</v>
      </c>
      <c r="N33" s="1181">
        <v>0.2</v>
      </c>
      <c r="O33" s="1181">
        <v>0.2</v>
      </c>
      <c r="P33" s="1181">
        <v>0.2</v>
      </c>
      <c r="R33" s="1187"/>
      <c r="S33" s="858"/>
      <c r="T33" s="1184"/>
      <c r="U33" s="1184"/>
      <c r="V33" s="1184"/>
      <c r="W33" s="1184"/>
      <c r="X33" s="1184"/>
      <c r="Y33" s="1184"/>
      <c r="Z33" s="1169"/>
    </row>
    <row r="34" spans="1:26" ht="14.25">
      <c r="A34" s="2442" t="s">
        <v>1482</v>
      </c>
      <c r="B34" s="2443"/>
      <c r="C34" s="2443"/>
      <c r="D34" s="2443"/>
      <c r="E34" s="2443"/>
      <c r="F34" s="2443"/>
      <c r="G34" s="2443"/>
      <c r="H34" s="2443"/>
      <c r="I34" s="2443"/>
      <c r="J34" s="2443"/>
      <c r="K34" s="2443"/>
      <c r="L34" s="2443"/>
      <c r="M34" s="2443"/>
      <c r="N34" s="2421"/>
      <c r="O34" s="2422"/>
      <c r="P34" s="2423"/>
      <c r="R34" s="1187"/>
      <c r="S34" s="858"/>
      <c r="T34" s="1183"/>
      <c r="U34" s="1184"/>
      <c r="V34" s="1183"/>
      <c r="W34" s="1184"/>
      <c r="X34" s="1183"/>
      <c r="Y34" s="1184"/>
      <c r="Z34" s="1169"/>
    </row>
    <row r="35" spans="1:26" ht="14.25">
      <c r="A35" s="1155" t="s">
        <v>1668</v>
      </c>
      <c r="B35" s="1189" t="s">
        <v>784</v>
      </c>
      <c r="C35" s="1154" t="s">
        <v>1483</v>
      </c>
      <c r="D35" s="1154">
        <v>46.76</v>
      </c>
      <c r="E35" s="1154">
        <v>46.76</v>
      </c>
      <c r="F35" s="1171">
        <v>45.135</v>
      </c>
      <c r="G35" s="1190">
        <f>G37</f>
        <v>47.295</v>
      </c>
      <c r="H35" s="1190">
        <v>45.14</v>
      </c>
      <c r="I35" s="1190">
        <v>45.14</v>
      </c>
      <c r="J35" s="1190">
        <v>45.14</v>
      </c>
      <c r="K35" s="1190">
        <v>45.14</v>
      </c>
      <c r="L35" s="1190">
        <v>45.14</v>
      </c>
      <c r="M35" s="1190">
        <v>45.14</v>
      </c>
      <c r="N35" s="1190">
        <v>45.14</v>
      </c>
      <c r="O35" s="1190">
        <v>45.14</v>
      </c>
      <c r="P35" s="1190">
        <v>45.14</v>
      </c>
      <c r="R35" s="1187"/>
      <c r="S35" s="858"/>
      <c r="T35" s="1191"/>
      <c r="U35" s="1184"/>
      <c r="V35" s="1184"/>
      <c r="W35" s="1184"/>
      <c r="X35" s="1184"/>
      <c r="Y35" s="1184"/>
      <c r="Z35" s="1169"/>
    </row>
    <row r="36" spans="1:26" ht="14.25">
      <c r="A36" s="1155" t="s">
        <v>936</v>
      </c>
      <c r="B36" s="1168" t="s">
        <v>1469</v>
      </c>
      <c r="C36" s="1154" t="s">
        <v>1483</v>
      </c>
      <c r="D36" s="1154"/>
      <c r="E36" s="1154"/>
      <c r="F36" s="1171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R36" s="1187"/>
      <c r="S36" s="858"/>
      <c r="T36" s="1193"/>
      <c r="U36" s="1184"/>
      <c r="V36" s="1183"/>
      <c r="W36" s="1184"/>
      <c r="X36" s="1183"/>
      <c r="Y36" s="1184"/>
      <c r="Z36" s="1169"/>
    </row>
    <row r="37" spans="1:26" ht="14.25">
      <c r="A37" s="1155" t="s">
        <v>1340</v>
      </c>
      <c r="B37" s="1168" t="s">
        <v>1471</v>
      </c>
      <c r="C37" s="1154" t="s">
        <v>1483</v>
      </c>
      <c r="D37" s="1154">
        <v>46.76</v>
      </c>
      <c r="E37" s="1154">
        <v>46.76</v>
      </c>
      <c r="F37" s="1171">
        <v>45.135</v>
      </c>
      <c r="G37" s="1190">
        <f>(52.55+(52.55-52.55*G33))/2</f>
        <v>47.295</v>
      </c>
      <c r="H37" s="1190">
        <f aca="true" t="shared" si="3" ref="H37:P37">H35</f>
        <v>45.14</v>
      </c>
      <c r="I37" s="1190">
        <f t="shared" si="3"/>
        <v>45.14</v>
      </c>
      <c r="J37" s="1190">
        <f t="shared" si="3"/>
        <v>45.14</v>
      </c>
      <c r="K37" s="1190">
        <f t="shared" si="3"/>
        <v>45.14</v>
      </c>
      <c r="L37" s="1190">
        <f t="shared" si="3"/>
        <v>45.14</v>
      </c>
      <c r="M37" s="1190">
        <f t="shared" si="3"/>
        <v>45.14</v>
      </c>
      <c r="N37" s="1190">
        <f t="shared" si="3"/>
        <v>45.14</v>
      </c>
      <c r="O37" s="1190">
        <f t="shared" si="3"/>
        <v>45.14</v>
      </c>
      <c r="P37" s="1190">
        <f t="shared" si="3"/>
        <v>45.14</v>
      </c>
      <c r="R37" s="1187"/>
      <c r="S37" s="858"/>
      <c r="T37" s="1183"/>
      <c r="U37" s="1184"/>
      <c r="V37" s="1183"/>
      <c r="W37" s="1184"/>
      <c r="X37" s="1183"/>
      <c r="Y37" s="1184"/>
      <c r="Z37" s="1169"/>
    </row>
    <row r="38" spans="1:26" ht="14.25">
      <c r="A38" s="1155" t="s">
        <v>1669</v>
      </c>
      <c r="B38" s="1189" t="s">
        <v>1484</v>
      </c>
      <c r="C38" s="1154" t="s">
        <v>1483</v>
      </c>
      <c r="D38" s="1154">
        <v>5</v>
      </c>
      <c r="E38" s="1154">
        <v>5</v>
      </c>
      <c r="F38" s="1171"/>
      <c r="G38" s="1192">
        <v>5</v>
      </c>
      <c r="H38" s="1192">
        <v>5</v>
      </c>
      <c r="I38" s="1192">
        <v>5</v>
      </c>
      <c r="J38" s="1192">
        <v>5</v>
      </c>
      <c r="K38" s="1192">
        <v>5</v>
      </c>
      <c r="L38" s="1192">
        <v>5</v>
      </c>
      <c r="M38" s="1192">
        <v>5</v>
      </c>
      <c r="N38" s="1192">
        <v>5</v>
      </c>
      <c r="O38" s="1192">
        <v>5</v>
      </c>
      <c r="P38" s="1192">
        <v>5</v>
      </c>
      <c r="R38" s="1187"/>
      <c r="S38" s="1194"/>
      <c r="T38" s="858"/>
      <c r="U38" s="1195"/>
      <c r="V38" s="858"/>
      <c r="W38" s="1195"/>
      <c r="X38" s="858"/>
      <c r="Y38" s="1195"/>
      <c r="Z38" s="1169"/>
    </row>
    <row r="39" spans="1:26" ht="26.25">
      <c r="A39" s="1155" t="s">
        <v>426</v>
      </c>
      <c r="B39" s="1164" t="s">
        <v>1485</v>
      </c>
      <c r="C39" s="1154" t="s">
        <v>781</v>
      </c>
      <c r="D39" s="1154">
        <v>989.81</v>
      </c>
      <c r="E39" s="1154">
        <v>989.81</v>
      </c>
      <c r="F39" s="1171">
        <v>990.2</v>
      </c>
      <c r="G39" s="1196">
        <v>989.27</v>
      </c>
      <c r="H39" s="1196">
        <v>983.19</v>
      </c>
      <c r="I39" s="1196">
        <v>983.19</v>
      </c>
      <c r="J39" s="1196">
        <v>983.19</v>
      </c>
      <c r="K39" s="1196">
        <v>983.19</v>
      </c>
      <c r="L39" s="1196">
        <v>983.19</v>
      </c>
      <c r="M39" s="1196">
        <v>983.19</v>
      </c>
      <c r="N39" s="1196">
        <v>983.19</v>
      </c>
      <c r="O39" s="1196">
        <v>983.19</v>
      </c>
      <c r="P39" s="1196">
        <v>983.19</v>
      </c>
      <c r="R39" s="1187"/>
      <c r="S39" s="1197"/>
      <c r="T39" s="1198"/>
      <c r="U39" s="1185"/>
      <c r="V39" s="1185"/>
      <c r="W39" s="1199"/>
      <c r="X39" s="1199"/>
      <c r="Y39" s="1199"/>
      <c r="Z39" s="1185"/>
    </row>
    <row r="40" spans="1:26" ht="26.25">
      <c r="A40" s="1155" t="s">
        <v>237</v>
      </c>
      <c r="B40" s="1164" t="s">
        <v>434</v>
      </c>
      <c r="C40" s="1154" t="s">
        <v>435</v>
      </c>
      <c r="D40" s="1154">
        <v>0.04959</v>
      </c>
      <c r="E40" s="1154">
        <v>0.04959</v>
      </c>
      <c r="F40" s="1171">
        <v>0.04769</v>
      </c>
      <c r="G40" s="1200">
        <f>1/1000000*G39*(G35-G38)*(1+G33)</f>
        <v>0.050209409579999996</v>
      </c>
      <c r="H40" s="1200">
        <v>0.06489</v>
      </c>
      <c r="I40" s="1200">
        <v>0.06489</v>
      </c>
      <c r="J40" s="1200">
        <v>0.06489</v>
      </c>
      <c r="K40" s="1200">
        <v>0.06489</v>
      </c>
      <c r="L40" s="1200">
        <v>0.06489</v>
      </c>
      <c r="M40" s="1200">
        <v>0.06489</v>
      </c>
      <c r="N40" s="1200">
        <v>0.06489</v>
      </c>
      <c r="O40" s="1200">
        <v>0.06489</v>
      </c>
      <c r="P40" s="1200">
        <v>0.06489</v>
      </c>
      <c r="R40" s="1201"/>
      <c r="S40" s="1202"/>
      <c r="T40" s="1203"/>
      <c r="U40" s="1185"/>
      <c r="V40" s="1185"/>
      <c r="W40" s="1199"/>
      <c r="X40" s="1199"/>
      <c r="Y40" s="1199"/>
      <c r="Z40" s="1185"/>
    </row>
    <row r="41" spans="1:16" ht="14.25">
      <c r="A41" s="2443" t="s">
        <v>436</v>
      </c>
      <c r="B41" s="2443"/>
      <c r="C41" s="2443"/>
      <c r="D41" s="2443"/>
      <c r="E41" s="2443"/>
      <c r="F41" s="2443"/>
      <c r="G41" s="2443"/>
      <c r="H41" s="2443"/>
      <c r="I41" s="2443"/>
      <c r="J41" s="2443"/>
      <c r="K41" s="2443"/>
      <c r="L41" s="2443"/>
      <c r="M41" s="2443"/>
      <c r="N41" s="2421"/>
      <c r="O41" s="2422"/>
      <c r="P41" s="2423"/>
    </row>
    <row r="42" spans="1:16" ht="14.25">
      <c r="A42" s="1155" t="s">
        <v>203</v>
      </c>
      <c r="B42" s="1164" t="s">
        <v>437</v>
      </c>
      <c r="C42" s="1154" t="s">
        <v>217</v>
      </c>
      <c r="D42" s="1204">
        <f>'[4]6.4'!J36</f>
        <v>11572.77</v>
      </c>
      <c r="E42" s="1204" t="e">
        <f>'[4]6.4'!M36</f>
        <v>#REF!</v>
      </c>
      <c r="F42" s="1204">
        <v>11327.48</v>
      </c>
      <c r="G42" s="1204" t="e">
        <f>'[4]6.4'!S36</f>
        <v>#REF!</v>
      </c>
      <c r="H42" s="1205">
        <f>'6.4'!P36</f>
        <v>17621.91943857015</v>
      </c>
      <c r="I42" s="1205">
        <f>'6.4'!S36</f>
        <v>15319.10678297905</v>
      </c>
      <c r="J42" s="1205">
        <f>'6.4'!V36</f>
        <v>21087.907013156237</v>
      </c>
      <c r="K42" s="1205">
        <f>'6.4'!Y36</f>
        <v>17638.253827714572</v>
      </c>
      <c r="L42" s="1205">
        <f>'6.4'!AB36</f>
        <v>15441.787512417182</v>
      </c>
      <c r="M42" s="1205">
        <f>'6.4'!AE36</f>
        <v>20912.749771156872</v>
      </c>
      <c r="N42" s="1237">
        <f>'6.4'!AH36</f>
        <v>18580.33727583827</v>
      </c>
      <c r="O42" s="1237">
        <f>'6.4'!AK36</f>
        <v>16384.913984449584</v>
      </c>
      <c r="P42" s="1237">
        <f>'6.4'!AN36</f>
        <v>21837.04203279212</v>
      </c>
    </row>
    <row r="43" spans="1:16" ht="26.25">
      <c r="A43" s="1155" t="s">
        <v>205</v>
      </c>
      <c r="B43" s="1164" t="s">
        <v>438</v>
      </c>
      <c r="C43" s="1154" t="s">
        <v>217</v>
      </c>
      <c r="D43" s="1154"/>
      <c r="E43" s="1154"/>
      <c r="F43" s="1154">
        <v>3450</v>
      </c>
      <c r="G43" s="1154"/>
      <c r="H43" s="1206"/>
      <c r="I43" s="1206"/>
      <c r="J43" s="1206"/>
      <c r="K43" s="1207"/>
      <c r="L43" s="1207"/>
      <c r="M43" s="1207"/>
      <c r="N43" s="1208"/>
      <c r="O43" s="1208"/>
      <c r="P43" s="1208"/>
    </row>
    <row r="44" spans="1:16" ht="14.25">
      <c r="A44" s="1155" t="s">
        <v>207</v>
      </c>
      <c r="B44" s="1164" t="s">
        <v>439</v>
      </c>
      <c r="C44" s="1154" t="s">
        <v>440</v>
      </c>
      <c r="D44" s="1154">
        <v>45.56</v>
      </c>
      <c r="E44" s="1154">
        <v>45.56</v>
      </c>
      <c r="F44" s="1154">
        <v>48.22</v>
      </c>
      <c r="G44" s="1154">
        <f>'[4]4.8'!M12*1000</f>
        <v>48.02</v>
      </c>
      <c r="H44" s="1205">
        <f>'4.8'!D38*1000</f>
        <v>57.4085383515785</v>
      </c>
      <c r="I44" s="1205">
        <f>'4.8'!G38*1000</f>
        <v>55.800000000000004</v>
      </c>
      <c r="J44" s="1205">
        <f>'4.8'!J38*1000</f>
        <v>59.4828</v>
      </c>
      <c r="K44" s="1205">
        <f>'4.8'!D50*1000</f>
        <v>61.223053423232855</v>
      </c>
      <c r="L44" s="1205">
        <f>'4.8'!G50*1000</f>
        <v>59.4828</v>
      </c>
      <c r="M44" s="1205">
        <f>'4.8'!J50*1000</f>
        <v>63.46814760000001</v>
      </c>
      <c r="N44" s="1237">
        <f>'4.8'!D62*1000</f>
        <v>65.32499800258948</v>
      </c>
      <c r="O44" s="1237">
        <f>'4.8'!G62*1000</f>
        <v>63.46814760000001</v>
      </c>
      <c r="P44" s="1237">
        <f>'4.8'!J62*1000</f>
        <v>67.72051348920002</v>
      </c>
    </row>
    <row r="45" spans="1:16" ht="26.25">
      <c r="A45" s="1155" t="s">
        <v>214</v>
      </c>
      <c r="B45" s="1164" t="s">
        <v>441</v>
      </c>
      <c r="C45" s="1154" t="s">
        <v>440</v>
      </c>
      <c r="D45" s="1154">
        <v>45.56</v>
      </c>
      <c r="E45" s="1154">
        <f aca="true" t="shared" si="4" ref="E45:P45">E44</f>
        <v>45.56</v>
      </c>
      <c r="F45" s="1154">
        <f t="shared" si="4"/>
        <v>48.22</v>
      </c>
      <c r="G45" s="1154">
        <f t="shared" si="4"/>
        <v>48.02</v>
      </c>
      <c r="H45" s="1204">
        <f t="shared" si="4"/>
        <v>57.4085383515785</v>
      </c>
      <c r="I45" s="1204">
        <f t="shared" si="4"/>
        <v>55.800000000000004</v>
      </c>
      <c r="J45" s="1204">
        <f t="shared" si="4"/>
        <v>59.4828</v>
      </c>
      <c r="K45" s="1204">
        <f t="shared" si="4"/>
        <v>61.223053423232855</v>
      </c>
      <c r="L45" s="1204">
        <f t="shared" si="4"/>
        <v>59.4828</v>
      </c>
      <c r="M45" s="1204">
        <f t="shared" si="4"/>
        <v>63.46814760000001</v>
      </c>
      <c r="N45" s="1204">
        <f t="shared" si="4"/>
        <v>65.32499800258948</v>
      </c>
      <c r="O45" s="1204">
        <f t="shared" si="4"/>
        <v>63.46814760000001</v>
      </c>
      <c r="P45" s="1204">
        <f t="shared" si="4"/>
        <v>67.72051348920002</v>
      </c>
    </row>
    <row r="46" spans="1:16" ht="14.25">
      <c r="A46" s="2444"/>
      <c r="B46" s="2443"/>
      <c r="C46" s="2443"/>
      <c r="D46" s="2443"/>
      <c r="E46" s="2443"/>
      <c r="F46" s="2443"/>
      <c r="G46" s="2443"/>
      <c r="H46" s="2443"/>
      <c r="I46" s="2443"/>
      <c r="J46" s="2443"/>
      <c r="K46" s="2443"/>
      <c r="L46" s="2443"/>
      <c r="M46" s="2443"/>
      <c r="N46" s="2421"/>
      <c r="O46" s="2422"/>
      <c r="P46" s="2423"/>
    </row>
    <row r="47" spans="1:16" ht="14.25">
      <c r="A47" s="1155" t="s">
        <v>428</v>
      </c>
      <c r="B47" s="1189" t="s">
        <v>785</v>
      </c>
      <c r="C47" s="1154" t="s">
        <v>440</v>
      </c>
      <c r="D47" s="1154">
        <v>619.45</v>
      </c>
      <c r="E47" s="1154"/>
      <c r="F47" s="1154">
        <v>588.42</v>
      </c>
      <c r="G47" s="1154"/>
      <c r="H47" s="1204">
        <f>(H42*H40)+H44</f>
        <v>1200.8948907203956</v>
      </c>
      <c r="I47" s="1204">
        <f aca="true" t="shared" si="5" ref="I47:P47">(I42*I40)+I44</f>
        <v>1049.8568391475105</v>
      </c>
      <c r="J47" s="1204">
        <f t="shared" si="5"/>
        <v>1427.8770860837083</v>
      </c>
      <c r="K47" s="1204">
        <f t="shared" si="5"/>
        <v>1205.7693443036314</v>
      </c>
      <c r="L47" s="1204">
        <f t="shared" si="5"/>
        <v>1061.500391680751</v>
      </c>
      <c r="M47" s="1204">
        <f t="shared" si="5"/>
        <v>1420.4964802503696</v>
      </c>
      <c r="N47" s="1204">
        <f t="shared" si="5"/>
        <v>1271.0030838317348</v>
      </c>
      <c r="O47" s="1204">
        <f t="shared" si="5"/>
        <v>1126.6852160509336</v>
      </c>
      <c r="P47" s="1204">
        <f t="shared" si="5"/>
        <v>1484.7261709970808</v>
      </c>
    </row>
    <row r="48" spans="1:16" ht="14.25">
      <c r="A48" s="1155" t="s">
        <v>1307</v>
      </c>
      <c r="B48" s="1236" t="s">
        <v>1469</v>
      </c>
      <c r="C48" s="1154" t="s">
        <v>440</v>
      </c>
      <c r="D48" s="1154"/>
      <c r="E48" s="1154"/>
      <c r="F48" s="1154"/>
      <c r="G48" s="1154"/>
      <c r="H48" s="1204">
        <f>H47</f>
        <v>1200.8948907203956</v>
      </c>
      <c r="I48" s="1204">
        <f aca="true" t="shared" si="6" ref="I48:P48">I47</f>
        <v>1049.8568391475105</v>
      </c>
      <c r="J48" s="1204">
        <f t="shared" si="6"/>
        <v>1427.8770860837083</v>
      </c>
      <c r="K48" s="1204">
        <f t="shared" si="6"/>
        <v>1205.7693443036314</v>
      </c>
      <c r="L48" s="1204">
        <f t="shared" si="6"/>
        <v>1061.500391680751</v>
      </c>
      <c r="M48" s="1204">
        <f t="shared" si="6"/>
        <v>1420.4964802503696</v>
      </c>
      <c r="N48" s="1204">
        <f t="shared" si="6"/>
        <v>1271.0030838317348</v>
      </c>
      <c r="O48" s="1204">
        <f t="shared" si="6"/>
        <v>1126.6852160509336</v>
      </c>
      <c r="P48" s="1204">
        <f t="shared" si="6"/>
        <v>1484.7261709970808</v>
      </c>
    </row>
    <row r="49" spans="1:16" ht="14.25">
      <c r="A49" s="1155" t="s">
        <v>1308</v>
      </c>
      <c r="B49" s="1168" t="s">
        <v>1471</v>
      </c>
      <c r="C49" s="1154" t="s">
        <v>440</v>
      </c>
      <c r="D49" s="1154">
        <v>619.45</v>
      </c>
      <c r="E49" s="1154"/>
      <c r="F49" s="1154">
        <v>588.42</v>
      </c>
      <c r="G49" s="1154"/>
      <c r="H49" s="1209"/>
      <c r="I49" s="1209"/>
      <c r="J49" s="1206"/>
      <c r="K49" s="1207"/>
      <c r="L49" s="1207"/>
      <c r="M49" s="1207"/>
      <c r="N49" s="1208"/>
      <c r="O49" s="1208"/>
      <c r="P49" s="1208"/>
    </row>
    <row r="50" spans="1:16" ht="26.25">
      <c r="A50" s="1155" t="s">
        <v>429</v>
      </c>
      <c r="B50" s="1189" t="s">
        <v>442</v>
      </c>
      <c r="C50" s="1154" t="s">
        <v>440</v>
      </c>
      <c r="D50" s="1154"/>
      <c r="E50" s="1154"/>
      <c r="F50" s="1154">
        <v>212.75</v>
      </c>
      <c r="G50" s="1154"/>
      <c r="H50" s="1209"/>
      <c r="I50" s="1209"/>
      <c r="J50" s="1206"/>
      <c r="K50" s="1207"/>
      <c r="L50" s="1207"/>
      <c r="M50" s="1207"/>
      <c r="N50" s="1208"/>
      <c r="O50" s="1208"/>
      <c r="P50" s="1208"/>
    </row>
    <row r="51" spans="1:16" ht="14.25">
      <c r="A51" s="1155" t="s">
        <v>307</v>
      </c>
      <c r="B51" s="1168" t="s">
        <v>1469</v>
      </c>
      <c r="C51" s="1154" t="s">
        <v>440</v>
      </c>
      <c r="D51" s="1154"/>
      <c r="E51" s="1154"/>
      <c r="F51" s="1154"/>
      <c r="G51" s="1154"/>
      <c r="H51" s="1154"/>
      <c r="I51" s="1154"/>
      <c r="J51" s="1207"/>
      <c r="K51" s="1207"/>
      <c r="L51" s="1207"/>
      <c r="M51" s="1207"/>
      <c r="N51" s="1208"/>
      <c r="O51" s="1208"/>
      <c r="P51" s="1208"/>
    </row>
    <row r="52" spans="1:16" ht="14.25">
      <c r="A52" s="1155" t="s">
        <v>1319</v>
      </c>
      <c r="B52" s="1168" t="s">
        <v>1471</v>
      </c>
      <c r="C52" s="1154" t="s">
        <v>440</v>
      </c>
      <c r="D52" s="1154"/>
      <c r="E52" s="1154"/>
      <c r="F52" s="1154">
        <v>212.75</v>
      </c>
      <c r="G52" s="1154"/>
      <c r="H52" s="1209"/>
      <c r="I52" s="1209"/>
      <c r="J52" s="1206"/>
      <c r="K52" s="1207"/>
      <c r="L52" s="1207"/>
      <c r="M52" s="1207"/>
      <c r="N52" s="1208"/>
      <c r="O52" s="1208"/>
      <c r="P52" s="1208"/>
    </row>
    <row r="53" spans="1:16" s="1214" customFormat="1" ht="13.5">
      <c r="A53" s="1210" t="s">
        <v>443</v>
      </c>
      <c r="B53" s="1211"/>
      <c r="C53" s="1212"/>
      <c r="D53" s="1212"/>
      <c r="E53" s="1213"/>
      <c r="F53" s="1213"/>
      <c r="G53" s="1213"/>
      <c r="H53" s="1213"/>
      <c r="I53" s="1213"/>
      <c r="J53" s="1213"/>
      <c r="K53" s="1213"/>
      <c r="L53" s="1213"/>
      <c r="M53" s="1213"/>
      <c r="N53" s="1211"/>
      <c r="O53" s="1211"/>
      <c r="P53" s="1211"/>
    </row>
    <row r="54" spans="1:16" s="1218" customFormat="1" ht="12.75">
      <c r="A54" s="1215"/>
      <c r="B54" s="1216" t="s">
        <v>444</v>
      </c>
      <c r="C54" s="1216"/>
      <c r="D54" s="1216"/>
      <c r="E54" s="1216"/>
      <c r="F54" s="1216"/>
      <c r="G54" s="1216"/>
      <c r="H54" s="1216"/>
      <c r="I54" s="1216"/>
      <c r="J54" s="1216"/>
      <c r="K54" s="1216"/>
      <c r="L54" s="1216"/>
      <c r="M54" s="1216"/>
      <c r="N54" s="1217"/>
      <c r="O54" s="1217"/>
      <c r="P54" s="1217"/>
    </row>
    <row r="55" spans="1:16" s="1214" customFormat="1" ht="13.5">
      <c r="A55" s="1219" t="s">
        <v>445</v>
      </c>
      <c r="B55" s="1220" t="s">
        <v>446</v>
      </c>
      <c r="C55" s="1220"/>
      <c r="D55" s="1220"/>
      <c r="E55" s="1220"/>
      <c r="F55" s="1220"/>
      <c r="G55" s="1220"/>
      <c r="H55" s="1220"/>
      <c r="I55" s="1220"/>
      <c r="J55" s="1220"/>
      <c r="K55" s="1220"/>
      <c r="L55" s="1220"/>
      <c r="M55" s="1220"/>
      <c r="N55" s="1211"/>
      <c r="O55" s="1211"/>
      <c r="P55" s="1211"/>
    </row>
    <row r="56" spans="1:16" s="1214" customFormat="1" ht="14.25">
      <c r="A56" s="1221"/>
      <c r="B56" s="1220" t="s">
        <v>786</v>
      </c>
      <c r="C56" s="1220"/>
      <c r="D56" s="1220"/>
      <c r="E56" s="1220"/>
      <c r="F56" s="1220"/>
      <c r="G56" s="1220"/>
      <c r="H56" s="1220"/>
      <c r="I56" s="1220"/>
      <c r="J56" s="1220"/>
      <c r="K56" s="1220"/>
      <c r="L56" s="1220"/>
      <c r="M56" s="1220"/>
      <c r="N56" s="1211"/>
      <c r="O56" s="1211"/>
      <c r="P56" s="1211"/>
    </row>
    <row r="57" spans="1:16" s="1214" customFormat="1" ht="13.5">
      <c r="A57" s="1221"/>
      <c r="B57" s="2438" t="s">
        <v>1182</v>
      </c>
      <c r="C57" s="2438"/>
      <c r="D57" s="2438"/>
      <c r="E57" s="2438"/>
      <c r="F57" s="2438"/>
      <c r="G57" s="2438"/>
      <c r="H57" s="2438"/>
      <c r="I57" s="2438"/>
      <c r="J57" s="2438"/>
      <c r="K57" s="2438"/>
      <c r="L57" s="2438"/>
      <c r="M57" s="2438"/>
      <c r="N57" s="1211"/>
      <c r="O57" s="1211"/>
      <c r="P57" s="1211"/>
    </row>
    <row r="58" spans="1:16" s="1214" customFormat="1" ht="13.5">
      <c r="A58" s="1221"/>
      <c r="B58" s="1222" t="s">
        <v>1183</v>
      </c>
      <c r="C58" s="1222"/>
      <c r="D58" s="1222"/>
      <c r="E58" s="1222"/>
      <c r="F58" s="1222"/>
      <c r="G58" s="1222"/>
      <c r="H58" s="1222"/>
      <c r="I58" s="1222"/>
      <c r="J58" s="1222"/>
      <c r="K58" s="1222"/>
      <c r="L58" s="1222"/>
      <c r="M58" s="1222"/>
      <c r="N58" s="1211"/>
      <c r="O58" s="1211"/>
      <c r="P58" s="1211"/>
    </row>
    <row r="59" spans="1:16" s="1218" customFormat="1" ht="14.25">
      <c r="A59" s="1215"/>
      <c r="B59" s="1223" t="s">
        <v>447</v>
      </c>
      <c r="C59" s="1224"/>
      <c r="D59" s="1224"/>
      <c r="E59" s="1224"/>
      <c r="F59" s="1224"/>
      <c r="G59" s="1225" t="s">
        <v>1184</v>
      </c>
      <c r="H59" s="1226"/>
      <c r="I59" s="1226"/>
      <c r="J59" s="1226"/>
      <c r="K59" s="1226"/>
      <c r="L59" s="1226"/>
      <c r="M59" s="1226"/>
      <c r="N59" s="1217"/>
      <c r="O59" s="1217"/>
      <c r="P59" s="1217"/>
    </row>
    <row r="60" spans="1:13" s="1214" customFormat="1" ht="13.5">
      <c r="A60" s="1221"/>
      <c r="B60" s="2439" t="s">
        <v>1185</v>
      </c>
      <c r="C60" s="2439"/>
      <c r="D60" s="2439"/>
      <c r="E60" s="2439"/>
      <c r="F60" s="2439"/>
      <c r="G60" s="2439"/>
      <c r="H60" s="2439"/>
      <c r="I60" s="2439"/>
      <c r="J60" s="2439"/>
      <c r="K60" s="2439"/>
      <c r="L60" s="2439"/>
      <c r="M60" s="2439"/>
    </row>
    <row r="61" spans="1:13" s="1214" customFormat="1" ht="27" customHeight="1">
      <c r="A61" s="1221"/>
      <c r="B61" s="2440" t="s">
        <v>448</v>
      </c>
      <c r="C61" s="2440"/>
      <c r="D61" s="2440"/>
      <c r="E61" s="2440"/>
      <c r="F61" s="2440"/>
      <c r="G61" s="2440"/>
      <c r="H61" s="2440"/>
      <c r="I61" s="2440"/>
      <c r="J61" s="2440"/>
      <c r="K61" s="2440"/>
      <c r="L61" s="2440"/>
      <c r="M61" s="2440"/>
    </row>
    <row r="62" spans="1:13" ht="15">
      <c r="A62" s="1227"/>
      <c r="B62" s="1228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</row>
    <row r="63" spans="1:13" s="1233" customFormat="1" ht="15">
      <c r="A63" s="1230"/>
      <c r="B63" s="1230" t="s">
        <v>782</v>
      </c>
      <c r="C63" s="1231"/>
      <c r="D63" s="1231"/>
      <c r="E63" s="1231"/>
      <c r="F63" s="1231"/>
      <c r="G63" s="1231"/>
      <c r="H63" s="1231"/>
      <c r="I63" s="1231"/>
      <c r="J63" s="1231"/>
      <c r="K63" s="1231"/>
      <c r="L63" s="1231"/>
      <c r="M63" s="1231"/>
    </row>
    <row r="64" spans="2:13" s="1233" customFormat="1" ht="14.25">
      <c r="B64" s="1234"/>
      <c r="C64" s="1235"/>
      <c r="D64" s="1235"/>
      <c r="E64" s="1232"/>
      <c r="F64" s="1232"/>
      <c r="G64" s="1232"/>
      <c r="H64" s="1232"/>
      <c r="I64" s="1232"/>
      <c r="J64" s="1232"/>
      <c r="K64" s="1232"/>
      <c r="L64" s="1232"/>
      <c r="M64" s="1232"/>
    </row>
    <row r="65" spans="2:13" s="1233" customFormat="1" ht="14.25">
      <c r="B65" s="1234"/>
      <c r="C65" s="1235"/>
      <c r="D65" s="1235"/>
      <c r="E65" s="1232"/>
      <c r="F65" s="1232"/>
      <c r="G65" s="1232"/>
      <c r="H65" s="1232"/>
      <c r="I65" s="1232"/>
      <c r="J65" s="1232"/>
      <c r="K65" s="1232"/>
      <c r="L65" s="1232"/>
      <c r="M65" s="1232"/>
    </row>
  </sheetData>
  <sheetProtection/>
  <protectedRanges>
    <protectedRange password="CC01" sqref="N1:O1" name="Диапазон1_1"/>
  </protectedRanges>
  <mergeCells count="26">
    <mergeCell ref="B57:M57"/>
    <mergeCell ref="B60:M60"/>
    <mergeCell ref="B61:M61"/>
    <mergeCell ref="K7:M7"/>
    <mergeCell ref="A10:M10"/>
    <mergeCell ref="A22:M22"/>
    <mergeCell ref="A34:M34"/>
    <mergeCell ref="A41:M41"/>
    <mergeCell ref="A46:M46"/>
    <mergeCell ref="D6:G6"/>
    <mergeCell ref="D7:D8"/>
    <mergeCell ref="A4:M4"/>
    <mergeCell ref="A6:A8"/>
    <mergeCell ref="B6:B8"/>
    <mergeCell ref="C6:C8"/>
    <mergeCell ref="E7:E8"/>
    <mergeCell ref="G7:G8"/>
    <mergeCell ref="H6:P6"/>
    <mergeCell ref="N41:P41"/>
    <mergeCell ref="N46:P46"/>
    <mergeCell ref="F7:F8"/>
    <mergeCell ref="N7:P7"/>
    <mergeCell ref="N10:P10"/>
    <mergeCell ref="N22:P22"/>
    <mergeCell ref="N34:P34"/>
    <mergeCell ref="H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16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1"/>
  </sheetPr>
  <dimension ref="A1:Z65"/>
  <sheetViews>
    <sheetView zoomScaleSheetLayoutView="70" workbookViewId="0" topLeftCell="A34">
      <selection activeCell="V37" sqref="V37"/>
    </sheetView>
  </sheetViews>
  <sheetFormatPr defaultColWidth="9.140625" defaultRowHeight="15"/>
  <cols>
    <col min="1" max="1" width="7.421875" style="1148" customWidth="1"/>
    <col min="2" max="2" width="50.140625" style="1145" customWidth="1"/>
    <col min="3" max="3" width="9.140625" style="1146" customWidth="1"/>
    <col min="4" max="4" width="0" style="1146" hidden="1" customWidth="1"/>
    <col min="5" max="6" width="9.28125" style="1147" hidden="1" customWidth="1"/>
    <col min="7" max="7" width="9.57421875" style="1147" hidden="1" customWidth="1"/>
    <col min="8" max="8" width="10.00390625" style="1147" customWidth="1"/>
    <col min="9" max="9" width="9.28125" style="1147" customWidth="1"/>
    <col min="10" max="10" width="10.28125" style="1147" customWidth="1"/>
    <col min="11" max="12" width="9.28125" style="1147" customWidth="1"/>
    <col min="13" max="13" width="10.00390625" style="1147" customWidth="1"/>
    <col min="14" max="14" width="10.00390625" style="1148" customWidth="1"/>
    <col min="15" max="15" width="11.00390625" style="1148" bestFit="1" customWidth="1"/>
    <col min="16" max="16" width="9.8515625" style="1148" customWidth="1"/>
    <col min="17" max="16384" width="9.140625" style="1148" customWidth="1"/>
  </cols>
  <sheetData>
    <row r="1" spans="1:15" ht="14.25">
      <c r="A1" s="1144" t="s">
        <v>1186</v>
      </c>
      <c r="N1" s="514">
        <v>42116</v>
      </c>
      <c r="O1" s="515"/>
    </row>
    <row r="2" ht="14.25">
      <c r="A2" s="1144" t="s">
        <v>1285</v>
      </c>
    </row>
    <row r="3" ht="7.5" customHeight="1"/>
    <row r="4" spans="1:13" ht="16.5">
      <c r="A4" s="2430" t="s">
        <v>1188</v>
      </c>
      <c r="B4" s="2430"/>
      <c r="C4" s="2430"/>
      <c r="D4" s="2430"/>
      <c r="E4" s="2430"/>
      <c r="F4" s="2430"/>
      <c r="G4" s="2430"/>
      <c r="H4" s="2430"/>
      <c r="I4" s="2430"/>
      <c r="J4" s="2430"/>
      <c r="K4" s="2430"/>
      <c r="L4" s="2430"/>
      <c r="M4" s="2430"/>
    </row>
    <row r="5" ht="3" customHeight="1"/>
    <row r="6" spans="1:16" ht="15" customHeight="1">
      <c r="A6" s="2431" t="s">
        <v>254</v>
      </c>
      <c r="B6" s="2434" t="s">
        <v>1463</v>
      </c>
      <c r="C6" s="2434" t="s">
        <v>431</v>
      </c>
      <c r="D6" s="2429" t="s">
        <v>1659</v>
      </c>
      <c r="E6" s="2429"/>
      <c r="F6" s="2429"/>
      <c r="G6" s="2429"/>
      <c r="H6" s="2435" t="s">
        <v>1661</v>
      </c>
      <c r="I6" s="2436"/>
      <c r="J6" s="2436"/>
      <c r="K6" s="2436"/>
      <c r="L6" s="2436"/>
      <c r="M6" s="2436"/>
      <c r="N6" s="2436"/>
      <c r="O6" s="2436"/>
      <c r="P6" s="2437"/>
    </row>
    <row r="7" spans="1:16" ht="15" customHeight="1">
      <c r="A7" s="2432"/>
      <c r="B7" s="2424"/>
      <c r="C7" s="2424"/>
      <c r="D7" s="2424" t="s">
        <v>778</v>
      </c>
      <c r="E7" s="2424" t="s">
        <v>1158</v>
      </c>
      <c r="F7" s="2424" t="s">
        <v>779</v>
      </c>
      <c r="G7" s="2424" t="s">
        <v>780</v>
      </c>
      <c r="H7" s="2426" t="s">
        <v>1143</v>
      </c>
      <c r="I7" s="2427"/>
      <c r="J7" s="2428"/>
      <c r="K7" s="2426" t="s">
        <v>1148</v>
      </c>
      <c r="L7" s="2427"/>
      <c r="M7" s="2428"/>
      <c r="N7" s="2426" t="s">
        <v>18</v>
      </c>
      <c r="O7" s="2427"/>
      <c r="P7" s="2428"/>
    </row>
    <row r="8" spans="1:16" ht="28.5" customHeight="1">
      <c r="A8" s="2433"/>
      <c r="B8" s="2425"/>
      <c r="C8" s="2425"/>
      <c r="D8" s="2425"/>
      <c r="E8" s="2425"/>
      <c r="F8" s="2425"/>
      <c r="G8" s="2425"/>
      <c r="H8" s="2030" t="s">
        <v>397</v>
      </c>
      <c r="I8" s="2031" t="s">
        <v>395</v>
      </c>
      <c r="J8" s="2031" t="s">
        <v>396</v>
      </c>
      <c r="K8" s="2030" t="s">
        <v>397</v>
      </c>
      <c r="L8" s="2031" t="s">
        <v>395</v>
      </c>
      <c r="M8" s="2031" t="s">
        <v>396</v>
      </c>
      <c r="N8" s="2030" t="s">
        <v>397</v>
      </c>
      <c r="O8" s="2031" t="s">
        <v>395</v>
      </c>
      <c r="P8" s="2031" t="s">
        <v>396</v>
      </c>
    </row>
    <row r="9" spans="1:16" ht="14.25">
      <c r="A9" s="1152">
        <v>1</v>
      </c>
      <c r="B9" s="1153">
        <v>2</v>
      </c>
      <c r="C9" s="1154">
        <v>3</v>
      </c>
      <c r="D9" s="1152">
        <v>4</v>
      </c>
      <c r="E9" s="1153">
        <v>5</v>
      </c>
      <c r="F9" s="1153"/>
      <c r="G9" s="1154">
        <v>6</v>
      </c>
      <c r="H9" s="1152">
        <v>7</v>
      </c>
      <c r="I9" s="1153">
        <v>8</v>
      </c>
      <c r="J9" s="1154">
        <v>9</v>
      </c>
      <c r="K9" s="1152">
        <v>10</v>
      </c>
      <c r="L9" s="1153">
        <v>11</v>
      </c>
      <c r="M9" s="1154">
        <v>12</v>
      </c>
      <c r="N9" s="1152">
        <v>10</v>
      </c>
      <c r="O9" s="1153">
        <v>11</v>
      </c>
      <c r="P9" s="1154">
        <v>12</v>
      </c>
    </row>
    <row r="10" spans="1:16" ht="14.25">
      <c r="A10" s="2441" t="s">
        <v>1464</v>
      </c>
      <c r="B10" s="2441"/>
      <c r="C10" s="2441"/>
      <c r="D10" s="2441"/>
      <c r="E10" s="2441"/>
      <c r="F10" s="2441"/>
      <c r="G10" s="2441"/>
      <c r="H10" s="2441"/>
      <c r="I10" s="2441"/>
      <c r="J10" s="2441"/>
      <c r="K10" s="2441"/>
      <c r="L10" s="2441"/>
      <c r="M10" s="2441"/>
      <c r="N10" s="2421"/>
      <c r="O10" s="2422"/>
      <c r="P10" s="2423"/>
    </row>
    <row r="11" spans="1:16" ht="14.25">
      <c r="A11" s="1155" t="s">
        <v>1663</v>
      </c>
      <c r="B11" s="1156" t="s">
        <v>1465</v>
      </c>
      <c r="C11" s="1154" t="s">
        <v>222</v>
      </c>
      <c r="D11" s="1154">
        <v>1.759</v>
      </c>
      <c r="E11" s="1157">
        <f>'[4]4.1'!L30</f>
        <v>1.445</v>
      </c>
      <c r="F11" s="1158">
        <v>1.574</v>
      </c>
      <c r="G11" s="1159">
        <f>G13+G14</f>
        <v>0.95186974042</v>
      </c>
      <c r="H11" s="1159">
        <f>I11+J11</f>
        <v>0.95186974042</v>
      </c>
      <c r="I11" s="1159">
        <f>'4.1'!AR30</f>
        <v>0.5870405056375</v>
      </c>
      <c r="J11" s="1159">
        <f>'4.1'!AZ30</f>
        <v>0.36482923478250007</v>
      </c>
      <c r="K11" s="1159">
        <f>L11+M11</f>
        <v>0.95186974042</v>
      </c>
      <c r="L11" s="1159">
        <f>'4.1'!AR30</f>
        <v>0.5870405056375</v>
      </c>
      <c r="M11" s="1159">
        <f>'4.1'!AZ30</f>
        <v>0.36482923478250007</v>
      </c>
      <c r="N11" s="1159">
        <f>O11+P11</f>
        <v>0.95186974042</v>
      </c>
      <c r="O11" s="1159">
        <f>'4.1'!AR30</f>
        <v>0.5870405056375</v>
      </c>
      <c r="P11" s="1159">
        <f>'4.1'!AZ30</f>
        <v>0.36482923478250007</v>
      </c>
    </row>
    <row r="12" spans="1:16" ht="14.25">
      <c r="A12" s="1155"/>
      <c r="B12" s="1160" t="s">
        <v>1688</v>
      </c>
      <c r="C12" s="1154"/>
      <c r="D12" s="1154"/>
      <c r="E12" s="1157"/>
      <c r="F12" s="1158"/>
      <c r="G12" s="1161"/>
      <c r="H12" s="1162"/>
      <c r="I12" s="1163"/>
      <c r="J12" s="1163"/>
      <c r="K12" s="1162"/>
      <c r="L12" s="1163"/>
      <c r="M12" s="1163"/>
      <c r="N12" s="1162"/>
      <c r="O12" s="1163"/>
      <c r="P12" s="1163"/>
    </row>
    <row r="13" spans="1:16" ht="14.25">
      <c r="A13" s="1155" t="s">
        <v>424</v>
      </c>
      <c r="B13" s="1164" t="s">
        <v>1466</v>
      </c>
      <c r="C13" s="1154" t="s">
        <v>222</v>
      </c>
      <c r="D13" s="1154">
        <v>1.614</v>
      </c>
      <c r="E13" s="1157">
        <f>E11-E17</f>
        <v>1.31666108</v>
      </c>
      <c r="F13" s="1158">
        <v>1.45</v>
      </c>
      <c r="G13" s="1159">
        <f>K13</f>
        <v>0.8928567314200001</v>
      </c>
      <c r="H13" s="1165">
        <f>H11-H14</f>
        <v>0.8928567314200001</v>
      </c>
      <c r="I13" s="1165">
        <f aca="true" t="shared" si="0" ref="I13:P13">I11-I14</f>
        <v>0.5509770001375</v>
      </c>
      <c r="J13" s="1165">
        <f>J11-J14</f>
        <v>0.34187973128250004</v>
      </c>
      <c r="K13" s="1165">
        <f t="shared" si="0"/>
        <v>0.8928567314200001</v>
      </c>
      <c r="L13" s="1165">
        <f t="shared" si="0"/>
        <v>0.5509770001375</v>
      </c>
      <c r="M13" s="1165">
        <f t="shared" si="0"/>
        <v>0.34187973128250004</v>
      </c>
      <c r="N13" s="1165">
        <f t="shared" si="0"/>
        <v>0.8928567314200001</v>
      </c>
      <c r="O13" s="1165">
        <f t="shared" si="0"/>
        <v>0.5509770001375</v>
      </c>
      <c r="P13" s="1165">
        <f t="shared" si="0"/>
        <v>0.34187973128250004</v>
      </c>
    </row>
    <row r="14" spans="1:16" ht="14.25">
      <c r="A14" s="1155" t="s">
        <v>425</v>
      </c>
      <c r="B14" s="1164" t="s">
        <v>1467</v>
      </c>
      <c r="C14" s="1154" t="s">
        <v>222</v>
      </c>
      <c r="D14" s="1154">
        <v>0.145</v>
      </c>
      <c r="E14" s="1157">
        <f>E17</f>
        <v>0.12833892000000002</v>
      </c>
      <c r="F14" s="1158">
        <v>0.124</v>
      </c>
      <c r="G14" s="1159">
        <f>K14</f>
        <v>0.05901300899999999</v>
      </c>
      <c r="H14" s="1166">
        <f aca="true" t="shared" si="1" ref="H14:P14">H17</f>
        <v>0.05901300899999999</v>
      </c>
      <c r="I14" s="1166">
        <f t="shared" si="1"/>
        <v>0.03606350549999999</v>
      </c>
      <c r="J14" s="1166">
        <f t="shared" si="1"/>
        <v>0.0229495035</v>
      </c>
      <c r="K14" s="1166">
        <f t="shared" si="1"/>
        <v>0.05901300899999999</v>
      </c>
      <c r="L14" s="1166">
        <f t="shared" si="1"/>
        <v>0.03606350549999999</v>
      </c>
      <c r="M14" s="1166">
        <f t="shared" si="1"/>
        <v>0.0229495035</v>
      </c>
      <c r="N14" s="1166">
        <f t="shared" si="1"/>
        <v>0.05901300899999999</v>
      </c>
      <c r="O14" s="1166">
        <f t="shared" si="1"/>
        <v>0.03606350549999999</v>
      </c>
      <c r="P14" s="1166">
        <f t="shared" si="1"/>
        <v>0.0229495035</v>
      </c>
    </row>
    <row r="15" spans="1:16" ht="14.25">
      <c r="A15" s="1155"/>
      <c r="B15" s="1160" t="s">
        <v>1688</v>
      </c>
      <c r="C15" s="1154"/>
      <c r="D15" s="1154"/>
      <c r="E15" s="1157"/>
      <c r="F15" s="1158"/>
      <c r="G15" s="1161"/>
      <c r="H15" s="1165"/>
      <c r="I15" s="1167"/>
      <c r="J15" s="1167"/>
      <c r="K15" s="1165"/>
      <c r="L15" s="1167"/>
      <c r="M15" s="1167"/>
      <c r="N15" s="1165"/>
      <c r="O15" s="1167"/>
      <c r="P15" s="1167"/>
    </row>
    <row r="16" spans="1:16" ht="14.25">
      <c r="A16" s="1155" t="s">
        <v>1468</v>
      </c>
      <c r="B16" s="1168" t="s">
        <v>1469</v>
      </c>
      <c r="C16" s="1154" t="s">
        <v>222</v>
      </c>
      <c r="D16" s="1154"/>
      <c r="E16" s="1157"/>
      <c r="F16" s="1158"/>
      <c r="G16" s="1161"/>
      <c r="H16" s="1162"/>
      <c r="I16" s="1163"/>
      <c r="J16" s="1163"/>
      <c r="K16" s="1162"/>
      <c r="L16" s="1163"/>
      <c r="M16" s="1163"/>
      <c r="N16" s="1162"/>
      <c r="O16" s="1163"/>
      <c r="P16" s="1163"/>
    </row>
    <row r="17" spans="1:16" ht="14.25">
      <c r="A17" s="1155" t="s">
        <v>1470</v>
      </c>
      <c r="B17" s="1236" t="s">
        <v>1471</v>
      </c>
      <c r="C17" s="1154" t="s">
        <v>222</v>
      </c>
      <c r="D17" s="1154">
        <v>0.145</v>
      </c>
      <c r="E17" s="1157">
        <f>E18*E40</f>
        <v>0.12833892000000002</v>
      </c>
      <c r="F17" s="1158">
        <v>0.124</v>
      </c>
      <c r="G17" s="1163">
        <f>K17</f>
        <v>0.05901300899999999</v>
      </c>
      <c r="H17" s="1167">
        <f>I17+J17</f>
        <v>0.05901300899999999</v>
      </c>
      <c r="I17" s="1167">
        <f>'перечень строений'!I23/1000</f>
        <v>0.03606350549999999</v>
      </c>
      <c r="J17" s="1167">
        <f>'перечень строений'!J23/1000</f>
        <v>0.0229495035</v>
      </c>
      <c r="K17" s="1167">
        <f>L17+M17</f>
        <v>0.05901300899999999</v>
      </c>
      <c r="L17" s="1167">
        <f>I17</f>
        <v>0.03606350549999999</v>
      </c>
      <c r="M17" s="1167">
        <f>J17</f>
        <v>0.0229495035</v>
      </c>
      <c r="N17" s="1167">
        <f>H17</f>
        <v>0.05901300899999999</v>
      </c>
      <c r="O17" s="1167">
        <f>L17</f>
        <v>0.03606350549999999</v>
      </c>
      <c r="P17" s="1167">
        <f>J17</f>
        <v>0.0229495035</v>
      </c>
    </row>
    <row r="18" spans="1:16" ht="14.25">
      <c r="A18" s="1155" t="s">
        <v>232</v>
      </c>
      <c r="B18" s="1164" t="s">
        <v>1467</v>
      </c>
      <c r="C18" s="1154" t="s">
        <v>1472</v>
      </c>
      <c r="D18" s="1154">
        <v>2.926</v>
      </c>
      <c r="E18" s="1157">
        <f>'[4]4.2'!G26</f>
        <v>2.588</v>
      </c>
      <c r="F18" s="1158">
        <v>2.596</v>
      </c>
      <c r="G18" s="1167">
        <f>K18</f>
        <v>1.20681</v>
      </c>
      <c r="H18" s="1163">
        <f aca="true" t="shared" si="2" ref="H18:P18">H21</f>
        <v>1.20681</v>
      </c>
      <c r="I18" s="1163">
        <f t="shared" si="2"/>
        <v>0.7374949999999999</v>
      </c>
      <c r="J18" s="1163">
        <f t="shared" si="2"/>
        <v>0.4693149999999999</v>
      </c>
      <c r="K18" s="1163">
        <f t="shared" si="2"/>
        <v>1.20681</v>
      </c>
      <c r="L18" s="1163">
        <f t="shared" si="2"/>
        <v>0.7374949999999999</v>
      </c>
      <c r="M18" s="1163">
        <f t="shared" si="2"/>
        <v>0.4693149999999999</v>
      </c>
      <c r="N18" s="1163">
        <f t="shared" si="2"/>
        <v>1.20681</v>
      </c>
      <c r="O18" s="1163">
        <f t="shared" si="2"/>
        <v>0.7374949999999999</v>
      </c>
      <c r="P18" s="1163">
        <f t="shared" si="2"/>
        <v>0.4693149999999999</v>
      </c>
    </row>
    <row r="19" spans="1:16" ht="14.25">
      <c r="A19" s="1155"/>
      <c r="B19" s="1160" t="s">
        <v>1688</v>
      </c>
      <c r="C19" s="1154"/>
      <c r="D19" s="1154"/>
      <c r="E19" s="1157"/>
      <c r="F19" s="1158"/>
      <c r="G19" s="1161"/>
      <c r="H19" s="1165"/>
      <c r="I19" s="1167"/>
      <c r="J19" s="1167"/>
      <c r="K19" s="1165"/>
      <c r="L19" s="1167"/>
      <c r="M19" s="1167"/>
      <c r="N19" s="1165"/>
      <c r="O19" s="1167"/>
      <c r="P19" s="1167"/>
    </row>
    <row r="20" spans="1:16" ht="14.25">
      <c r="A20" s="1155" t="s">
        <v>139</v>
      </c>
      <c r="B20" s="1168" t="s">
        <v>1469</v>
      </c>
      <c r="C20" s="1154" t="s">
        <v>1472</v>
      </c>
      <c r="D20" s="1154"/>
      <c r="E20" s="1157"/>
      <c r="F20" s="1158"/>
      <c r="G20" s="1161"/>
      <c r="H20" s="1162"/>
      <c r="I20" s="1163"/>
      <c r="J20" s="1163"/>
      <c r="K20" s="1162"/>
      <c r="L20" s="1163"/>
      <c r="M20" s="1163"/>
      <c r="N20" s="1162"/>
      <c r="O20" s="1163"/>
      <c r="P20" s="1163"/>
    </row>
    <row r="21" spans="1:16" ht="14.25">
      <c r="A21" s="1155" t="s">
        <v>140</v>
      </c>
      <c r="B21" s="1236" t="s">
        <v>1471</v>
      </c>
      <c r="C21" s="1154" t="s">
        <v>1472</v>
      </c>
      <c r="D21" s="1154">
        <v>2.926</v>
      </c>
      <c r="E21" s="1157">
        <f>'[4]4.2'!G26</f>
        <v>2.588</v>
      </c>
      <c r="F21" s="1158">
        <v>2.596</v>
      </c>
      <c r="G21" s="1166">
        <f>K21</f>
        <v>1.20681</v>
      </c>
      <c r="H21" s="1165">
        <f>I21+J21</f>
        <v>1.20681</v>
      </c>
      <c r="I21" s="1166">
        <f>'перечень строений'!I8/1000</f>
        <v>0.7374949999999999</v>
      </c>
      <c r="J21" s="1165">
        <f>'перечень строений'!J8/1000</f>
        <v>0.4693149999999999</v>
      </c>
      <c r="K21" s="1166">
        <f>L21+M21</f>
        <v>1.20681</v>
      </c>
      <c r="L21" s="1166">
        <f>I21</f>
        <v>0.7374949999999999</v>
      </c>
      <c r="M21" s="1165">
        <f>J21</f>
        <v>0.4693149999999999</v>
      </c>
      <c r="N21" s="1166">
        <f>O21+P21</f>
        <v>1.20681</v>
      </c>
      <c r="O21" s="1166">
        <f>I21</f>
        <v>0.7374949999999999</v>
      </c>
      <c r="P21" s="1166">
        <f>J21</f>
        <v>0.4693149999999999</v>
      </c>
    </row>
    <row r="22" spans="1:26" ht="15">
      <c r="A22" s="2441" t="s">
        <v>1473</v>
      </c>
      <c r="B22" s="2441"/>
      <c r="C22" s="2441"/>
      <c r="D22" s="2441"/>
      <c r="E22" s="2441"/>
      <c r="F22" s="2441"/>
      <c r="G22" s="2441"/>
      <c r="H22" s="2441"/>
      <c r="I22" s="2441"/>
      <c r="J22" s="2441"/>
      <c r="K22" s="2441"/>
      <c r="L22" s="2441"/>
      <c r="M22" s="2441"/>
      <c r="N22" s="2421"/>
      <c r="O22" s="2422"/>
      <c r="P22" s="2423"/>
      <c r="R22" s="1169"/>
      <c r="S22" s="1170"/>
      <c r="T22" s="1169"/>
      <c r="U22" s="1169"/>
      <c r="V22" s="1169"/>
      <c r="W22" s="1169"/>
      <c r="X22" s="1169"/>
      <c r="Y22" s="1169"/>
      <c r="Z22" s="1169"/>
    </row>
    <row r="23" spans="1:26" ht="16.5">
      <c r="A23" s="1155" t="s">
        <v>1665</v>
      </c>
      <c r="B23" s="1156" t="s">
        <v>1474</v>
      </c>
      <c r="C23" s="1154"/>
      <c r="D23" s="1154">
        <v>25</v>
      </c>
      <c r="E23" s="1154">
        <v>25</v>
      </c>
      <c r="F23" s="1171">
        <v>25</v>
      </c>
      <c r="G23" s="1172">
        <v>25</v>
      </c>
      <c r="H23" s="1172">
        <v>25</v>
      </c>
      <c r="I23" s="1172">
        <v>25</v>
      </c>
      <c r="J23" s="1172">
        <v>25</v>
      </c>
      <c r="K23" s="1172">
        <v>25</v>
      </c>
      <c r="L23" s="1172">
        <v>25</v>
      </c>
      <c r="M23" s="1172">
        <v>25</v>
      </c>
      <c r="N23" s="1172">
        <v>25</v>
      </c>
      <c r="O23" s="1172">
        <v>25</v>
      </c>
      <c r="P23" s="1172">
        <v>25</v>
      </c>
      <c r="R23" s="1173"/>
      <c r="S23" s="1169"/>
      <c r="T23" s="1169"/>
      <c r="U23" s="1169"/>
      <c r="V23" s="1169"/>
      <c r="W23" s="1169"/>
      <c r="X23" s="1169"/>
      <c r="Y23" s="1169"/>
      <c r="Z23" s="1169"/>
    </row>
    <row r="24" spans="1:26" ht="14.25">
      <c r="A24" s="1155" t="s">
        <v>932</v>
      </c>
      <c r="B24" s="1164" t="s">
        <v>1475</v>
      </c>
      <c r="C24" s="1154"/>
      <c r="D24" s="1154"/>
      <c r="E24" s="1154"/>
      <c r="F24" s="1171"/>
      <c r="G24" s="1172"/>
      <c r="H24" s="1172"/>
      <c r="I24" s="1172"/>
      <c r="J24" s="1172"/>
      <c r="K24" s="1174"/>
      <c r="L24" s="1174"/>
      <c r="M24" s="1174"/>
      <c r="N24" s="1175"/>
      <c r="O24" s="1175"/>
      <c r="P24" s="1175"/>
      <c r="R24" s="1169"/>
      <c r="S24" s="1063"/>
      <c r="T24" s="1176"/>
      <c r="U24" s="1176"/>
      <c r="V24" s="1176"/>
      <c r="W24" s="1176"/>
      <c r="X24" s="1176"/>
      <c r="Y24" s="1176"/>
      <c r="Z24" s="1169"/>
    </row>
    <row r="25" spans="1:26" ht="14.25">
      <c r="A25" s="1155" t="s">
        <v>1335</v>
      </c>
      <c r="B25" s="1164" t="s">
        <v>1476</v>
      </c>
      <c r="C25" s="1154"/>
      <c r="D25" s="1154"/>
      <c r="E25" s="1154"/>
      <c r="F25" s="1171"/>
      <c r="G25" s="1172"/>
      <c r="H25" s="1172"/>
      <c r="I25" s="1172"/>
      <c r="J25" s="1172"/>
      <c r="K25" s="1174"/>
      <c r="L25" s="1174"/>
      <c r="M25" s="1174"/>
      <c r="N25" s="1175"/>
      <c r="O25" s="1175"/>
      <c r="P25" s="1175"/>
      <c r="R25" s="1177"/>
      <c r="S25" s="858"/>
      <c r="T25" s="858"/>
      <c r="U25" s="858"/>
      <c r="V25" s="1178"/>
      <c r="W25" s="858"/>
      <c r="X25" s="1178"/>
      <c r="Y25" s="858"/>
      <c r="Z25" s="1169"/>
    </row>
    <row r="26" spans="1:26" ht="14.25">
      <c r="A26" s="1155" t="s">
        <v>1477</v>
      </c>
      <c r="B26" s="1164" t="s">
        <v>1478</v>
      </c>
      <c r="C26" s="1154"/>
      <c r="D26" s="1154"/>
      <c r="E26" s="1154"/>
      <c r="F26" s="1171"/>
      <c r="G26" s="1172"/>
      <c r="H26" s="1172"/>
      <c r="I26" s="1172"/>
      <c r="J26" s="1172"/>
      <c r="K26" s="1174"/>
      <c r="L26" s="1174"/>
      <c r="M26" s="1174"/>
      <c r="N26" s="1175"/>
      <c r="O26" s="1175"/>
      <c r="P26" s="1175"/>
      <c r="R26" s="1177"/>
      <c r="S26" s="1179"/>
      <c r="T26" s="1176"/>
      <c r="U26" s="1180"/>
      <c r="V26" s="1176"/>
      <c r="W26" s="1180"/>
      <c r="X26" s="1176"/>
      <c r="Y26" s="1180"/>
      <c r="Z26" s="1169"/>
    </row>
    <row r="27" spans="1:26" ht="14.25">
      <c r="A27" s="1155" t="s">
        <v>1479</v>
      </c>
      <c r="B27" s="1164" t="s">
        <v>1480</v>
      </c>
      <c r="C27" s="1154"/>
      <c r="D27" s="1154">
        <v>25</v>
      </c>
      <c r="E27" s="1154">
        <v>25</v>
      </c>
      <c r="F27" s="1171">
        <v>25</v>
      </c>
      <c r="G27" s="1172">
        <v>25</v>
      </c>
      <c r="H27" s="1172">
        <v>25</v>
      </c>
      <c r="I27" s="1172">
        <v>25</v>
      </c>
      <c r="J27" s="1172">
        <v>25</v>
      </c>
      <c r="K27" s="1172">
        <v>25</v>
      </c>
      <c r="L27" s="1172">
        <v>25</v>
      </c>
      <c r="M27" s="1172">
        <v>25</v>
      </c>
      <c r="N27" s="1172">
        <v>25</v>
      </c>
      <c r="O27" s="1172">
        <v>25</v>
      </c>
      <c r="P27" s="1172">
        <v>25</v>
      </c>
      <c r="R27" s="1177"/>
      <c r="S27" s="1169"/>
      <c r="T27" s="1176"/>
      <c r="U27" s="1176"/>
      <c r="V27" s="1176"/>
      <c r="W27" s="1176"/>
      <c r="X27" s="1176"/>
      <c r="Y27" s="1176"/>
      <c r="Z27" s="1169"/>
    </row>
    <row r="28" spans="1:26" ht="14.25">
      <c r="A28" s="1155" t="s">
        <v>1695</v>
      </c>
      <c r="B28" s="1156" t="s">
        <v>1481</v>
      </c>
      <c r="C28" s="1154"/>
      <c r="D28" s="1154"/>
      <c r="E28" s="1154"/>
      <c r="F28" s="1171"/>
      <c r="G28" s="1172"/>
      <c r="H28" s="1181"/>
      <c r="I28" s="1181"/>
      <c r="J28" s="1181"/>
      <c r="K28" s="1174"/>
      <c r="L28" s="1174"/>
      <c r="M28" s="1174"/>
      <c r="N28" s="1175"/>
      <c r="O28" s="1175"/>
      <c r="P28" s="1175"/>
      <c r="R28" s="1182"/>
      <c r="S28" s="858"/>
      <c r="T28" s="1183"/>
      <c r="U28" s="1184"/>
      <c r="V28" s="1183"/>
      <c r="W28" s="1184"/>
      <c r="X28" s="1183"/>
      <c r="Y28" s="1184"/>
      <c r="Z28" s="1169"/>
    </row>
    <row r="29" spans="1:26" ht="14.25">
      <c r="A29" s="1155" t="s">
        <v>706</v>
      </c>
      <c r="B29" s="1164" t="s">
        <v>1475</v>
      </c>
      <c r="C29" s="1154"/>
      <c r="D29" s="1154">
        <v>0.2</v>
      </c>
      <c r="E29" s="1154">
        <v>0.2</v>
      </c>
      <c r="F29" s="1171">
        <v>0.2</v>
      </c>
      <c r="G29" s="1172">
        <v>0.2</v>
      </c>
      <c r="H29" s="1172">
        <v>0.2</v>
      </c>
      <c r="I29" s="1172">
        <v>0.2</v>
      </c>
      <c r="J29" s="1172">
        <v>0.2</v>
      </c>
      <c r="K29" s="1172">
        <v>0.2</v>
      </c>
      <c r="L29" s="1172">
        <v>0.2</v>
      </c>
      <c r="M29" s="1172">
        <v>0.2</v>
      </c>
      <c r="N29" s="1172">
        <v>0.2</v>
      </c>
      <c r="O29" s="1172">
        <v>0.2</v>
      </c>
      <c r="P29" s="1172">
        <v>0.2</v>
      </c>
      <c r="R29" s="1185"/>
      <c r="S29" s="858"/>
      <c r="T29" s="1184"/>
      <c r="U29" s="1184"/>
      <c r="V29" s="1184"/>
      <c r="W29" s="1184"/>
      <c r="X29" s="1184"/>
      <c r="Y29" s="1184"/>
      <c r="Z29" s="1169"/>
    </row>
    <row r="30" spans="1:26" ht="14.25">
      <c r="A30" s="1155" t="s">
        <v>1338</v>
      </c>
      <c r="B30" s="1186" t="s">
        <v>1476</v>
      </c>
      <c r="C30" s="1154"/>
      <c r="D30" s="1154">
        <v>0.3</v>
      </c>
      <c r="E30" s="1154">
        <v>0.3</v>
      </c>
      <c r="F30" s="1171">
        <v>0.3</v>
      </c>
      <c r="G30" s="1172">
        <v>0.3</v>
      </c>
      <c r="H30" s="1172">
        <v>0.3</v>
      </c>
      <c r="I30" s="1172">
        <v>0.3</v>
      </c>
      <c r="J30" s="1172">
        <v>0.3</v>
      </c>
      <c r="K30" s="1172">
        <v>0.3</v>
      </c>
      <c r="L30" s="1172">
        <v>0.3</v>
      </c>
      <c r="M30" s="1172">
        <v>0.3</v>
      </c>
      <c r="N30" s="1172">
        <v>0.3</v>
      </c>
      <c r="O30" s="1172">
        <v>0.3</v>
      </c>
      <c r="P30" s="1172">
        <v>0.3</v>
      </c>
      <c r="R30" s="1187"/>
      <c r="S30" s="858"/>
      <c r="T30" s="1183"/>
      <c r="U30" s="1184"/>
      <c r="V30" s="1183"/>
      <c r="W30" s="1184"/>
      <c r="X30" s="1183"/>
      <c r="Y30" s="1184"/>
      <c r="Z30" s="1169"/>
    </row>
    <row r="31" spans="1:26" ht="14.25">
      <c r="A31" s="1155" t="s">
        <v>706</v>
      </c>
      <c r="B31" s="1164" t="s">
        <v>1478</v>
      </c>
      <c r="C31" s="1154"/>
      <c r="D31" s="1154">
        <v>0.2</v>
      </c>
      <c r="E31" s="1154">
        <v>0.2</v>
      </c>
      <c r="F31" s="1171">
        <v>0.1</v>
      </c>
      <c r="G31" s="1172">
        <v>0.1</v>
      </c>
      <c r="H31" s="1172">
        <v>0.1</v>
      </c>
      <c r="I31" s="1172">
        <v>0.1</v>
      </c>
      <c r="J31" s="1172">
        <v>0.1</v>
      </c>
      <c r="K31" s="1172">
        <v>0.1</v>
      </c>
      <c r="L31" s="1172">
        <v>0.1</v>
      </c>
      <c r="M31" s="1172">
        <v>0.1</v>
      </c>
      <c r="N31" s="1172">
        <v>0.1</v>
      </c>
      <c r="O31" s="1172">
        <v>0.1</v>
      </c>
      <c r="P31" s="1172">
        <v>0.1</v>
      </c>
      <c r="R31" s="1187"/>
      <c r="S31" s="858"/>
      <c r="T31" s="1184"/>
      <c r="U31" s="1184"/>
      <c r="V31" s="1184"/>
      <c r="W31" s="1184"/>
      <c r="X31" s="1184"/>
      <c r="Y31" s="1184"/>
      <c r="Z31" s="1169"/>
    </row>
    <row r="32" spans="1:26" ht="14.25">
      <c r="A32" s="1155" t="s">
        <v>1338</v>
      </c>
      <c r="B32" s="1186" t="s">
        <v>1480</v>
      </c>
      <c r="C32" s="1154"/>
      <c r="D32" s="1154">
        <v>0.3</v>
      </c>
      <c r="E32" s="1154">
        <v>0.3</v>
      </c>
      <c r="F32" s="1171">
        <v>0.2</v>
      </c>
      <c r="G32" s="1172">
        <v>0.2</v>
      </c>
      <c r="H32" s="1172">
        <v>0.2</v>
      </c>
      <c r="I32" s="1172">
        <v>0.2</v>
      </c>
      <c r="J32" s="1172">
        <v>0.2</v>
      </c>
      <c r="K32" s="1172">
        <v>0.2</v>
      </c>
      <c r="L32" s="1172">
        <v>0.2</v>
      </c>
      <c r="M32" s="1172">
        <v>0.2</v>
      </c>
      <c r="N32" s="1172">
        <v>0.2</v>
      </c>
      <c r="O32" s="1172">
        <v>0.2</v>
      </c>
      <c r="P32" s="1172">
        <v>0.2</v>
      </c>
      <c r="R32" s="1187"/>
      <c r="S32" s="858"/>
      <c r="T32" s="1183"/>
      <c r="U32" s="1184"/>
      <c r="V32" s="1183"/>
      <c r="W32" s="1184"/>
      <c r="X32" s="1183"/>
      <c r="Y32" s="1184"/>
      <c r="Z32" s="1169"/>
    </row>
    <row r="33" spans="1:26" ht="39">
      <c r="A33" s="1155" t="s">
        <v>1657</v>
      </c>
      <c r="B33" s="1188" t="s">
        <v>783</v>
      </c>
      <c r="C33" s="1154"/>
      <c r="D33" s="1154">
        <v>0.2</v>
      </c>
      <c r="E33" s="1154">
        <v>0.2</v>
      </c>
      <c r="F33" s="1171">
        <v>0.2</v>
      </c>
      <c r="G33" s="1181">
        <v>0.2</v>
      </c>
      <c r="H33" s="1181">
        <v>0.2</v>
      </c>
      <c r="I33" s="1181">
        <v>0.2</v>
      </c>
      <c r="J33" s="1181">
        <v>0.2</v>
      </c>
      <c r="K33" s="1181">
        <v>0.2</v>
      </c>
      <c r="L33" s="1181">
        <v>0.2</v>
      </c>
      <c r="M33" s="1181">
        <v>0.2</v>
      </c>
      <c r="N33" s="1181">
        <v>0.2</v>
      </c>
      <c r="O33" s="1181">
        <v>0.2</v>
      </c>
      <c r="P33" s="1181">
        <v>0.2</v>
      </c>
      <c r="R33" s="1187"/>
      <c r="S33" s="858"/>
      <c r="T33" s="1184"/>
      <c r="U33" s="1184"/>
      <c r="V33" s="1184"/>
      <c r="W33" s="1184"/>
      <c r="X33" s="1184"/>
      <c r="Y33" s="1184"/>
      <c r="Z33" s="1169"/>
    </row>
    <row r="34" spans="1:26" ht="14.25">
      <c r="A34" s="2442" t="s">
        <v>1482</v>
      </c>
      <c r="B34" s="2443"/>
      <c r="C34" s="2443"/>
      <c r="D34" s="2443"/>
      <c r="E34" s="2443"/>
      <c r="F34" s="2443"/>
      <c r="G34" s="2443"/>
      <c r="H34" s="2443"/>
      <c r="I34" s="2443"/>
      <c r="J34" s="2443"/>
      <c r="K34" s="2443"/>
      <c r="L34" s="2443"/>
      <c r="M34" s="2443"/>
      <c r="N34" s="2421"/>
      <c r="O34" s="2422"/>
      <c r="P34" s="2423"/>
      <c r="R34" s="1187"/>
      <c r="S34" s="858"/>
      <c r="T34" s="1183"/>
      <c r="U34" s="1184"/>
      <c r="V34" s="1183"/>
      <c r="W34" s="1184"/>
      <c r="X34" s="1183"/>
      <c r="Y34" s="1184"/>
      <c r="Z34" s="1169"/>
    </row>
    <row r="35" spans="1:26" ht="14.25">
      <c r="A35" s="1155" t="s">
        <v>1668</v>
      </c>
      <c r="B35" s="1189" t="s">
        <v>784</v>
      </c>
      <c r="C35" s="1154" t="s">
        <v>1483</v>
      </c>
      <c r="D35" s="1154">
        <v>46.76</v>
      </c>
      <c r="E35" s="1154">
        <v>46.76</v>
      </c>
      <c r="F35" s="1171">
        <v>45.135</v>
      </c>
      <c r="G35" s="1190">
        <f>G37</f>
        <v>47.295</v>
      </c>
      <c r="H35" s="1190">
        <v>45.14</v>
      </c>
      <c r="I35" s="1190">
        <v>45.14</v>
      </c>
      <c r="J35" s="1190">
        <v>45.14</v>
      </c>
      <c r="K35" s="1190">
        <v>45.14</v>
      </c>
      <c r="L35" s="1190">
        <v>45.14</v>
      </c>
      <c r="M35" s="1190">
        <v>45.14</v>
      </c>
      <c r="N35" s="1190">
        <v>45.14</v>
      </c>
      <c r="O35" s="1190">
        <v>45.14</v>
      </c>
      <c r="P35" s="1190">
        <v>45.14</v>
      </c>
      <c r="R35" s="1187"/>
      <c r="S35" s="858"/>
      <c r="T35" s="1191"/>
      <c r="U35" s="1184"/>
      <c r="V35" s="1184"/>
      <c r="W35" s="1184"/>
      <c r="X35" s="1184"/>
      <c r="Y35" s="1184"/>
      <c r="Z35" s="1169"/>
    </row>
    <row r="36" spans="1:26" ht="14.25">
      <c r="A36" s="1155" t="s">
        <v>936</v>
      </c>
      <c r="B36" s="1168" t="s">
        <v>1469</v>
      </c>
      <c r="C36" s="1154" t="s">
        <v>1483</v>
      </c>
      <c r="D36" s="1154"/>
      <c r="E36" s="1154"/>
      <c r="F36" s="1171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R36" s="1187"/>
      <c r="S36" s="858"/>
      <c r="T36" s="1193"/>
      <c r="U36" s="1184"/>
      <c r="V36" s="1183"/>
      <c r="W36" s="1184"/>
      <c r="X36" s="1183"/>
      <c r="Y36" s="1184"/>
      <c r="Z36" s="1169"/>
    </row>
    <row r="37" spans="1:26" ht="14.25">
      <c r="A37" s="1155" t="s">
        <v>1340</v>
      </c>
      <c r="B37" s="1168" t="s">
        <v>1471</v>
      </c>
      <c r="C37" s="1154" t="s">
        <v>1483</v>
      </c>
      <c r="D37" s="1154">
        <v>46.76</v>
      </c>
      <c r="E37" s="1154">
        <v>46.76</v>
      </c>
      <c r="F37" s="1171">
        <v>45.135</v>
      </c>
      <c r="G37" s="1190">
        <f>(52.55+(52.55-52.55*G33))/2</f>
        <v>47.295</v>
      </c>
      <c r="H37" s="1190">
        <f aca="true" t="shared" si="3" ref="H37:P37">H35</f>
        <v>45.14</v>
      </c>
      <c r="I37" s="1190">
        <f t="shared" si="3"/>
        <v>45.14</v>
      </c>
      <c r="J37" s="1190">
        <f t="shared" si="3"/>
        <v>45.14</v>
      </c>
      <c r="K37" s="1190">
        <f t="shared" si="3"/>
        <v>45.14</v>
      </c>
      <c r="L37" s="1190">
        <f t="shared" si="3"/>
        <v>45.14</v>
      </c>
      <c r="M37" s="1190">
        <f t="shared" si="3"/>
        <v>45.14</v>
      </c>
      <c r="N37" s="1190">
        <f t="shared" si="3"/>
        <v>45.14</v>
      </c>
      <c r="O37" s="1190">
        <f t="shared" si="3"/>
        <v>45.14</v>
      </c>
      <c r="P37" s="1190">
        <f t="shared" si="3"/>
        <v>45.14</v>
      </c>
      <c r="R37" s="1187"/>
      <c r="S37" s="858"/>
      <c r="T37" s="1183"/>
      <c r="U37" s="1184"/>
      <c r="V37" s="1183"/>
      <c r="W37" s="1184"/>
      <c r="X37" s="1183"/>
      <c r="Y37" s="1184"/>
      <c r="Z37" s="1169"/>
    </row>
    <row r="38" spans="1:26" ht="14.25">
      <c r="A38" s="1155" t="s">
        <v>1669</v>
      </c>
      <c r="B38" s="1189" t="s">
        <v>1484</v>
      </c>
      <c r="C38" s="1154" t="s">
        <v>1483</v>
      </c>
      <c r="D38" s="1154">
        <v>5</v>
      </c>
      <c r="E38" s="1154">
        <v>5</v>
      </c>
      <c r="F38" s="1171"/>
      <c r="G38" s="1192">
        <v>5</v>
      </c>
      <c r="H38" s="1192">
        <v>5</v>
      </c>
      <c r="I38" s="1192">
        <v>5</v>
      </c>
      <c r="J38" s="1192">
        <v>5</v>
      </c>
      <c r="K38" s="1192">
        <v>5</v>
      </c>
      <c r="L38" s="1192">
        <v>5</v>
      </c>
      <c r="M38" s="1192">
        <v>5</v>
      </c>
      <c r="N38" s="1192">
        <v>5</v>
      </c>
      <c r="O38" s="1192">
        <v>5</v>
      </c>
      <c r="P38" s="1192">
        <v>5</v>
      </c>
      <c r="R38" s="1187"/>
      <c r="S38" s="1194"/>
      <c r="T38" s="858"/>
      <c r="U38" s="1195"/>
      <c r="V38" s="858"/>
      <c r="W38" s="1195"/>
      <c r="X38" s="858"/>
      <c r="Y38" s="1195"/>
      <c r="Z38" s="1169"/>
    </row>
    <row r="39" spans="1:26" ht="26.25">
      <c r="A39" s="1155" t="s">
        <v>426</v>
      </c>
      <c r="B39" s="1164" t="s">
        <v>1485</v>
      </c>
      <c r="C39" s="1154" t="s">
        <v>781</v>
      </c>
      <c r="D39" s="1154">
        <v>989.81</v>
      </c>
      <c r="E39" s="1154">
        <v>989.81</v>
      </c>
      <c r="F39" s="1171">
        <v>990.2</v>
      </c>
      <c r="G39" s="1196">
        <v>989.27</v>
      </c>
      <c r="H39" s="1196">
        <v>983.19</v>
      </c>
      <c r="I39" s="1196">
        <v>983.19</v>
      </c>
      <c r="J39" s="1196">
        <v>983.19</v>
      </c>
      <c r="K39" s="1196">
        <v>983.19</v>
      </c>
      <c r="L39" s="1196">
        <v>983.19</v>
      </c>
      <c r="M39" s="1196">
        <v>983.19</v>
      </c>
      <c r="N39" s="1196">
        <v>983.19</v>
      </c>
      <c r="O39" s="1196">
        <v>983.19</v>
      </c>
      <c r="P39" s="1196">
        <v>983.19</v>
      </c>
      <c r="R39" s="1187"/>
      <c r="S39" s="1197"/>
      <c r="T39" s="1198"/>
      <c r="U39" s="1185"/>
      <c r="V39" s="1185"/>
      <c r="W39" s="1199"/>
      <c r="X39" s="1199"/>
      <c r="Y39" s="1199"/>
      <c r="Z39" s="1185"/>
    </row>
    <row r="40" spans="1:26" ht="26.25">
      <c r="A40" s="1155" t="s">
        <v>237</v>
      </c>
      <c r="B40" s="1164" t="s">
        <v>434</v>
      </c>
      <c r="C40" s="1154" t="s">
        <v>435</v>
      </c>
      <c r="D40" s="1154">
        <v>0.04959</v>
      </c>
      <c r="E40" s="1154">
        <v>0.04959</v>
      </c>
      <c r="F40" s="1171">
        <v>0.04769</v>
      </c>
      <c r="G40" s="1200">
        <f>1/1000000*G39*(G35-G38)*(1+G33)</f>
        <v>0.050209409579999996</v>
      </c>
      <c r="H40" s="1200">
        <v>0.04769</v>
      </c>
      <c r="I40" s="1200">
        <v>0.04769</v>
      </c>
      <c r="J40" s="1200">
        <v>0.04769</v>
      </c>
      <c r="K40" s="1200">
        <v>0.04769</v>
      </c>
      <c r="L40" s="1200">
        <v>0.04769</v>
      </c>
      <c r="M40" s="1200">
        <v>0.04769</v>
      </c>
      <c r="N40" s="1200">
        <v>0.04769</v>
      </c>
      <c r="O40" s="1200">
        <v>0.04769</v>
      </c>
      <c r="P40" s="1200">
        <v>0.04769</v>
      </c>
      <c r="R40" s="1201"/>
      <c r="S40" s="1202"/>
      <c r="T40" s="1203"/>
      <c r="U40" s="1185"/>
      <c r="V40" s="1185"/>
      <c r="W40" s="1199"/>
      <c r="X40" s="1199"/>
      <c r="Y40" s="1199"/>
      <c r="Z40" s="1185"/>
    </row>
    <row r="41" spans="1:16" ht="14.25">
      <c r="A41" s="2443" t="s">
        <v>436</v>
      </c>
      <c r="B41" s="2443"/>
      <c r="C41" s="2443"/>
      <c r="D41" s="2443"/>
      <c r="E41" s="2443"/>
      <c r="F41" s="2443"/>
      <c r="G41" s="2443"/>
      <c r="H41" s="2443"/>
      <c r="I41" s="2443"/>
      <c r="J41" s="2443"/>
      <c r="K41" s="2443"/>
      <c r="L41" s="2443"/>
      <c r="M41" s="2443"/>
      <c r="N41" s="2421"/>
      <c r="O41" s="2422"/>
      <c r="P41" s="2423"/>
    </row>
    <row r="42" spans="1:16" ht="14.25">
      <c r="A42" s="1155" t="s">
        <v>203</v>
      </c>
      <c r="B42" s="1164" t="s">
        <v>437</v>
      </c>
      <c r="C42" s="1154" t="s">
        <v>217</v>
      </c>
      <c r="D42" s="1204">
        <f>'[4]6.4'!J36</f>
        <v>11572.77</v>
      </c>
      <c r="E42" s="1204" t="e">
        <f>'[4]6.4'!M36</f>
        <v>#REF!</v>
      </c>
      <c r="F42" s="1204">
        <v>11327.48</v>
      </c>
      <c r="G42" s="1204" t="e">
        <f>'[4]6.4'!S36</f>
        <v>#REF!</v>
      </c>
      <c r="H42" s="1205">
        <f>'6.4'!P36</f>
        <v>17621.91943857015</v>
      </c>
      <c r="I42" s="1205">
        <f>'6.4'!S36</f>
        <v>15319.10678297905</v>
      </c>
      <c r="J42" s="1205">
        <f>'6.4'!V36</f>
        <v>21087.907013156237</v>
      </c>
      <c r="K42" s="1205">
        <f>'6.4'!Y36</f>
        <v>17638.253827714572</v>
      </c>
      <c r="L42" s="1205">
        <f>'6.4'!AB36</f>
        <v>15441.787512417182</v>
      </c>
      <c r="M42" s="1205">
        <f>'6.4'!AE36</f>
        <v>20912.749771156872</v>
      </c>
      <c r="N42" s="1237">
        <f>'6.4'!AH36</f>
        <v>18580.33727583827</v>
      </c>
      <c r="O42" s="1237">
        <f>'6.4'!AK36</f>
        <v>16384.913984449584</v>
      </c>
      <c r="P42" s="1237">
        <f>'6.4'!AN36</f>
        <v>21837.04203279212</v>
      </c>
    </row>
    <row r="43" spans="1:16" ht="26.25">
      <c r="A43" s="1155" t="s">
        <v>205</v>
      </c>
      <c r="B43" s="1164" t="s">
        <v>438</v>
      </c>
      <c r="C43" s="1154" t="s">
        <v>217</v>
      </c>
      <c r="D43" s="1154"/>
      <c r="E43" s="1154"/>
      <c r="F43" s="1154">
        <v>3450</v>
      </c>
      <c r="G43" s="1154"/>
      <c r="H43" s="1206"/>
      <c r="I43" s="1206"/>
      <c r="J43" s="1206"/>
      <c r="K43" s="1207"/>
      <c r="L43" s="1207"/>
      <c r="M43" s="1207"/>
      <c r="N43" s="1208"/>
      <c r="O43" s="1208"/>
      <c r="P43" s="1208"/>
    </row>
    <row r="44" spans="1:16" ht="14.25">
      <c r="A44" s="1155" t="s">
        <v>207</v>
      </c>
      <c r="B44" s="1164" t="s">
        <v>439</v>
      </c>
      <c r="C44" s="1154" t="s">
        <v>440</v>
      </c>
      <c r="D44" s="1154">
        <v>45.56</v>
      </c>
      <c r="E44" s="1154">
        <v>45.56</v>
      </c>
      <c r="F44" s="1154">
        <v>48.22</v>
      </c>
      <c r="G44" s="1154">
        <f>'[4]4.8'!M12*1000</f>
        <v>48.02</v>
      </c>
      <c r="H44" s="1205">
        <f>'4.8'!D38*1000</f>
        <v>57.4085383515785</v>
      </c>
      <c r="I44" s="1205">
        <f>'4.8'!G38*1000</f>
        <v>55.800000000000004</v>
      </c>
      <c r="J44" s="1205">
        <f>'4.8'!J38*1000</f>
        <v>59.4828</v>
      </c>
      <c r="K44" s="1205">
        <f>'4.8'!D50*1000</f>
        <v>61.223053423232855</v>
      </c>
      <c r="L44" s="1205">
        <f>'4.8'!G50*1000</f>
        <v>59.4828</v>
      </c>
      <c r="M44" s="1205">
        <f>'4.8'!J50*1000</f>
        <v>63.46814760000001</v>
      </c>
      <c r="N44" s="1237">
        <f>'4.8'!D62*1000</f>
        <v>65.32499800258948</v>
      </c>
      <c r="O44" s="1237">
        <f>'4.8'!G62*1000</f>
        <v>63.46814760000001</v>
      </c>
      <c r="P44" s="1237">
        <f>'4.8'!J62*1000</f>
        <v>67.72051348920002</v>
      </c>
    </row>
    <row r="45" spans="1:16" ht="26.25">
      <c r="A45" s="1155" t="s">
        <v>214</v>
      </c>
      <c r="B45" s="1164" t="s">
        <v>441</v>
      </c>
      <c r="C45" s="1154" t="s">
        <v>440</v>
      </c>
      <c r="D45" s="1154">
        <v>45.56</v>
      </c>
      <c r="E45" s="1154">
        <f aca="true" t="shared" si="4" ref="E45:P45">E44</f>
        <v>45.56</v>
      </c>
      <c r="F45" s="1154">
        <f t="shared" si="4"/>
        <v>48.22</v>
      </c>
      <c r="G45" s="1154">
        <f t="shared" si="4"/>
        <v>48.02</v>
      </c>
      <c r="H45" s="1204">
        <f t="shared" si="4"/>
        <v>57.4085383515785</v>
      </c>
      <c r="I45" s="1204">
        <f t="shared" si="4"/>
        <v>55.800000000000004</v>
      </c>
      <c r="J45" s="1204">
        <f t="shared" si="4"/>
        <v>59.4828</v>
      </c>
      <c r="K45" s="1204">
        <f t="shared" si="4"/>
        <v>61.223053423232855</v>
      </c>
      <c r="L45" s="1204">
        <f t="shared" si="4"/>
        <v>59.4828</v>
      </c>
      <c r="M45" s="1204">
        <f t="shared" si="4"/>
        <v>63.46814760000001</v>
      </c>
      <c r="N45" s="1204">
        <f t="shared" si="4"/>
        <v>65.32499800258948</v>
      </c>
      <c r="O45" s="1204">
        <f t="shared" si="4"/>
        <v>63.46814760000001</v>
      </c>
      <c r="P45" s="1204">
        <f t="shared" si="4"/>
        <v>67.72051348920002</v>
      </c>
    </row>
    <row r="46" spans="1:16" ht="14.25">
      <c r="A46" s="2444"/>
      <c r="B46" s="2443"/>
      <c r="C46" s="2443"/>
      <c r="D46" s="2443"/>
      <c r="E46" s="2443"/>
      <c r="F46" s="2443"/>
      <c r="G46" s="2443"/>
      <c r="H46" s="2443"/>
      <c r="I46" s="2443"/>
      <c r="J46" s="2443"/>
      <c r="K46" s="2443"/>
      <c r="L46" s="2443"/>
      <c r="M46" s="2443"/>
      <c r="N46" s="2421"/>
      <c r="O46" s="2422"/>
      <c r="P46" s="2423"/>
    </row>
    <row r="47" spans="1:16" ht="14.25">
      <c r="A47" s="1155" t="s">
        <v>428</v>
      </c>
      <c r="B47" s="1189" t="s">
        <v>785</v>
      </c>
      <c r="C47" s="1154" t="s">
        <v>440</v>
      </c>
      <c r="D47" s="1154">
        <v>619.45</v>
      </c>
      <c r="E47" s="1154"/>
      <c r="F47" s="1154">
        <v>588.42</v>
      </c>
      <c r="G47" s="1154"/>
      <c r="H47" s="1209">
        <f>(H42*H40)+H44</f>
        <v>897.7978763769889</v>
      </c>
      <c r="I47" s="1209">
        <f aca="true" t="shared" si="5" ref="I47:P47">(I42*I40)+I44</f>
        <v>786.368202480271</v>
      </c>
      <c r="J47" s="1209">
        <f t="shared" si="5"/>
        <v>1065.165085457421</v>
      </c>
      <c r="K47" s="1209">
        <f t="shared" si="5"/>
        <v>902.3913784669409</v>
      </c>
      <c r="L47" s="1209">
        <f t="shared" si="5"/>
        <v>795.9016464671755</v>
      </c>
      <c r="M47" s="1209">
        <f t="shared" si="5"/>
        <v>1060.7971841864712</v>
      </c>
      <c r="N47" s="1209">
        <f t="shared" si="5"/>
        <v>951.4212826873165</v>
      </c>
      <c r="O47" s="1209">
        <f t="shared" si="5"/>
        <v>844.8646955184008</v>
      </c>
      <c r="P47" s="1209">
        <f t="shared" si="5"/>
        <v>1109.1290480330563</v>
      </c>
    </row>
    <row r="48" spans="1:16" ht="14.25">
      <c r="A48" s="1155" t="s">
        <v>1307</v>
      </c>
      <c r="B48" s="1168" t="s">
        <v>1469</v>
      </c>
      <c r="C48" s="1154" t="s">
        <v>440</v>
      </c>
      <c r="D48" s="1154"/>
      <c r="E48" s="1154"/>
      <c r="F48" s="1154"/>
      <c r="G48" s="1154"/>
      <c r="H48" s="1209">
        <f>H47</f>
        <v>897.7978763769889</v>
      </c>
      <c r="I48" s="1209">
        <f aca="true" t="shared" si="6" ref="I48:P48">I47</f>
        <v>786.368202480271</v>
      </c>
      <c r="J48" s="1209">
        <f t="shared" si="6"/>
        <v>1065.165085457421</v>
      </c>
      <c r="K48" s="1209">
        <f t="shared" si="6"/>
        <v>902.3913784669409</v>
      </c>
      <c r="L48" s="1209">
        <f t="shared" si="6"/>
        <v>795.9016464671755</v>
      </c>
      <c r="M48" s="1209">
        <f t="shared" si="6"/>
        <v>1060.7971841864712</v>
      </c>
      <c r="N48" s="1209">
        <f t="shared" si="6"/>
        <v>951.4212826873165</v>
      </c>
      <c r="O48" s="1209">
        <f t="shared" si="6"/>
        <v>844.8646955184008</v>
      </c>
      <c r="P48" s="1209">
        <f t="shared" si="6"/>
        <v>1109.1290480330563</v>
      </c>
    </row>
    <row r="49" spans="1:16" ht="14.25">
      <c r="A49" s="1155" t="s">
        <v>1308</v>
      </c>
      <c r="B49" s="1168" t="s">
        <v>1471</v>
      </c>
      <c r="C49" s="1154" t="s">
        <v>440</v>
      </c>
      <c r="D49" s="1154">
        <v>619.45</v>
      </c>
      <c r="E49" s="1154"/>
      <c r="F49" s="1154">
        <v>588.42</v>
      </c>
      <c r="G49" s="1154"/>
      <c r="H49" s="1209"/>
      <c r="I49" s="1209"/>
      <c r="J49" s="1206"/>
      <c r="K49" s="1207"/>
      <c r="L49" s="1207"/>
      <c r="M49" s="1207"/>
      <c r="N49" s="1208"/>
      <c r="O49" s="1208"/>
      <c r="P49" s="1208"/>
    </row>
    <row r="50" spans="1:16" ht="26.25">
      <c r="A50" s="1155" t="s">
        <v>429</v>
      </c>
      <c r="B50" s="1189" t="s">
        <v>442</v>
      </c>
      <c r="C50" s="1154" t="s">
        <v>440</v>
      </c>
      <c r="D50" s="1154"/>
      <c r="E50" s="1154"/>
      <c r="F50" s="1154">
        <v>212.75</v>
      </c>
      <c r="G50" s="1154"/>
      <c r="H50" s="1209"/>
      <c r="I50" s="1209"/>
      <c r="J50" s="1206"/>
      <c r="K50" s="1207"/>
      <c r="L50" s="1207"/>
      <c r="M50" s="1207"/>
      <c r="N50" s="1208"/>
      <c r="O50" s="1208"/>
      <c r="P50" s="1208"/>
    </row>
    <row r="51" spans="1:16" ht="14.25">
      <c r="A51" s="1155" t="s">
        <v>307</v>
      </c>
      <c r="B51" s="1168" t="s">
        <v>1469</v>
      </c>
      <c r="C51" s="1154" t="s">
        <v>440</v>
      </c>
      <c r="D51" s="1154"/>
      <c r="E51" s="1154"/>
      <c r="F51" s="1154"/>
      <c r="G51" s="1154"/>
      <c r="H51" s="1154"/>
      <c r="I51" s="1154"/>
      <c r="J51" s="1207"/>
      <c r="K51" s="1207"/>
      <c r="L51" s="1207"/>
      <c r="M51" s="1207"/>
      <c r="N51" s="1208"/>
      <c r="O51" s="1208"/>
      <c r="P51" s="1208"/>
    </row>
    <row r="52" spans="1:16" ht="14.25">
      <c r="A52" s="1155" t="s">
        <v>1319</v>
      </c>
      <c r="B52" s="1168" t="s">
        <v>1471</v>
      </c>
      <c r="C52" s="1154" t="s">
        <v>440</v>
      </c>
      <c r="D52" s="1154"/>
      <c r="E52" s="1154"/>
      <c r="F52" s="1154">
        <v>212.75</v>
      </c>
      <c r="G52" s="1154"/>
      <c r="H52" s="1209"/>
      <c r="I52" s="1209"/>
      <c r="J52" s="1206"/>
      <c r="K52" s="1207"/>
      <c r="L52" s="1207"/>
      <c r="M52" s="1207"/>
      <c r="N52" s="1208"/>
      <c r="O52" s="1208"/>
      <c r="P52" s="1208"/>
    </row>
    <row r="53" spans="1:16" s="1214" customFormat="1" ht="13.5">
      <c r="A53" s="1210" t="s">
        <v>443</v>
      </c>
      <c r="B53" s="1211"/>
      <c r="C53" s="1212"/>
      <c r="D53" s="1212"/>
      <c r="E53" s="1213"/>
      <c r="F53" s="1213"/>
      <c r="G53" s="1213"/>
      <c r="H53" s="1213"/>
      <c r="I53" s="1213"/>
      <c r="J53" s="1213"/>
      <c r="K53" s="1213"/>
      <c r="L53" s="1213"/>
      <c r="M53" s="1213"/>
      <c r="N53" s="1211"/>
      <c r="O53" s="1211"/>
      <c r="P53" s="1211"/>
    </row>
    <row r="54" spans="1:16" s="1218" customFormat="1" ht="12.75">
      <c r="A54" s="1215"/>
      <c r="B54" s="1216" t="s">
        <v>444</v>
      </c>
      <c r="C54" s="1216"/>
      <c r="D54" s="1216"/>
      <c r="E54" s="1216"/>
      <c r="F54" s="1216"/>
      <c r="G54" s="1216"/>
      <c r="H54" s="1216"/>
      <c r="I54" s="1216"/>
      <c r="J54" s="1216"/>
      <c r="K54" s="1216"/>
      <c r="L54" s="1216"/>
      <c r="M54" s="1216"/>
      <c r="N54" s="1217"/>
      <c r="O54" s="1217"/>
      <c r="P54" s="1217"/>
    </row>
    <row r="55" spans="1:16" s="1214" customFormat="1" ht="13.5">
      <c r="A55" s="1219" t="s">
        <v>445</v>
      </c>
      <c r="B55" s="1220" t="s">
        <v>446</v>
      </c>
      <c r="C55" s="1220"/>
      <c r="D55" s="1220"/>
      <c r="E55" s="1220"/>
      <c r="F55" s="1220"/>
      <c r="G55" s="1220"/>
      <c r="H55" s="1220"/>
      <c r="I55" s="1220"/>
      <c r="J55" s="1220"/>
      <c r="K55" s="1220"/>
      <c r="L55" s="1220"/>
      <c r="M55" s="1220"/>
      <c r="N55" s="1211"/>
      <c r="O55" s="1211"/>
      <c r="P55" s="1211"/>
    </row>
    <row r="56" spans="1:16" s="1214" customFormat="1" ht="14.25">
      <c r="A56" s="1221"/>
      <c r="B56" s="1220" t="s">
        <v>786</v>
      </c>
      <c r="C56" s="1220"/>
      <c r="D56" s="1220"/>
      <c r="E56" s="1220"/>
      <c r="F56" s="1220"/>
      <c r="G56" s="1220"/>
      <c r="H56" s="1220"/>
      <c r="I56" s="1220"/>
      <c r="J56" s="1220"/>
      <c r="K56" s="1220"/>
      <c r="L56" s="1220"/>
      <c r="M56" s="1220"/>
      <c r="N56" s="1211"/>
      <c r="O56" s="1211"/>
      <c r="P56" s="1211"/>
    </row>
    <row r="57" spans="1:16" s="1214" customFormat="1" ht="13.5">
      <c r="A57" s="1221"/>
      <c r="B57" s="2438" t="s">
        <v>1182</v>
      </c>
      <c r="C57" s="2438"/>
      <c r="D57" s="2438"/>
      <c r="E57" s="2438"/>
      <c r="F57" s="2438"/>
      <c r="G57" s="2438"/>
      <c r="H57" s="2438"/>
      <c r="I57" s="2438"/>
      <c r="J57" s="2438"/>
      <c r="K57" s="2438"/>
      <c r="L57" s="2438"/>
      <c r="M57" s="2438"/>
      <c r="N57" s="1211"/>
      <c r="O57" s="1211"/>
      <c r="P57" s="1211"/>
    </row>
    <row r="58" spans="1:16" s="1214" customFormat="1" ht="13.5">
      <c r="A58" s="1221"/>
      <c r="B58" s="1222" t="s">
        <v>1183</v>
      </c>
      <c r="C58" s="1222"/>
      <c r="D58" s="1222"/>
      <c r="E58" s="1222"/>
      <c r="F58" s="1222"/>
      <c r="G58" s="1222"/>
      <c r="H58" s="1222"/>
      <c r="I58" s="1222"/>
      <c r="J58" s="1222"/>
      <c r="K58" s="1222"/>
      <c r="L58" s="1222"/>
      <c r="M58" s="1222"/>
      <c r="N58" s="1211"/>
      <c r="O58" s="1211"/>
      <c r="P58" s="1211"/>
    </row>
    <row r="59" spans="1:16" s="1218" customFormat="1" ht="14.25">
      <c r="A59" s="1215"/>
      <c r="B59" s="1223" t="s">
        <v>447</v>
      </c>
      <c r="C59" s="1224"/>
      <c r="D59" s="1224"/>
      <c r="E59" s="1224"/>
      <c r="F59" s="1224"/>
      <c r="G59" s="1225" t="s">
        <v>1184</v>
      </c>
      <c r="H59" s="1226"/>
      <c r="I59" s="1226"/>
      <c r="J59" s="1226"/>
      <c r="K59" s="1226"/>
      <c r="L59" s="1226"/>
      <c r="M59" s="1226"/>
      <c r="N59" s="1217"/>
      <c r="O59" s="1217"/>
      <c r="P59" s="1217"/>
    </row>
    <row r="60" spans="1:13" s="1214" customFormat="1" ht="13.5">
      <c r="A60" s="1221"/>
      <c r="B60" s="2439" t="s">
        <v>1185</v>
      </c>
      <c r="C60" s="2439"/>
      <c r="D60" s="2439"/>
      <c r="E60" s="2439"/>
      <c r="F60" s="2439"/>
      <c r="G60" s="2439"/>
      <c r="H60" s="2439"/>
      <c r="I60" s="2439"/>
      <c r="J60" s="2439"/>
      <c r="K60" s="2439"/>
      <c r="L60" s="2439"/>
      <c r="M60" s="2439"/>
    </row>
    <row r="61" spans="1:13" s="1214" customFormat="1" ht="27" customHeight="1">
      <c r="A61" s="1221"/>
      <c r="B61" s="2440" t="s">
        <v>448</v>
      </c>
      <c r="C61" s="2440"/>
      <c r="D61" s="2440"/>
      <c r="E61" s="2440"/>
      <c r="F61" s="2440"/>
      <c r="G61" s="2440"/>
      <c r="H61" s="2440"/>
      <c r="I61" s="2440"/>
      <c r="J61" s="2440"/>
      <c r="K61" s="2440"/>
      <c r="L61" s="2440"/>
      <c r="M61" s="2440"/>
    </row>
    <row r="62" spans="1:13" ht="15">
      <c r="A62" s="1227"/>
      <c r="B62" s="1228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</row>
    <row r="63" spans="1:13" s="1233" customFormat="1" ht="15">
      <c r="A63" s="1230"/>
      <c r="B63" s="1230" t="s">
        <v>782</v>
      </c>
      <c r="C63" s="1231"/>
      <c r="D63" s="1231"/>
      <c r="E63" s="1231"/>
      <c r="F63" s="1231"/>
      <c r="G63" s="1231"/>
      <c r="H63" s="1231"/>
      <c r="I63" s="1231"/>
      <c r="J63" s="1231"/>
      <c r="K63" s="1231"/>
      <c r="L63" s="1231"/>
      <c r="M63" s="1231"/>
    </row>
    <row r="64" spans="2:13" s="1233" customFormat="1" ht="14.25">
      <c r="B64" s="1234"/>
      <c r="C64" s="1235"/>
      <c r="D64" s="1235"/>
      <c r="E64" s="1232"/>
      <c r="F64" s="1232"/>
      <c r="G64" s="1232"/>
      <c r="H64" s="1232"/>
      <c r="I64" s="1232"/>
      <c r="J64" s="1232"/>
      <c r="K64" s="1232"/>
      <c r="L64" s="1232"/>
      <c r="M64" s="1232"/>
    </row>
    <row r="65" spans="2:13" s="1233" customFormat="1" ht="14.25">
      <c r="B65" s="1234"/>
      <c r="C65" s="1235"/>
      <c r="D65" s="1235"/>
      <c r="E65" s="1232"/>
      <c r="F65" s="1232"/>
      <c r="G65" s="1232"/>
      <c r="H65" s="1232"/>
      <c r="I65" s="1232"/>
      <c r="J65" s="1232"/>
      <c r="K65" s="1232"/>
      <c r="L65" s="1232"/>
      <c r="M65" s="1232"/>
    </row>
  </sheetData>
  <sheetProtection/>
  <protectedRanges>
    <protectedRange password="CC01" sqref="N1:O1" name="Диапазон1_1"/>
  </protectedRanges>
  <mergeCells count="26">
    <mergeCell ref="N41:P41"/>
    <mergeCell ref="N46:P46"/>
    <mergeCell ref="F7:F8"/>
    <mergeCell ref="N7:P7"/>
    <mergeCell ref="N10:P10"/>
    <mergeCell ref="N22:P22"/>
    <mergeCell ref="N34:P34"/>
    <mergeCell ref="H7:J7"/>
    <mergeCell ref="A4:M4"/>
    <mergeCell ref="A6:A8"/>
    <mergeCell ref="B6:B8"/>
    <mergeCell ref="C6:C8"/>
    <mergeCell ref="E7:E8"/>
    <mergeCell ref="G7:G8"/>
    <mergeCell ref="H6:P6"/>
    <mergeCell ref="D6:G6"/>
    <mergeCell ref="B57:M57"/>
    <mergeCell ref="B60:M60"/>
    <mergeCell ref="B61:M61"/>
    <mergeCell ref="K7:M7"/>
    <mergeCell ref="A10:M10"/>
    <mergeCell ref="A22:M22"/>
    <mergeCell ref="A34:M34"/>
    <mergeCell ref="A41:M41"/>
    <mergeCell ref="A46:M46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16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N74"/>
  <sheetViews>
    <sheetView defaultGridColor="0" view="pageBreakPreview" zoomScaleSheetLayoutView="100" zoomScalePageLayoutView="0" colorId="12" workbookViewId="0" topLeftCell="A1">
      <selection activeCell="V37" sqref="V37"/>
    </sheetView>
  </sheetViews>
  <sheetFormatPr defaultColWidth="9.140625" defaultRowHeight="15"/>
  <cols>
    <col min="1" max="1" width="10.00390625" style="327" customWidth="1"/>
    <col min="2" max="3" width="9.140625" style="327" customWidth="1"/>
    <col min="4" max="4" width="9.8515625" style="327" customWidth="1"/>
    <col min="5" max="5" width="9.140625" style="327" customWidth="1"/>
    <col min="6" max="6" width="9.8515625" style="327" customWidth="1"/>
    <col min="7" max="7" width="9.140625" style="327" customWidth="1"/>
    <col min="8" max="8" width="9.28125" style="327" customWidth="1"/>
    <col min="9" max="10" width="9.140625" style="327" customWidth="1"/>
    <col min="11" max="11" width="10.140625" style="327" customWidth="1"/>
    <col min="12" max="12" width="0.13671875" style="327" customWidth="1"/>
    <col min="13" max="14" width="9.140625" style="327" hidden="1" customWidth="1"/>
    <col min="15" max="16384" width="9.140625" style="327" customWidth="1"/>
  </cols>
  <sheetData>
    <row r="1" spans="1:14" ht="18" customHeight="1">
      <c r="A1" s="514"/>
      <c r="B1" s="516"/>
      <c r="F1" s="464" t="s">
        <v>1393</v>
      </c>
      <c r="G1"/>
      <c r="H1"/>
      <c r="I1"/>
      <c r="J1" s="465"/>
      <c r="K1" s="328"/>
      <c r="M1" s="329"/>
      <c r="N1" s="330"/>
    </row>
    <row r="2" spans="6:14" ht="21" customHeight="1">
      <c r="F2" s="466" t="s">
        <v>1394</v>
      </c>
      <c r="G2" s="467"/>
      <c r="H2" s="467"/>
      <c r="I2"/>
      <c r="J2" s="462"/>
      <c r="K2" s="331"/>
      <c r="L2" s="332"/>
      <c r="M2" s="333"/>
      <c r="N2" s="333"/>
    </row>
    <row r="3" spans="6:14" ht="24.75" customHeight="1">
      <c r="F3" s="466" t="s">
        <v>1395</v>
      </c>
      <c r="G3"/>
      <c r="H3"/>
      <c r="I3"/>
      <c r="J3"/>
      <c r="K3" s="332"/>
      <c r="L3" s="332"/>
      <c r="M3" s="333"/>
      <c r="N3" s="333"/>
    </row>
    <row r="4" spans="6:14" ht="17.25" customHeight="1">
      <c r="F4" s="466" t="s">
        <v>1571</v>
      </c>
      <c r="G4" s="468"/>
      <c r="H4"/>
      <c r="I4"/>
      <c r="J4"/>
      <c r="K4" s="332"/>
      <c r="L4" s="332"/>
      <c r="M4" s="335"/>
      <c r="N4" s="333"/>
    </row>
    <row r="5" spans="7:14" ht="12.75" customHeight="1">
      <c r="G5" s="334"/>
      <c r="H5" s="336"/>
      <c r="I5" s="332"/>
      <c r="J5" s="332"/>
      <c r="K5" s="332"/>
      <c r="L5" s="332"/>
      <c r="M5" s="333"/>
      <c r="N5" s="333"/>
    </row>
    <row r="6" spans="7:14" ht="19.5" customHeight="1">
      <c r="G6" s="334"/>
      <c r="M6" s="337"/>
      <c r="N6" s="337"/>
    </row>
    <row r="7" spans="13:14" ht="18" customHeight="1">
      <c r="M7" s="330"/>
      <c r="N7" s="337"/>
    </row>
    <row r="8" spans="13:14" ht="12.75" customHeight="1">
      <c r="M8" s="330"/>
      <c r="N8" s="337"/>
    </row>
    <row r="9" spans="13:14" ht="19.5" customHeight="1">
      <c r="M9" s="330"/>
      <c r="N9" s="337"/>
    </row>
    <row r="10" spans="1:14" ht="18.75" customHeight="1">
      <c r="A10" s="434" t="s">
        <v>1396</v>
      </c>
      <c r="B10" s="338"/>
      <c r="C10" s="339"/>
      <c r="D10" s="338"/>
      <c r="M10" s="330"/>
      <c r="N10" s="337"/>
    </row>
    <row r="11" spans="1:14" ht="19.5" customHeight="1">
      <c r="A11" s="434" t="s">
        <v>1398</v>
      </c>
      <c r="M11" s="330"/>
      <c r="N11" s="337"/>
    </row>
    <row r="12" spans="13:14" ht="12.75" customHeight="1">
      <c r="M12" s="330"/>
      <c r="N12" s="337"/>
    </row>
    <row r="13" spans="13:14" ht="12.75" customHeight="1">
      <c r="M13" s="330"/>
      <c r="N13" s="337"/>
    </row>
    <row r="14" spans="2:14" ht="12.75" customHeight="1" thickBot="1">
      <c r="B14" s="338"/>
      <c r="C14" s="339"/>
      <c r="D14" s="338"/>
      <c r="M14" s="330"/>
      <c r="N14" s="330"/>
    </row>
    <row r="15" spans="1:14" ht="12.75" customHeight="1" thickBot="1">
      <c r="A15" s="340"/>
      <c r="B15" s="340"/>
      <c r="C15" s="340"/>
      <c r="D15" s="341" t="s">
        <v>789</v>
      </c>
      <c r="E15" s="342"/>
      <c r="F15" s="342"/>
      <c r="G15" s="343"/>
      <c r="H15" s="469"/>
      <c r="M15" s="330"/>
      <c r="N15" s="337"/>
    </row>
    <row r="16" spans="1:14" ht="12.75" customHeight="1" thickBot="1">
      <c r="A16" s="340"/>
      <c r="B16" s="340"/>
      <c r="C16" s="340"/>
      <c r="D16" s="344" t="s">
        <v>790</v>
      </c>
      <c r="E16" s="345" t="s">
        <v>791</v>
      </c>
      <c r="F16" s="345" t="s">
        <v>792</v>
      </c>
      <c r="G16" s="344" t="s">
        <v>793</v>
      </c>
      <c r="H16" s="469"/>
      <c r="M16" s="330"/>
      <c r="N16" s="337"/>
    </row>
    <row r="17" spans="1:14" ht="12.75" customHeight="1">
      <c r="A17" s="340"/>
      <c r="B17" s="340"/>
      <c r="C17" s="340"/>
      <c r="D17" s="346">
        <v>-30</v>
      </c>
      <c r="E17" s="347">
        <v>92</v>
      </c>
      <c r="F17" s="348">
        <v>68</v>
      </c>
      <c r="G17" s="349">
        <f>E17-F17</f>
        <v>24</v>
      </c>
      <c r="H17" s="469"/>
      <c r="M17" s="330"/>
      <c r="N17" s="337"/>
    </row>
    <row r="18" spans="1:14" ht="12.75" customHeight="1">
      <c r="A18" s="340"/>
      <c r="B18" s="340"/>
      <c r="C18" s="340"/>
      <c r="D18" s="350">
        <v>-29</v>
      </c>
      <c r="E18" s="351">
        <v>90.5</v>
      </c>
      <c r="F18" s="352">
        <v>67</v>
      </c>
      <c r="G18" s="349">
        <f aca="true" t="shared" si="0" ref="G18:G56">E18-F18</f>
        <v>23.5</v>
      </c>
      <c r="H18" s="469"/>
      <c r="M18" s="330"/>
      <c r="N18" s="337"/>
    </row>
    <row r="19" spans="1:14" ht="12.75" customHeight="1">
      <c r="A19" s="340"/>
      <c r="B19" s="340"/>
      <c r="C19" s="340"/>
      <c r="D19" s="349">
        <v>-28</v>
      </c>
      <c r="E19" s="353">
        <v>89</v>
      </c>
      <c r="F19" s="354">
        <v>66</v>
      </c>
      <c r="G19" s="349">
        <f t="shared" si="0"/>
        <v>23</v>
      </c>
      <c r="H19" s="469"/>
      <c r="I19" s="355"/>
      <c r="J19" s="355"/>
      <c r="K19" s="355"/>
      <c r="L19" s="355"/>
      <c r="M19" s="356"/>
      <c r="N19" s="337"/>
    </row>
    <row r="20" spans="1:14" ht="12.75" customHeight="1">
      <c r="A20" s="340"/>
      <c r="B20" s="340"/>
      <c r="C20" s="340"/>
      <c r="D20" s="350">
        <v>-27</v>
      </c>
      <c r="E20" s="351">
        <v>87.5</v>
      </c>
      <c r="F20" s="352">
        <v>65</v>
      </c>
      <c r="G20" s="349">
        <f t="shared" si="0"/>
        <v>22.5</v>
      </c>
      <c r="H20" s="469"/>
      <c r="M20" s="330"/>
      <c r="N20" s="337"/>
    </row>
    <row r="21" spans="1:14" ht="12.75" customHeight="1">
      <c r="A21" s="340"/>
      <c r="B21" s="340"/>
      <c r="C21" s="340"/>
      <c r="D21" s="349">
        <v>-26</v>
      </c>
      <c r="E21" s="353">
        <v>86</v>
      </c>
      <c r="F21" s="354">
        <v>64</v>
      </c>
      <c r="G21" s="349">
        <f t="shared" si="0"/>
        <v>22</v>
      </c>
      <c r="H21" s="469"/>
      <c r="M21" s="330"/>
      <c r="N21" s="337"/>
    </row>
    <row r="22" spans="1:14" ht="12.75" customHeight="1">
      <c r="A22" s="340"/>
      <c r="B22" s="340"/>
      <c r="C22" s="340"/>
      <c r="D22" s="350">
        <v>-25</v>
      </c>
      <c r="E22" s="351">
        <v>84.5</v>
      </c>
      <c r="F22" s="352">
        <v>63</v>
      </c>
      <c r="G22" s="349">
        <f t="shared" si="0"/>
        <v>21.5</v>
      </c>
      <c r="H22" s="469"/>
      <c r="M22" s="330"/>
      <c r="N22" s="337"/>
    </row>
    <row r="23" spans="1:14" ht="12.75" customHeight="1">
      <c r="A23" s="340"/>
      <c r="B23" s="340"/>
      <c r="C23" s="340"/>
      <c r="D23" s="349">
        <v>-24</v>
      </c>
      <c r="E23" s="353">
        <v>83</v>
      </c>
      <c r="F23" s="354">
        <v>62</v>
      </c>
      <c r="G23" s="349">
        <f t="shared" si="0"/>
        <v>21</v>
      </c>
      <c r="H23" s="469"/>
      <c r="M23" s="330"/>
      <c r="N23" s="337"/>
    </row>
    <row r="24" spans="1:14" ht="12.75" customHeight="1">
      <c r="A24" s="340"/>
      <c r="B24" s="340"/>
      <c r="C24" s="340"/>
      <c r="D24" s="350">
        <v>-23</v>
      </c>
      <c r="E24" s="351">
        <v>81.5</v>
      </c>
      <c r="F24" s="352">
        <v>61</v>
      </c>
      <c r="G24" s="349">
        <f t="shared" si="0"/>
        <v>20.5</v>
      </c>
      <c r="H24" s="469"/>
      <c r="M24" s="330"/>
      <c r="N24" s="337"/>
    </row>
    <row r="25" spans="1:14" ht="12.75" customHeight="1">
      <c r="A25" s="340"/>
      <c r="B25" s="340"/>
      <c r="C25" s="340"/>
      <c r="D25" s="349">
        <v>-22</v>
      </c>
      <c r="E25" s="353">
        <v>80</v>
      </c>
      <c r="F25" s="354">
        <v>60</v>
      </c>
      <c r="G25" s="349">
        <f t="shared" si="0"/>
        <v>20</v>
      </c>
      <c r="H25" s="469"/>
      <c r="M25" s="330"/>
      <c r="N25" s="337"/>
    </row>
    <row r="26" spans="1:14" ht="12.75" customHeight="1">
      <c r="A26" s="340"/>
      <c r="B26" s="340"/>
      <c r="C26" s="340"/>
      <c r="D26" s="350">
        <v>-21</v>
      </c>
      <c r="E26" s="351">
        <v>78.5</v>
      </c>
      <c r="F26" s="352">
        <v>59</v>
      </c>
      <c r="G26" s="349">
        <f t="shared" si="0"/>
        <v>19.5</v>
      </c>
      <c r="H26" s="469"/>
      <c r="M26" s="330"/>
      <c r="N26" s="337"/>
    </row>
    <row r="27" spans="1:14" ht="12.75" customHeight="1">
      <c r="A27" s="340"/>
      <c r="B27" s="340"/>
      <c r="C27" s="340"/>
      <c r="D27" s="349">
        <v>-20</v>
      </c>
      <c r="E27" s="353">
        <v>77</v>
      </c>
      <c r="F27" s="354">
        <v>58</v>
      </c>
      <c r="G27" s="349">
        <f t="shared" si="0"/>
        <v>19</v>
      </c>
      <c r="H27" s="469"/>
      <c r="M27" s="330"/>
      <c r="N27" s="337"/>
    </row>
    <row r="28" spans="1:14" ht="12.75" customHeight="1">
      <c r="A28" s="340"/>
      <c r="B28" s="340"/>
      <c r="C28" s="340"/>
      <c r="D28" s="350">
        <v>-19</v>
      </c>
      <c r="E28" s="351">
        <v>75.5</v>
      </c>
      <c r="F28" s="352">
        <v>57</v>
      </c>
      <c r="G28" s="349">
        <f t="shared" si="0"/>
        <v>18.5</v>
      </c>
      <c r="H28" s="469"/>
      <c r="M28" s="330"/>
      <c r="N28" s="337"/>
    </row>
    <row r="29" spans="1:14" ht="12.75" customHeight="1">
      <c r="A29" s="340"/>
      <c r="B29" s="340"/>
      <c r="C29" s="340"/>
      <c r="D29" s="349">
        <v>-18</v>
      </c>
      <c r="E29" s="353">
        <v>74</v>
      </c>
      <c r="F29" s="354">
        <v>56</v>
      </c>
      <c r="G29" s="349">
        <f t="shared" si="0"/>
        <v>18</v>
      </c>
      <c r="H29" s="469"/>
      <c r="M29" s="330"/>
      <c r="N29" s="337"/>
    </row>
    <row r="30" spans="1:14" ht="12.75" customHeight="1">
      <c r="A30" s="340"/>
      <c r="B30" s="340"/>
      <c r="C30" s="340"/>
      <c r="D30" s="350">
        <v>-17</v>
      </c>
      <c r="E30" s="351">
        <v>72.5</v>
      </c>
      <c r="F30" s="352">
        <v>55</v>
      </c>
      <c r="G30" s="349">
        <f t="shared" si="0"/>
        <v>17.5</v>
      </c>
      <c r="H30" s="469"/>
      <c r="M30" s="330"/>
      <c r="N30" s="337"/>
    </row>
    <row r="31" spans="1:14" ht="12.75" customHeight="1">
      <c r="A31" s="340"/>
      <c r="B31" s="340"/>
      <c r="C31" s="340"/>
      <c r="D31" s="349">
        <v>-16</v>
      </c>
      <c r="E31" s="353">
        <v>71</v>
      </c>
      <c r="F31" s="354">
        <v>54</v>
      </c>
      <c r="G31" s="349">
        <f t="shared" si="0"/>
        <v>17</v>
      </c>
      <c r="H31" s="469"/>
      <c r="M31" s="330"/>
      <c r="N31" s="337"/>
    </row>
    <row r="32" spans="1:14" ht="12.75" customHeight="1">
      <c r="A32" s="340"/>
      <c r="B32" s="340"/>
      <c r="C32" s="340"/>
      <c r="D32" s="350">
        <v>-15</v>
      </c>
      <c r="E32" s="351">
        <v>69.5</v>
      </c>
      <c r="F32" s="352">
        <v>53</v>
      </c>
      <c r="G32" s="349">
        <f t="shared" si="0"/>
        <v>16.5</v>
      </c>
      <c r="H32" s="469"/>
      <c r="M32" s="330"/>
      <c r="N32" s="337"/>
    </row>
    <row r="33" spans="1:14" ht="12.75" customHeight="1">
      <c r="A33" s="340"/>
      <c r="B33" s="340"/>
      <c r="C33" s="340"/>
      <c r="D33" s="349">
        <v>-14</v>
      </c>
      <c r="E33" s="353">
        <v>68</v>
      </c>
      <c r="F33" s="354">
        <v>52</v>
      </c>
      <c r="G33" s="349">
        <f t="shared" si="0"/>
        <v>16</v>
      </c>
      <c r="H33" s="469"/>
      <c r="M33" s="330"/>
      <c r="N33" s="337"/>
    </row>
    <row r="34" spans="1:14" ht="12.75" customHeight="1">
      <c r="A34" s="340"/>
      <c r="B34" s="340"/>
      <c r="C34" s="340"/>
      <c r="D34" s="350">
        <v>-13</v>
      </c>
      <c r="E34" s="351">
        <v>66.5</v>
      </c>
      <c r="F34" s="352">
        <v>51</v>
      </c>
      <c r="G34" s="349">
        <f t="shared" si="0"/>
        <v>15.5</v>
      </c>
      <c r="H34" s="469"/>
      <c r="M34" s="330"/>
      <c r="N34" s="330"/>
    </row>
    <row r="35" spans="1:14" ht="12.75" customHeight="1">
      <c r="A35" s="340"/>
      <c r="B35" s="340"/>
      <c r="C35" s="340"/>
      <c r="D35" s="349">
        <v>-12</v>
      </c>
      <c r="E35" s="353">
        <v>65</v>
      </c>
      <c r="F35" s="354">
        <v>50</v>
      </c>
      <c r="G35" s="349">
        <f t="shared" si="0"/>
        <v>15</v>
      </c>
      <c r="H35" s="469"/>
      <c r="M35" s="330"/>
      <c r="N35" s="330"/>
    </row>
    <row r="36" spans="1:14" ht="12.75" customHeight="1">
      <c r="A36" s="340"/>
      <c r="B36" s="340"/>
      <c r="C36" s="340"/>
      <c r="D36" s="350">
        <v>-11</v>
      </c>
      <c r="E36" s="351">
        <v>63.5</v>
      </c>
      <c r="F36" s="352">
        <v>49</v>
      </c>
      <c r="G36" s="349">
        <f t="shared" si="0"/>
        <v>14.5</v>
      </c>
      <c r="H36" s="469"/>
      <c r="M36" s="330"/>
      <c r="N36" s="330"/>
    </row>
    <row r="37" spans="1:14" ht="12.75" customHeight="1">
      <c r="A37" s="340"/>
      <c r="B37" s="340"/>
      <c r="C37" s="340"/>
      <c r="D37" s="349">
        <v>-10</v>
      </c>
      <c r="E37" s="353">
        <v>62</v>
      </c>
      <c r="F37" s="354">
        <v>48</v>
      </c>
      <c r="G37" s="349">
        <f t="shared" si="0"/>
        <v>14</v>
      </c>
      <c r="H37" s="469"/>
      <c r="M37" s="330"/>
      <c r="N37" s="337"/>
    </row>
    <row r="38" spans="1:14" ht="12.75" customHeight="1">
      <c r="A38" s="340"/>
      <c r="B38" s="340"/>
      <c r="C38" s="340"/>
      <c r="D38" s="350">
        <v>-9</v>
      </c>
      <c r="E38" s="351">
        <v>60.5</v>
      </c>
      <c r="F38" s="352">
        <v>47</v>
      </c>
      <c r="G38" s="349">
        <f t="shared" si="0"/>
        <v>13.5</v>
      </c>
      <c r="H38" s="469"/>
      <c r="M38" s="330"/>
      <c r="N38" s="337"/>
    </row>
    <row r="39" spans="1:14" ht="12.75" customHeight="1">
      <c r="A39" s="340"/>
      <c r="B39" s="340"/>
      <c r="C39" s="340"/>
      <c r="D39" s="349">
        <v>-8</v>
      </c>
      <c r="E39" s="353">
        <v>59</v>
      </c>
      <c r="F39" s="354">
        <v>46</v>
      </c>
      <c r="G39" s="349">
        <f t="shared" si="0"/>
        <v>13</v>
      </c>
      <c r="H39" s="469"/>
      <c r="M39" s="330"/>
      <c r="N39" s="337"/>
    </row>
    <row r="40" spans="1:14" ht="12.75" customHeight="1">
      <c r="A40" s="340"/>
      <c r="B40" s="340"/>
      <c r="C40" s="340"/>
      <c r="D40" s="350">
        <v>-7</v>
      </c>
      <c r="E40" s="351">
        <v>57.5</v>
      </c>
      <c r="F40" s="352">
        <v>45</v>
      </c>
      <c r="G40" s="349">
        <f t="shared" si="0"/>
        <v>12.5</v>
      </c>
      <c r="H40" s="469"/>
      <c r="M40" s="330"/>
      <c r="N40" s="357"/>
    </row>
    <row r="41" spans="1:14" ht="12.75" customHeight="1">
      <c r="A41" s="340"/>
      <c r="B41" s="340"/>
      <c r="C41" s="340"/>
      <c r="D41" s="349">
        <v>-6</v>
      </c>
      <c r="E41" s="353">
        <v>56</v>
      </c>
      <c r="F41" s="354">
        <v>44</v>
      </c>
      <c r="G41" s="349">
        <f t="shared" si="0"/>
        <v>12</v>
      </c>
      <c r="H41" s="469"/>
      <c r="M41" s="330"/>
      <c r="N41" s="330"/>
    </row>
    <row r="42" spans="1:14" ht="12.75" customHeight="1">
      <c r="A42" s="340"/>
      <c r="B42" s="340"/>
      <c r="C42" s="340"/>
      <c r="D42" s="350">
        <v>-5</v>
      </c>
      <c r="E42" s="351">
        <v>54.5</v>
      </c>
      <c r="F42" s="352">
        <v>43</v>
      </c>
      <c r="G42" s="349">
        <f t="shared" si="0"/>
        <v>11.5</v>
      </c>
      <c r="H42" s="469"/>
      <c r="M42" s="330"/>
      <c r="N42" s="330"/>
    </row>
    <row r="43" spans="4:14" ht="12.75" customHeight="1" thickBot="1">
      <c r="D43" s="470">
        <v>-4</v>
      </c>
      <c r="E43" s="471">
        <v>53</v>
      </c>
      <c r="F43" s="472">
        <v>42</v>
      </c>
      <c r="G43" s="349">
        <f t="shared" si="0"/>
        <v>11</v>
      </c>
      <c r="H43" s="469"/>
      <c r="M43" s="330"/>
      <c r="N43" s="330"/>
    </row>
    <row r="44" spans="1:14" ht="12.75" customHeight="1" thickBot="1">
      <c r="A44" s="473" t="s">
        <v>985</v>
      </c>
      <c r="B44" s="474"/>
      <c r="C44" s="475"/>
      <c r="D44" s="476">
        <v>-3.7</v>
      </c>
      <c r="E44" s="477">
        <f>E45+(53-51.5)*0.7/(4-3)</f>
        <v>52.55</v>
      </c>
      <c r="F44" s="478">
        <v>41.7</v>
      </c>
      <c r="G44" s="349">
        <f t="shared" si="0"/>
        <v>10.849999999999994</v>
      </c>
      <c r="H44" s="183" t="s">
        <v>1397</v>
      </c>
      <c r="M44" s="330"/>
      <c r="N44" s="330"/>
    </row>
    <row r="45" spans="1:14" ht="17.25" customHeight="1" thickBot="1">
      <c r="A45" s="479"/>
      <c r="B45" s="484" t="s">
        <v>1213</v>
      </c>
      <c r="C45" s="485">
        <v>52.55</v>
      </c>
      <c r="D45" s="480">
        <v>-3</v>
      </c>
      <c r="E45" s="481">
        <v>51.5</v>
      </c>
      <c r="F45" s="482">
        <v>41</v>
      </c>
      <c r="G45" s="349">
        <f t="shared" si="0"/>
        <v>10.5</v>
      </c>
      <c r="H45" s="183"/>
      <c r="M45" s="330"/>
      <c r="N45" s="330"/>
    </row>
    <row r="46" spans="1:14" ht="12.75" customHeight="1">
      <c r="A46" s="340"/>
      <c r="B46" s="340"/>
      <c r="C46" s="340"/>
      <c r="D46" s="349">
        <v>-2</v>
      </c>
      <c r="E46" s="353">
        <v>50</v>
      </c>
      <c r="F46" s="354">
        <v>40</v>
      </c>
      <c r="G46" s="349">
        <f t="shared" si="0"/>
        <v>10</v>
      </c>
      <c r="H46" s="469"/>
      <c r="M46" s="330"/>
      <c r="N46" s="330"/>
    </row>
    <row r="47" spans="1:14" ht="12.75" customHeight="1">
      <c r="A47" s="340"/>
      <c r="B47" s="340"/>
      <c r="C47" s="340"/>
      <c r="D47" s="350">
        <v>-1</v>
      </c>
      <c r="E47" s="351">
        <v>48.5</v>
      </c>
      <c r="F47" s="352">
        <v>39</v>
      </c>
      <c r="G47" s="349">
        <f t="shared" si="0"/>
        <v>9.5</v>
      </c>
      <c r="H47" s="469"/>
      <c r="M47" s="330"/>
      <c r="N47" s="330"/>
    </row>
    <row r="48" spans="1:14" ht="12.75" customHeight="1">
      <c r="A48" s="340"/>
      <c r="B48" s="340"/>
      <c r="C48" s="340"/>
      <c r="D48" s="349">
        <v>0</v>
      </c>
      <c r="E48" s="353">
        <v>47</v>
      </c>
      <c r="F48" s="354">
        <v>38</v>
      </c>
      <c r="G48" s="349">
        <f t="shared" si="0"/>
        <v>9</v>
      </c>
      <c r="H48" s="469"/>
      <c r="M48" s="330"/>
      <c r="N48" s="330"/>
    </row>
    <row r="49" spans="1:14" ht="12.75" customHeight="1">
      <c r="A49" s="340"/>
      <c r="B49" s="340"/>
      <c r="C49" s="340"/>
      <c r="D49" s="350">
        <v>1</v>
      </c>
      <c r="E49" s="351">
        <v>45.5</v>
      </c>
      <c r="F49" s="352">
        <v>37</v>
      </c>
      <c r="G49" s="349">
        <f t="shared" si="0"/>
        <v>8.5</v>
      </c>
      <c r="H49" s="469"/>
      <c r="M49" s="330"/>
      <c r="N49" s="330"/>
    </row>
    <row r="50" spans="1:14" ht="12.75" customHeight="1">
      <c r="A50" s="340"/>
      <c r="B50" s="340"/>
      <c r="C50" s="340"/>
      <c r="D50" s="349">
        <v>2</v>
      </c>
      <c r="E50" s="353">
        <v>44</v>
      </c>
      <c r="F50" s="354">
        <v>36</v>
      </c>
      <c r="G50" s="349">
        <f t="shared" si="0"/>
        <v>8</v>
      </c>
      <c r="H50" s="469"/>
      <c r="M50" s="330"/>
      <c r="N50" s="330"/>
    </row>
    <row r="51" spans="1:14" ht="12.75" customHeight="1">
      <c r="A51" s="340"/>
      <c r="B51" s="340"/>
      <c r="C51" s="340"/>
      <c r="D51" s="350">
        <v>3</v>
      </c>
      <c r="E51" s="351">
        <v>42.5</v>
      </c>
      <c r="F51" s="352">
        <v>35</v>
      </c>
      <c r="G51" s="349">
        <f t="shared" si="0"/>
        <v>7.5</v>
      </c>
      <c r="H51" s="469"/>
      <c r="M51" s="330"/>
      <c r="N51" s="330"/>
    </row>
    <row r="52" spans="1:14" ht="12.75" customHeight="1">
      <c r="A52" s="340"/>
      <c r="B52" s="340"/>
      <c r="C52" s="340"/>
      <c r="D52" s="349">
        <v>4</v>
      </c>
      <c r="E52" s="353">
        <v>41</v>
      </c>
      <c r="F52" s="354">
        <v>34</v>
      </c>
      <c r="G52" s="349">
        <f t="shared" si="0"/>
        <v>7</v>
      </c>
      <c r="H52" s="469"/>
      <c r="M52" s="330"/>
      <c r="N52" s="330"/>
    </row>
    <row r="53" spans="1:14" ht="12.75" customHeight="1">
      <c r="A53" s="340"/>
      <c r="B53" s="340"/>
      <c r="C53" s="340"/>
      <c r="D53" s="350">
        <v>5</v>
      </c>
      <c r="E53" s="351">
        <v>39.5</v>
      </c>
      <c r="F53" s="352">
        <v>33</v>
      </c>
      <c r="G53" s="349">
        <f t="shared" si="0"/>
        <v>6.5</v>
      </c>
      <c r="H53" s="469"/>
      <c r="M53" s="330"/>
      <c r="N53" s="330"/>
    </row>
    <row r="54" spans="1:14" ht="12.75" customHeight="1">
      <c r="A54" s="340"/>
      <c r="B54" s="340"/>
      <c r="C54" s="340"/>
      <c r="D54" s="349">
        <v>6</v>
      </c>
      <c r="E54" s="353">
        <v>38</v>
      </c>
      <c r="F54" s="354">
        <v>32</v>
      </c>
      <c r="G54" s="349">
        <f t="shared" si="0"/>
        <v>6</v>
      </c>
      <c r="H54" s="469"/>
      <c r="M54" s="330"/>
      <c r="N54" s="330"/>
    </row>
    <row r="55" spans="1:14" ht="12.75">
      <c r="A55" s="340"/>
      <c r="B55" s="340"/>
      <c r="C55" s="340"/>
      <c r="D55" s="350">
        <v>7</v>
      </c>
      <c r="E55" s="351">
        <v>36.5</v>
      </c>
      <c r="F55" s="352">
        <v>31</v>
      </c>
      <c r="G55" s="349">
        <f t="shared" si="0"/>
        <v>5.5</v>
      </c>
      <c r="H55" s="469"/>
      <c r="M55" s="330"/>
      <c r="N55" s="330"/>
    </row>
    <row r="56" spans="1:14" ht="13.5" thickBot="1">
      <c r="A56" s="340"/>
      <c r="B56" s="340"/>
      <c r="C56" s="340"/>
      <c r="D56" s="358">
        <v>8</v>
      </c>
      <c r="E56" s="359">
        <v>35</v>
      </c>
      <c r="F56" s="360">
        <v>30</v>
      </c>
      <c r="G56" s="349">
        <f t="shared" si="0"/>
        <v>5</v>
      </c>
      <c r="H56" s="483"/>
      <c r="M56" s="330"/>
      <c r="N56" s="330"/>
    </row>
    <row r="57" spans="13:14" ht="12.75">
      <c r="M57" s="330"/>
      <c r="N57" s="330"/>
    </row>
    <row r="58" spans="13:14" ht="12.75">
      <c r="M58" s="330"/>
      <c r="N58" s="330"/>
    </row>
    <row r="59" spans="13:14" ht="12.75">
      <c r="M59" s="330"/>
      <c r="N59" s="330"/>
    </row>
    <row r="60" spans="13:14" ht="12.75">
      <c r="M60" s="330"/>
      <c r="N60" s="330"/>
    </row>
    <row r="61" spans="13:14" ht="12.75">
      <c r="M61" s="330"/>
      <c r="N61" s="330"/>
    </row>
    <row r="62" spans="13:14" ht="12.75">
      <c r="M62" s="330"/>
      <c r="N62" s="330"/>
    </row>
    <row r="63" spans="4:14" ht="12.75">
      <c r="D63" s="751"/>
      <c r="E63" s="751"/>
      <c r="F63" s="751"/>
      <c r="G63" s="751"/>
      <c r="H63" s="751"/>
      <c r="I63" s="751"/>
      <c r="J63" s="751"/>
      <c r="K63" s="751"/>
      <c r="M63" s="330"/>
      <c r="N63" s="330"/>
    </row>
    <row r="64" spans="4:14" ht="12.75">
      <c r="D64" s="752"/>
      <c r="E64" s="752"/>
      <c r="F64" s="752"/>
      <c r="G64" s="752"/>
      <c r="H64" s="752"/>
      <c r="I64" s="752"/>
      <c r="J64" s="752"/>
      <c r="K64" s="752"/>
      <c r="L64" s="330"/>
      <c r="M64" s="330"/>
      <c r="N64" s="330"/>
    </row>
    <row r="65" spans="4:14" ht="12.75">
      <c r="D65" s="752"/>
      <c r="E65" s="752"/>
      <c r="F65" s="752"/>
      <c r="G65" s="752"/>
      <c r="H65" s="752"/>
      <c r="I65" s="752"/>
      <c r="J65" s="752"/>
      <c r="K65" s="752"/>
      <c r="L65" s="330"/>
      <c r="M65" s="330"/>
      <c r="N65" s="330"/>
    </row>
    <row r="66" spans="4:14" ht="12.75">
      <c r="D66" s="752"/>
      <c r="E66" s="752"/>
      <c r="F66" s="752"/>
      <c r="G66" s="752"/>
      <c r="H66" s="752"/>
      <c r="I66" s="752"/>
      <c r="J66" s="752"/>
      <c r="K66" s="752"/>
      <c r="L66" s="330"/>
      <c r="M66" s="330"/>
      <c r="N66" s="330"/>
    </row>
    <row r="67" spans="4:14" ht="12.75">
      <c r="D67" s="752"/>
      <c r="E67" s="752"/>
      <c r="F67" s="752"/>
      <c r="G67" s="752"/>
      <c r="H67" s="752"/>
      <c r="I67" s="752"/>
      <c r="J67" s="752"/>
      <c r="K67" s="752"/>
      <c r="L67" s="330"/>
      <c r="M67" s="330"/>
      <c r="N67" s="330"/>
    </row>
    <row r="68" spans="4:14" ht="12.75">
      <c r="D68" s="752"/>
      <c r="E68" s="752"/>
      <c r="F68" s="752"/>
      <c r="G68" s="752"/>
      <c r="H68" s="752"/>
      <c r="I68" s="752"/>
      <c r="J68" s="752"/>
      <c r="K68" s="752"/>
      <c r="L68" s="330"/>
      <c r="M68" s="330"/>
      <c r="N68" s="330"/>
    </row>
    <row r="69" spans="4:14" ht="12.75">
      <c r="D69" s="752"/>
      <c r="E69" s="752"/>
      <c r="F69" s="752"/>
      <c r="G69" s="752"/>
      <c r="H69" s="752"/>
      <c r="I69" s="752"/>
      <c r="J69" s="752"/>
      <c r="K69" s="752"/>
      <c r="L69" s="330"/>
      <c r="M69" s="330"/>
      <c r="N69" s="330"/>
    </row>
    <row r="70" spans="4:14" ht="12.75">
      <c r="D70" s="752"/>
      <c r="E70" s="752"/>
      <c r="F70" s="752"/>
      <c r="G70" s="752"/>
      <c r="H70" s="752"/>
      <c r="I70" s="752"/>
      <c r="J70" s="752"/>
      <c r="K70" s="752"/>
      <c r="L70" s="330"/>
      <c r="M70" s="330"/>
      <c r="N70" s="330"/>
    </row>
    <row r="71" spans="4:14" ht="12.75">
      <c r="D71" s="752"/>
      <c r="E71" s="752"/>
      <c r="F71" s="752"/>
      <c r="G71" s="752"/>
      <c r="H71" s="752"/>
      <c r="I71" s="752"/>
      <c r="J71" s="752"/>
      <c r="K71" s="752"/>
      <c r="L71" s="330"/>
      <c r="M71" s="330"/>
      <c r="N71" s="330"/>
    </row>
    <row r="72" spans="4:14" ht="12.75">
      <c r="D72" s="752"/>
      <c r="E72" s="752"/>
      <c r="F72" s="752"/>
      <c r="G72" s="752"/>
      <c r="H72" s="752"/>
      <c r="I72" s="752"/>
      <c r="J72" s="752"/>
      <c r="K72" s="752"/>
      <c r="L72" s="330"/>
      <c r="M72" s="330"/>
      <c r="N72" s="330"/>
    </row>
    <row r="73" spans="4:14" ht="12.75">
      <c r="D73" s="752"/>
      <c r="E73" s="752"/>
      <c r="F73" s="752"/>
      <c r="G73" s="752"/>
      <c r="H73" s="752"/>
      <c r="I73" s="752"/>
      <c r="J73" s="752"/>
      <c r="K73" s="752"/>
      <c r="L73" s="330"/>
      <c r="M73" s="330"/>
      <c r="N73" s="330"/>
    </row>
    <row r="74" spans="4:11" ht="12.75">
      <c r="D74" s="751"/>
      <c r="E74" s="751"/>
      <c r="F74" s="751"/>
      <c r="G74" s="751"/>
      <c r="H74" s="751"/>
      <c r="I74" s="751"/>
      <c r="J74" s="751"/>
      <c r="K74" s="751"/>
    </row>
    <row r="75" ht="0.75" customHeight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/>
  <protectedRanges>
    <protectedRange password="CC01" sqref="A1:B1" name="Диапазон1_1"/>
  </protectedRanges>
  <printOptions horizontalCentered="1" vertic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SheetLayoutView="100" workbookViewId="0" topLeftCell="A1">
      <selection activeCell="V37" sqref="V37"/>
    </sheetView>
  </sheetViews>
  <sheetFormatPr defaultColWidth="9.140625" defaultRowHeight="15"/>
  <cols>
    <col min="1" max="1" width="7.140625" style="700" customWidth="1"/>
    <col min="2" max="3" width="12.140625" style="707" customWidth="1"/>
    <col min="4" max="4" width="8.421875" style="707" customWidth="1"/>
    <col min="5" max="5" width="10.7109375" style="708" customWidth="1"/>
    <col min="6" max="8" width="10.7109375" style="700" customWidth="1"/>
    <col min="9" max="16384" width="9.140625" style="705" customWidth="1"/>
  </cols>
  <sheetData>
    <row r="1" spans="1:8" s="702" customFormat="1" ht="12.75">
      <c r="A1" s="700">
        <v>1</v>
      </c>
      <c r="B1" s="701">
        <v>2</v>
      </c>
      <c r="C1" s="701"/>
      <c r="D1" s="701"/>
      <c r="E1" s="700"/>
      <c r="F1" s="700">
        <v>3</v>
      </c>
      <c r="G1" s="700">
        <v>4</v>
      </c>
      <c r="H1" s="700">
        <v>5</v>
      </c>
    </row>
    <row r="2" spans="2:11" ht="15">
      <c r="B2" s="2445" t="s">
        <v>1645</v>
      </c>
      <c r="C2" s="2445"/>
      <c r="D2" s="2445"/>
      <c r="E2" s="2445"/>
      <c r="F2" s="2445"/>
      <c r="G2" s="703"/>
      <c r="H2" s="703"/>
      <c r="I2" s="704"/>
      <c r="J2" s="704"/>
      <c r="K2" s="704"/>
    </row>
    <row r="3" ht="13.5">
      <c r="A3" s="706"/>
    </row>
    <row r="4" spans="1:8" s="711" customFormat="1" ht="13.5">
      <c r="A4" s="709" t="s">
        <v>254</v>
      </c>
      <c r="B4" s="2447" t="s">
        <v>1690</v>
      </c>
      <c r="C4" s="2448"/>
      <c r="D4" s="2449"/>
      <c r="E4" s="710" t="s">
        <v>1646</v>
      </c>
      <c r="F4" s="710" t="s">
        <v>1647</v>
      </c>
      <c r="G4" s="710" t="s">
        <v>1648</v>
      </c>
      <c r="H4" s="710" t="s">
        <v>1286</v>
      </c>
    </row>
    <row r="5" spans="1:8" ht="13.5">
      <c r="A5" s="712">
        <v>1</v>
      </c>
      <c r="B5" s="2459">
        <v>2</v>
      </c>
      <c r="C5" s="2460"/>
      <c r="D5" s="2461"/>
      <c r="E5" s="712">
        <v>3</v>
      </c>
      <c r="F5" s="712">
        <v>4</v>
      </c>
      <c r="G5" s="712">
        <v>5</v>
      </c>
      <c r="H5" s="712">
        <v>6</v>
      </c>
    </row>
    <row r="6" spans="1:8" ht="32.25" customHeight="1">
      <c r="A6" s="710">
        <v>1</v>
      </c>
      <c r="B6" s="2450" t="s">
        <v>330</v>
      </c>
      <c r="C6" s="2451"/>
      <c r="D6" s="2452"/>
      <c r="E6" s="710">
        <v>1.158</v>
      </c>
      <c r="F6" s="2034">
        <v>1.062</v>
      </c>
      <c r="G6" s="2034">
        <v>1.063</v>
      </c>
      <c r="H6" s="2034">
        <v>1.059</v>
      </c>
    </row>
    <row r="7" spans="1:8" ht="34.5" customHeight="1">
      <c r="A7" s="710">
        <v>2</v>
      </c>
      <c r="B7" s="2450" t="s">
        <v>1649</v>
      </c>
      <c r="C7" s="2451"/>
      <c r="D7" s="2452"/>
      <c r="E7" s="710">
        <v>1.157</v>
      </c>
      <c r="F7" s="2034">
        <v>1.074</v>
      </c>
      <c r="G7" s="2034">
        <v>1.058</v>
      </c>
      <c r="H7" s="2034">
        <v>1.055</v>
      </c>
    </row>
    <row r="8" spans="1:8" s="711" customFormat="1" ht="13.5" hidden="1">
      <c r="A8" s="2446" t="s">
        <v>1665</v>
      </c>
      <c r="B8" s="2453" t="s">
        <v>1650</v>
      </c>
      <c r="C8" s="2454"/>
      <c r="D8" s="2455"/>
      <c r="E8" s="710" t="s">
        <v>1651</v>
      </c>
      <c r="F8" s="710"/>
      <c r="G8" s="710"/>
      <c r="H8" s="710"/>
    </row>
    <row r="9" spans="1:8" s="711" customFormat="1" ht="13.5" hidden="1">
      <c r="A9" s="2446"/>
      <c r="B9" s="2456"/>
      <c r="C9" s="2457"/>
      <c r="D9" s="2458"/>
      <c r="E9" s="2035">
        <v>1.021</v>
      </c>
      <c r="F9" s="2034"/>
      <c r="G9" s="2034"/>
      <c r="H9" s="2034"/>
    </row>
    <row r="10" spans="1:8" ht="13.5">
      <c r="A10" s="710">
        <v>3</v>
      </c>
      <c r="B10" s="2450" t="s">
        <v>1652</v>
      </c>
      <c r="C10" s="2451"/>
      <c r="D10" s="2452"/>
      <c r="E10" s="710">
        <v>1.085</v>
      </c>
      <c r="F10" s="2034">
        <v>1.1</v>
      </c>
      <c r="G10" s="2034">
        <v>1.098</v>
      </c>
      <c r="H10" s="2034">
        <v>1.083</v>
      </c>
    </row>
    <row r="11" spans="1:8" ht="13.5">
      <c r="A11" s="710">
        <v>4</v>
      </c>
      <c r="B11" s="2450" t="s">
        <v>1653</v>
      </c>
      <c r="C11" s="2451"/>
      <c r="D11" s="2452"/>
      <c r="E11" s="710">
        <v>1.158</v>
      </c>
      <c r="F11" s="2034">
        <v>1.065</v>
      </c>
      <c r="G11" s="2034">
        <v>1.066</v>
      </c>
      <c r="H11" s="2034">
        <v>1.067</v>
      </c>
    </row>
    <row r="12" spans="1:8" ht="13.5">
      <c r="A12" s="710" t="s">
        <v>1673</v>
      </c>
      <c r="B12" s="2450" t="s">
        <v>1654</v>
      </c>
      <c r="C12" s="2451"/>
      <c r="D12" s="2452"/>
      <c r="E12" s="2032">
        <v>1.158</v>
      </c>
      <c r="F12" s="2036">
        <v>1.065</v>
      </c>
      <c r="G12" s="2036">
        <v>1.066</v>
      </c>
      <c r="H12" s="2036">
        <v>1.067</v>
      </c>
    </row>
    <row r="13" spans="1:8" ht="13.5">
      <c r="A13" s="710">
        <v>6</v>
      </c>
      <c r="B13" s="2450" t="s">
        <v>318</v>
      </c>
      <c r="C13" s="2451"/>
      <c r="D13" s="2463"/>
      <c r="E13" s="2033"/>
      <c r="F13" s="2037"/>
      <c r="G13" s="2037"/>
      <c r="H13" s="2038"/>
    </row>
    <row r="14" spans="1:8" ht="13.5">
      <c r="A14" s="713" t="s">
        <v>1171</v>
      </c>
      <c r="B14" s="2464" t="s">
        <v>319</v>
      </c>
      <c r="C14" s="2465"/>
      <c r="D14" s="2466"/>
      <c r="E14" s="2039">
        <v>1.049</v>
      </c>
      <c r="F14" s="2040">
        <v>1.062</v>
      </c>
      <c r="G14" s="2040">
        <v>1.063</v>
      </c>
      <c r="H14" s="2040">
        <v>1.059</v>
      </c>
    </row>
    <row r="15" spans="1:8" ht="13.5">
      <c r="A15" s="713" t="s">
        <v>1172</v>
      </c>
      <c r="B15" s="2464" t="s">
        <v>813</v>
      </c>
      <c r="C15" s="2465"/>
      <c r="D15" s="2466"/>
      <c r="E15" s="710">
        <v>0.991</v>
      </c>
      <c r="F15" s="2034">
        <v>1.033</v>
      </c>
      <c r="G15" s="2034">
        <v>1.061</v>
      </c>
      <c r="H15" s="2034">
        <v>1.062</v>
      </c>
    </row>
    <row r="16" spans="1:8" ht="13.5">
      <c r="A16" s="713" t="s">
        <v>1173</v>
      </c>
      <c r="B16" s="2464" t="s">
        <v>320</v>
      </c>
      <c r="C16" s="2465"/>
      <c r="D16" s="2466"/>
      <c r="E16" s="710">
        <v>1.079</v>
      </c>
      <c r="F16" s="2034">
        <v>1.05</v>
      </c>
      <c r="G16" s="2034">
        <v>1.072</v>
      </c>
      <c r="H16" s="2034">
        <v>1.058</v>
      </c>
    </row>
    <row r="17" spans="1:8" ht="13.5">
      <c r="A17" s="710">
        <v>7</v>
      </c>
      <c r="B17" s="2450" t="s">
        <v>321</v>
      </c>
      <c r="C17" s="2451"/>
      <c r="D17" s="2452"/>
      <c r="E17" s="710">
        <v>1.081</v>
      </c>
      <c r="F17" s="2034">
        <v>1.062</v>
      </c>
      <c r="G17" s="2034">
        <v>1.063</v>
      </c>
      <c r="H17" s="2034">
        <v>1.059</v>
      </c>
    </row>
    <row r="18" spans="1:8" ht="13.5">
      <c r="A18" s="710">
        <v>8</v>
      </c>
      <c r="B18" s="2450" t="s">
        <v>322</v>
      </c>
      <c r="C18" s="2451"/>
      <c r="D18" s="2452"/>
      <c r="E18" s="710">
        <v>1.158</v>
      </c>
      <c r="F18" s="2034">
        <v>1.062</v>
      </c>
      <c r="G18" s="2034">
        <v>1.063</v>
      </c>
      <c r="H18" s="2034">
        <v>1.059</v>
      </c>
    </row>
    <row r="20" spans="1:8" s="711" customFormat="1" ht="13.5">
      <c r="A20" s="703"/>
      <c r="B20" s="2462" t="s">
        <v>323</v>
      </c>
      <c r="C20" s="2462"/>
      <c r="D20" s="2462"/>
      <c r="E20" s="714"/>
      <c r="F20" s="703"/>
      <c r="G20" s="703"/>
      <c r="H20" s="703"/>
    </row>
    <row r="22" spans="2:4" s="703" customFormat="1" ht="12.75">
      <c r="B22" s="715" t="s">
        <v>324</v>
      </c>
      <c r="C22" s="715" t="s">
        <v>325</v>
      </c>
      <c r="D22" s="715" t="s">
        <v>326</v>
      </c>
    </row>
    <row r="23" spans="2:4" s="700" customFormat="1" ht="12.75">
      <c r="B23" s="716">
        <v>7056</v>
      </c>
      <c r="C23" s="716">
        <v>7056</v>
      </c>
      <c r="D23" s="716">
        <f>SUM(B23:C23)/2</f>
        <v>7056</v>
      </c>
    </row>
    <row r="24" spans="2:4" s="700" customFormat="1" ht="5.25" customHeight="1">
      <c r="B24" s="701"/>
      <c r="C24" s="701"/>
      <c r="D24" s="701"/>
    </row>
    <row r="25" spans="2:4" s="703" customFormat="1" ht="12.75">
      <c r="B25" s="715" t="s">
        <v>327</v>
      </c>
      <c r="C25" s="715" t="s">
        <v>328</v>
      </c>
      <c r="D25" s="715" t="s">
        <v>329</v>
      </c>
    </row>
    <row r="26" spans="2:4" s="700" customFormat="1" ht="12.75">
      <c r="B26" s="716">
        <f>7056*1.044</f>
        <v>7366.464</v>
      </c>
      <c r="C26" s="716">
        <f>7056*1.044</f>
        <v>7366.464</v>
      </c>
      <c r="D26" s="716">
        <f>D23*G7</f>
        <v>7465.2480000000005</v>
      </c>
    </row>
    <row r="28" spans="2:4" ht="13.5">
      <c r="B28" s="715" t="s">
        <v>331</v>
      </c>
      <c r="C28" s="715" t="s">
        <v>332</v>
      </c>
      <c r="D28" s="715" t="s">
        <v>333</v>
      </c>
    </row>
    <row r="29" spans="2:4" ht="13.5">
      <c r="B29" s="716">
        <f>7366*1.043</f>
        <v>7682.737999999999</v>
      </c>
      <c r="C29" s="716">
        <f>7366*1.043</f>
        <v>7682.737999999999</v>
      </c>
      <c r="D29" s="716">
        <f>7366*1.043</f>
        <v>7682.737999999999</v>
      </c>
    </row>
    <row r="31" spans="2:4" ht="13.5">
      <c r="B31" s="715" t="s">
        <v>1287</v>
      </c>
      <c r="C31" s="715" t="s">
        <v>335</v>
      </c>
      <c r="D31" s="715" t="s">
        <v>334</v>
      </c>
    </row>
    <row r="32" spans="2:4" ht="13.5">
      <c r="B32" s="716">
        <f>7683*1.043</f>
        <v>8013.369</v>
      </c>
      <c r="C32" s="716">
        <f>7683*1.043</f>
        <v>8013.369</v>
      </c>
      <c r="D32" s="716">
        <f>7683*1.043</f>
        <v>8013.369</v>
      </c>
    </row>
  </sheetData>
  <sheetProtection/>
  <mergeCells count="17">
    <mergeCell ref="B20:D20"/>
    <mergeCell ref="B11:D11"/>
    <mergeCell ref="B12:D12"/>
    <mergeCell ref="B13:D13"/>
    <mergeCell ref="B17:D17"/>
    <mergeCell ref="B18:D18"/>
    <mergeCell ref="B14:D14"/>
    <mergeCell ref="B15:D15"/>
    <mergeCell ref="B16:D16"/>
    <mergeCell ref="B10:D10"/>
    <mergeCell ref="B8:D9"/>
    <mergeCell ref="B7:D7"/>
    <mergeCell ref="B5:D5"/>
    <mergeCell ref="B2:F2"/>
    <mergeCell ref="A8:A9"/>
    <mergeCell ref="B4:D4"/>
    <mergeCell ref="B6:D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C34"/>
  <sheetViews>
    <sheetView zoomScale="90" zoomScaleNormal="90" zoomScaleSheetLayoutView="100" workbookViewId="0" topLeftCell="A1">
      <pane xSplit="3" ySplit="13" topLeftCell="M14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/>
  <cols>
    <col min="1" max="1" width="5.57421875" style="213" hidden="1" customWidth="1"/>
    <col min="2" max="2" width="3.57421875" style="0" customWidth="1"/>
    <col min="3" max="3" width="24.421875" style="0" customWidth="1"/>
    <col min="4" max="4" width="9.00390625" style="0" hidden="1" customWidth="1"/>
    <col min="5" max="5" width="7.28125" style="0" hidden="1" customWidth="1"/>
    <col min="6" max="6" width="9.57421875" style="0" hidden="1" customWidth="1"/>
    <col min="7" max="7" width="9.00390625" style="0" hidden="1" customWidth="1"/>
    <col min="8" max="8" width="7.28125" style="0" hidden="1" customWidth="1"/>
    <col min="9" max="9" width="9.57421875" style="0" hidden="1" customWidth="1"/>
    <col min="10" max="10" width="8.57421875" style="0" hidden="1" customWidth="1"/>
    <col min="11" max="12" width="7.57421875" style="0" hidden="1" customWidth="1"/>
    <col min="13" max="45" width="6.8515625" style="0" customWidth="1"/>
  </cols>
  <sheetData>
    <row r="1" spans="1:24" ht="14.25" hidden="1">
      <c r="A1" s="213">
        <v>1</v>
      </c>
      <c r="B1" s="213">
        <v>2</v>
      </c>
      <c r="C1" s="213">
        <v>3</v>
      </c>
      <c r="D1" s="213">
        <v>4</v>
      </c>
      <c r="E1" s="213">
        <v>5</v>
      </c>
      <c r="F1" s="213">
        <v>6</v>
      </c>
      <c r="G1" s="213">
        <v>4</v>
      </c>
      <c r="H1" s="213">
        <v>5</v>
      </c>
      <c r="I1" s="213">
        <v>6</v>
      </c>
      <c r="J1" s="213">
        <v>7</v>
      </c>
      <c r="K1" s="213">
        <v>8</v>
      </c>
      <c r="L1" s="213">
        <v>9</v>
      </c>
      <c r="M1" s="213">
        <v>10</v>
      </c>
      <c r="N1" s="213">
        <v>11</v>
      </c>
      <c r="O1" s="213">
        <v>12</v>
      </c>
      <c r="P1" s="213">
        <v>13</v>
      </c>
      <c r="Q1" s="213">
        <v>14</v>
      </c>
      <c r="R1" s="213">
        <v>15</v>
      </c>
      <c r="S1" s="213">
        <v>16</v>
      </c>
      <c r="T1" s="213">
        <v>17</v>
      </c>
      <c r="U1" s="213">
        <v>18</v>
      </c>
      <c r="V1" s="213">
        <v>19</v>
      </c>
      <c r="W1" s="213">
        <v>20</v>
      </c>
      <c r="X1" s="213">
        <v>21</v>
      </c>
    </row>
    <row r="2" spans="2:24" ht="15">
      <c r="B2" t="s">
        <v>1242</v>
      </c>
      <c r="C2" s="52"/>
      <c r="D2" s="52"/>
      <c r="E2" s="52"/>
      <c r="F2" s="52"/>
      <c r="G2" s="514"/>
      <c r="H2" s="513"/>
      <c r="I2" s="52"/>
      <c r="J2" s="52"/>
      <c r="K2" s="52"/>
      <c r="L2" s="52"/>
      <c r="M2" s="52"/>
      <c r="N2" s="52"/>
      <c r="O2" s="52"/>
      <c r="P2" s="52"/>
      <c r="Q2" s="52"/>
      <c r="X2" s="106"/>
    </row>
    <row r="3" spans="2:33" ht="15">
      <c r="B3" s="52" t="s">
        <v>74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AF3" s="310" t="s">
        <v>1294</v>
      </c>
      <c r="AG3" s="310"/>
    </row>
    <row r="5" spans="2:24" ht="16.5">
      <c r="B5" s="33" t="s">
        <v>273</v>
      </c>
      <c r="C5" s="33"/>
      <c r="D5" s="33"/>
      <c r="E5" s="33"/>
      <c r="F5" s="33"/>
      <c r="G5" s="33"/>
      <c r="H5" s="33"/>
      <c r="I5" s="33"/>
      <c r="J5" s="18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ht="15.75">
      <c r="B6" s="306" t="str">
        <f>'[3]3.1'!A5</f>
        <v>Наименование    Усть - Камчатское муниципальное образование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V6" s="10"/>
      <c r="W6" s="10"/>
      <c r="X6" s="451" t="s">
        <v>1353</v>
      </c>
    </row>
    <row r="7" spans="2:45" ht="15">
      <c r="B7" s="2069" t="s">
        <v>1662</v>
      </c>
      <c r="C7" s="2141"/>
      <c r="D7" s="2042" t="s">
        <v>1659</v>
      </c>
      <c r="E7" s="2043"/>
      <c r="F7" s="2043"/>
      <c r="G7" s="2043"/>
      <c r="H7" s="2043"/>
      <c r="I7" s="2043"/>
      <c r="J7" s="2043"/>
      <c r="K7" s="2043"/>
      <c r="L7" s="2043"/>
      <c r="M7" s="2043"/>
      <c r="N7" s="2043"/>
      <c r="O7" s="2043"/>
      <c r="P7" s="2043"/>
      <c r="Q7" s="2043"/>
      <c r="R7" s="2044"/>
      <c r="S7" s="2042" t="s">
        <v>1661</v>
      </c>
      <c r="T7" s="2043"/>
      <c r="U7" s="2043"/>
      <c r="V7" s="2043"/>
      <c r="W7" s="2043"/>
      <c r="X7" s="2043"/>
      <c r="Y7" s="2043"/>
      <c r="Z7" s="2043"/>
      <c r="AA7" s="2043"/>
      <c r="AB7" s="2043"/>
      <c r="AC7" s="2043"/>
      <c r="AD7" s="2043"/>
      <c r="AE7" s="2043"/>
      <c r="AF7" s="2043"/>
      <c r="AG7" s="2043"/>
      <c r="AH7" s="2043"/>
      <c r="AI7" s="2043"/>
      <c r="AJ7" s="2043"/>
      <c r="AK7" s="2043"/>
      <c r="AL7" s="2043"/>
      <c r="AM7" s="2043"/>
      <c r="AN7" s="2043"/>
      <c r="AO7" s="2043"/>
      <c r="AP7" s="2043"/>
      <c r="AQ7" s="2043"/>
      <c r="AR7" s="2043"/>
      <c r="AS7" s="2044"/>
    </row>
    <row r="8" spans="2:45" ht="15" customHeight="1">
      <c r="B8" s="2070"/>
      <c r="C8" s="2142"/>
      <c r="D8" s="2064" t="s">
        <v>944</v>
      </c>
      <c r="E8" s="2051"/>
      <c r="F8" s="2135"/>
      <c r="G8" s="2064" t="s">
        <v>1145</v>
      </c>
      <c r="H8" s="2051"/>
      <c r="I8" s="2051"/>
      <c r="J8" s="2064" t="s">
        <v>1226</v>
      </c>
      <c r="K8" s="2051"/>
      <c r="L8" s="2135"/>
      <c r="M8" s="2064" t="s">
        <v>16</v>
      </c>
      <c r="N8" s="2051"/>
      <c r="O8" s="2135"/>
      <c r="P8" s="2052" t="s">
        <v>17</v>
      </c>
      <c r="Q8" s="2053"/>
      <c r="R8" s="2053"/>
      <c r="S8" s="2085" t="s">
        <v>1143</v>
      </c>
      <c r="T8" s="2086"/>
      <c r="U8" s="2086"/>
      <c r="V8" s="2086"/>
      <c r="W8" s="2086"/>
      <c r="X8" s="2086"/>
      <c r="Y8" s="2086"/>
      <c r="Z8" s="2086"/>
      <c r="AA8" s="2074"/>
      <c r="AB8" s="2085" t="s">
        <v>1148</v>
      </c>
      <c r="AC8" s="2086"/>
      <c r="AD8" s="2086"/>
      <c r="AE8" s="2086"/>
      <c r="AF8" s="2086"/>
      <c r="AG8" s="2086"/>
      <c r="AH8" s="2086"/>
      <c r="AI8" s="2086"/>
      <c r="AJ8" s="2074"/>
      <c r="AK8" s="2085" t="s">
        <v>18</v>
      </c>
      <c r="AL8" s="2086"/>
      <c r="AM8" s="2086"/>
      <c r="AN8" s="2086"/>
      <c r="AO8" s="2086"/>
      <c r="AP8" s="2086"/>
      <c r="AQ8" s="2086"/>
      <c r="AR8" s="2086"/>
      <c r="AS8" s="2074"/>
    </row>
    <row r="9" spans="2:45" ht="15" customHeight="1">
      <c r="B9" s="2070"/>
      <c r="C9" s="2142"/>
      <c r="D9" s="2065"/>
      <c r="E9" s="2055"/>
      <c r="F9" s="2056"/>
      <c r="G9" s="2065"/>
      <c r="H9" s="2055"/>
      <c r="I9" s="2055"/>
      <c r="J9" s="2065"/>
      <c r="K9" s="2055"/>
      <c r="L9" s="2056"/>
      <c r="M9" s="2065"/>
      <c r="N9" s="2055"/>
      <c r="O9" s="2056"/>
      <c r="P9" s="2041"/>
      <c r="Q9" s="2134"/>
      <c r="R9" s="2134"/>
      <c r="S9" s="2045" t="s">
        <v>421</v>
      </c>
      <c r="T9" s="2046"/>
      <c r="U9" s="2047"/>
      <c r="V9" s="2085" t="s">
        <v>1146</v>
      </c>
      <c r="W9" s="2086"/>
      <c r="X9" s="2074"/>
      <c r="Y9" s="2085" t="s">
        <v>1147</v>
      </c>
      <c r="Z9" s="2086"/>
      <c r="AA9" s="2074"/>
      <c r="AB9" s="2045" t="s">
        <v>421</v>
      </c>
      <c r="AC9" s="2046"/>
      <c r="AD9" s="2047"/>
      <c r="AE9" s="2085" t="s">
        <v>1149</v>
      </c>
      <c r="AF9" s="2086"/>
      <c r="AG9" s="2074"/>
      <c r="AH9" s="2085" t="s">
        <v>1150</v>
      </c>
      <c r="AI9" s="2086"/>
      <c r="AJ9" s="2074"/>
      <c r="AK9" s="2045" t="s">
        <v>421</v>
      </c>
      <c r="AL9" s="2046"/>
      <c r="AM9" s="2047"/>
      <c r="AN9" s="2085" t="s">
        <v>391</v>
      </c>
      <c r="AO9" s="2086"/>
      <c r="AP9" s="2074"/>
      <c r="AQ9" s="2085" t="s">
        <v>392</v>
      </c>
      <c r="AR9" s="2086"/>
      <c r="AS9" s="2074"/>
    </row>
    <row r="10" spans="2:45" ht="15">
      <c r="B10" s="2071"/>
      <c r="C10" s="2142"/>
      <c r="D10" s="2090" t="s">
        <v>1676</v>
      </c>
      <c r="E10" s="2089" t="s">
        <v>1686</v>
      </c>
      <c r="F10" s="2087"/>
      <c r="G10" s="2090" t="s">
        <v>1676</v>
      </c>
      <c r="H10" s="2089" t="s">
        <v>1686</v>
      </c>
      <c r="I10" s="2087"/>
      <c r="J10" s="2090" t="s">
        <v>1676</v>
      </c>
      <c r="K10" s="2089" t="s">
        <v>1686</v>
      </c>
      <c r="L10" s="2087"/>
      <c r="M10" s="2090" t="s">
        <v>1676</v>
      </c>
      <c r="N10" s="2089" t="s">
        <v>1686</v>
      </c>
      <c r="O10" s="2087"/>
      <c r="P10" s="2090" t="s">
        <v>1676</v>
      </c>
      <c r="Q10" s="2089" t="s">
        <v>1686</v>
      </c>
      <c r="R10" s="2087"/>
      <c r="S10" s="437" t="s">
        <v>1676</v>
      </c>
      <c r="T10" s="2138" t="s">
        <v>1686</v>
      </c>
      <c r="U10" s="2139"/>
      <c r="V10" s="437" t="s">
        <v>1676</v>
      </c>
      <c r="W10" s="2138" t="s">
        <v>1686</v>
      </c>
      <c r="X10" s="2139"/>
      <c r="Y10" s="437" t="s">
        <v>1676</v>
      </c>
      <c r="Z10" s="2138" t="s">
        <v>1686</v>
      </c>
      <c r="AA10" s="2139"/>
      <c r="AB10" s="437" t="s">
        <v>1676</v>
      </c>
      <c r="AC10" s="2089" t="s">
        <v>1686</v>
      </c>
      <c r="AD10" s="2088"/>
      <c r="AE10" s="437" t="s">
        <v>1676</v>
      </c>
      <c r="AF10" s="2089" t="s">
        <v>1686</v>
      </c>
      <c r="AG10" s="2088"/>
      <c r="AH10" s="2090" t="s">
        <v>1676</v>
      </c>
      <c r="AI10" s="2089" t="s">
        <v>1686</v>
      </c>
      <c r="AJ10" s="2088"/>
      <c r="AK10" s="437" t="s">
        <v>1676</v>
      </c>
      <c r="AL10" s="2089" t="s">
        <v>1686</v>
      </c>
      <c r="AM10" s="2088"/>
      <c r="AN10" s="437" t="s">
        <v>1676</v>
      </c>
      <c r="AO10" s="2089" t="s">
        <v>1686</v>
      </c>
      <c r="AP10" s="2088"/>
      <c r="AQ10" s="2090" t="s">
        <v>1676</v>
      </c>
      <c r="AR10" s="2089" t="s">
        <v>1686</v>
      </c>
      <c r="AS10" s="2088"/>
    </row>
    <row r="11" spans="1:45" s="1374" customFormat="1" ht="15">
      <c r="A11" s="213"/>
      <c r="B11" s="2071"/>
      <c r="C11" s="2142"/>
      <c r="D11" s="2091"/>
      <c r="E11" s="2069" t="s">
        <v>267</v>
      </c>
      <c r="F11" s="2069" t="s">
        <v>1289</v>
      </c>
      <c r="G11" s="2091"/>
      <c r="H11" s="2069" t="s">
        <v>267</v>
      </c>
      <c r="I11" s="2069" t="s">
        <v>1289</v>
      </c>
      <c r="J11" s="2091"/>
      <c r="K11" s="2069" t="s">
        <v>267</v>
      </c>
      <c r="L11" s="2069" t="s">
        <v>1290</v>
      </c>
      <c r="M11" s="2091"/>
      <c r="N11" s="2069" t="s">
        <v>267</v>
      </c>
      <c r="O11" s="2136" t="s">
        <v>1289</v>
      </c>
      <c r="P11" s="2091"/>
      <c r="Q11" s="2069" t="s">
        <v>267</v>
      </c>
      <c r="R11" s="2136" t="s">
        <v>1289</v>
      </c>
      <c r="S11" s="438"/>
      <c r="T11" s="2069" t="s">
        <v>1288</v>
      </c>
      <c r="U11" s="2069" t="s">
        <v>1289</v>
      </c>
      <c r="V11" s="438"/>
      <c r="W11" s="2069" t="s">
        <v>1288</v>
      </c>
      <c r="X11" s="2069" t="s">
        <v>1289</v>
      </c>
      <c r="Y11" s="438"/>
      <c r="Z11" s="440" t="s">
        <v>1288</v>
      </c>
      <c r="AA11" s="440" t="s">
        <v>1289</v>
      </c>
      <c r="AB11" s="438"/>
      <c r="AC11" s="2049" t="s">
        <v>1288</v>
      </c>
      <c r="AD11" s="2049" t="s">
        <v>1290</v>
      </c>
      <c r="AE11" s="438"/>
      <c r="AF11" s="2069" t="s">
        <v>1288</v>
      </c>
      <c r="AG11" s="2069" t="s">
        <v>1289</v>
      </c>
      <c r="AH11" s="2091"/>
      <c r="AI11" s="2069" t="s">
        <v>1288</v>
      </c>
      <c r="AJ11" s="2069" t="s">
        <v>1289</v>
      </c>
      <c r="AK11" s="438"/>
      <c r="AL11" s="2049" t="s">
        <v>1288</v>
      </c>
      <c r="AM11" s="2049" t="s">
        <v>1290</v>
      </c>
      <c r="AN11" s="438"/>
      <c r="AO11" s="2069" t="s">
        <v>1288</v>
      </c>
      <c r="AP11" s="2069" t="s">
        <v>1289</v>
      </c>
      <c r="AQ11" s="2091"/>
      <c r="AR11" s="2069" t="s">
        <v>1288</v>
      </c>
      <c r="AS11" s="2069" t="s">
        <v>1289</v>
      </c>
    </row>
    <row r="12" spans="1:52" s="1374" customFormat="1" ht="15">
      <c r="A12" s="213"/>
      <c r="B12" s="2072"/>
      <c r="C12" s="2143"/>
      <c r="D12" s="2092"/>
      <c r="E12" s="2048"/>
      <c r="F12" s="2048"/>
      <c r="G12" s="2092"/>
      <c r="H12" s="2048"/>
      <c r="I12" s="2048"/>
      <c r="J12" s="2092"/>
      <c r="K12" s="2048"/>
      <c r="L12" s="2048"/>
      <c r="M12" s="2092"/>
      <c r="N12" s="2048"/>
      <c r="O12" s="2137"/>
      <c r="P12" s="2092"/>
      <c r="Q12" s="2048"/>
      <c r="R12" s="2137"/>
      <c r="S12" s="439"/>
      <c r="T12" s="2048"/>
      <c r="U12" s="2048"/>
      <c r="V12" s="439"/>
      <c r="W12" s="2048"/>
      <c r="X12" s="2048"/>
      <c r="Y12" s="439"/>
      <c r="Z12" s="43"/>
      <c r="AA12" s="43"/>
      <c r="AB12" s="439"/>
      <c r="AC12" s="2050"/>
      <c r="AD12" s="2050"/>
      <c r="AE12" s="439"/>
      <c r="AF12" s="2048"/>
      <c r="AG12" s="2048"/>
      <c r="AH12" s="2092"/>
      <c r="AI12" s="2048"/>
      <c r="AJ12" s="2048"/>
      <c r="AK12" s="439"/>
      <c r="AL12" s="2050"/>
      <c r="AM12" s="2050"/>
      <c r="AN12" s="439"/>
      <c r="AO12" s="2048"/>
      <c r="AP12" s="2048"/>
      <c r="AQ12" s="2092"/>
      <c r="AR12" s="2048"/>
      <c r="AS12" s="2048"/>
      <c r="AT12" s="1373"/>
      <c r="AX12" s="1379"/>
      <c r="AZ12" s="1380"/>
    </row>
    <row r="13" spans="1:51" s="1374" customFormat="1" ht="15">
      <c r="A13" s="213"/>
      <c r="B13" s="4">
        <v>1</v>
      </c>
      <c r="C13" s="5">
        <v>2</v>
      </c>
      <c r="D13" s="4">
        <v>3</v>
      </c>
      <c r="E13" s="5">
        <v>4</v>
      </c>
      <c r="F13" s="4">
        <v>5</v>
      </c>
      <c r="G13" s="5">
        <v>6</v>
      </c>
      <c r="H13" s="4">
        <v>7</v>
      </c>
      <c r="I13" s="5">
        <v>8</v>
      </c>
      <c r="J13" s="4">
        <v>9</v>
      </c>
      <c r="K13" s="5">
        <v>10</v>
      </c>
      <c r="L13" s="4">
        <v>11</v>
      </c>
      <c r="M13" s="5">
        <v>12</v>
      </c>
      <c r="N13" s="4">
        <v>13</v>
      </c>
      <c r="O13" s="5">
        <v>14</v>
      </c>
      <c r="P13" s="5">
        <v>12</v>
      </c>
      <c r="Q13" s="4">
        <v>13</v>
      </c>
      <c r="R13" s="5">
        <v>14</v>
      </c>
      <c r="S13" s="4">
        <v>15</v>
      </c>
      <c r="T13" s="5">
        <v>16</v>
      </c>
      <c r="U13" s="4">
        <v>17</v>
      </c>
      <c r="V13" s="5">
        <v>18</v>
      </c>
      <c r="W13" s="4">
        <v>19</v>
      </c>
      <c r="X13" s="5">
        <v>20</v>
      </c>
      <c r="Y13" s="4">
        <v>21</v>
      </c>
      <c r="Z13" s="5">
        <v>22</v>
      </c>
      <c r="AA13" s="4">
        <v>23</v>
      </c>
      <c r="AB13" s="4">
        <v>69</v>
      </c>
      <c r="AC13" s="5">
        <v>70</v>
      </c>
      <c r="AD13" s="4">
        <v>71</v>
      </c>
      <c r="AE13" s="5">
        <v>72</v>
      </c>
      <c r="AF13" s="4">
        <v>73</v>
      </c>
      <c r="AG13" s="5">
        <v>74</v>
      </c>
      <c r="AH13" s="4">
        <v>75</v>
      </c>
      <c r="AI13" s="5">
        <v>76</v>
      </c>
      <c r="AJ13" s="4">
        <v>77</v>
      </c>
      <c r="AK13" s="4">
        <v>69</v>
      </c>
      <c r="AL13" s="5">
        <v>70</v>
      </c>
      <c r="AM13" s="4">
        <v>71</v>
      </c>
      <c r="AN13" s="5">
        <v>72</v>
      </c>
      <c r="AO13" s="4">
        <v>73</v>
      </c>
      <c r="AP13" s="5">
        <v>74</v>
      </c>
      <c r="AQ13" s="4">
        <v>75</v>
      </c>
      <c r="AR13" s="5">
        <v>76</v>
      </c>
      <c r="AS13" s="4">
        <v>77</v>
      </c>
      <c r="AT13" s="501"/>
      <c r="AU13" s="1381"/>
      <c r="AV13" s="1382"/>
      <c r="AW13" s="1382"/>
      <c r="AX13" s="1382"/>
      <c r="AY13" s="1382"/>
    </row>
    <row r="14" spans="1:50" s="1374" customFormat="1" ht="25.5">
      <c r="A14" s="213">
        <v>1</v>
      </c>
      <c r="B14" s="47" t="s">
        <v>1671</v>
      </c>
      <c r="C14" s="23" t="s">
        <v>1291</v>
      </c>
      <c r="D14" s="19">
        <f>SUM(E14:F14)</f>
        <v>4.302</v>
      </c>
      <c r="E14" s="19">
        <f>SUM(E15:E19)</f>
        <v>4.302</v>
      </c>
      <c r="F14" s="19">
        <f>SUM(F15:F19)</f>
        <v>0</v>
      </c>
      <c r="G14" s="19">
        <f>SUM(H14:I14)</f>
        <v>0</v>
      </c>
      <c r="H14" s="19">
        <f>SUM(H15:H19)</f>
        <v>0</v>
      </c>
      <c r="I14" s="19">
        <f>SUM(I15:I19)</f>
        <v>0</v>
      </c>
      <c r="J14" s="19">
        <f>SUM(K14:L14)</f>
        <v>0</v>
      </c>
      <c r="K14" s="19">
        <f>SUM(K15:K19)</f>
        <v>0</v>
      </c>
      <c r="L14" s="1112">
        <f>SUM(L15:L19)</f>
        <v>0</v>
      </c>
      <c r="M14" s="1370">
        <f>SUM(N14:O14)</f>
        <v>2.418</v>
      </c>
      <c r="N14" s="524">
        <f>SUM(N15:N19)</f>
        <v>2.418</v>
      </c>
      <c r="O14" s="18"/>
      <c r="P14" s="19">
        <f>SUM(Q14:R14)</f>
        <v>1.212</v>
      </c>
      <c r="Q14" s="524">
        <f>SUM(Q15:Q19)</f>
        <v>1.212</v>
      </c>
      <c r="R14" s="18"/>
      <c r="S14" s="1239">
        <f>SUM(T14:U14)</f>
        <v>1.2116099999999999</v>
      </c>
      <c r="T14" s="1240">
        <f>SUM(T15:T19)</f>
        <v>1.2116099999999999</v>
      </c>
      <c r="U14" s="1241"/>
      <c r="V14" s="1242">
        <f>SUM(W14:X14)</f>
        <v>0.740095</v>
      </c>
      <c r="W14" s="1243">
        <f>SUM(W15:W19)</f>
        <v>0.740095</v>
      </c>
      <c r="X14" s="1244"/>
      <c r="Y14" s="1239">
        <f>SUM(Z14:AA14)</f>
        <v>0.4715149999999999</v>
      </c>
      <c r="Z14" s="1240">
        <f>SUM(Z15:Z19)</f>
        <v>0.4715149999999999</v>
      </c>
      <c r="AA14" s="1241"/>
      <c r="AB14" s="487">
        <f>AC14</f>
        <v>1.2118099999999998</v>
      </c>
      <c r="AC14" s="1249">
        <f>SUM(AC15:AC19)</f>
        <v>1.2118099999999998</v>
      </c>
      <c r="AD14" s="487"/>
      <c r="AE14" s="487">
        <f>AF14</f>
        <v>0.7404361764705881</v>
      </c>
      <c r="AF14" s="1249">
        <f>SUM(AF15:AF19)</f>
        <v>0.7404361764705881</v>
      </c>
      <c r="AG14" s="487"/>
      <c r="AH14" s="487">
        <f>AI14</f>
        <v>0.4713738235294117</v>
      </c>
      <c r="AI14" s="1249">
        <f>SUM(AI15:AI19)</f>
        <v>0.4713738235294117</v>
      </c>
      <c r="AJ14" s="487"/>
      <c r="AK14" s="487">
        <f>AB14</f>
        <v>1.2118099999999998</v>
      </c>
      <c r="AL14" s="487">
        <f>AC14</f>
        <v>1.2118099999999998</v>
      </c>
      <c r="AM14" s="487"/>
      <c r="AN14" s="487">
        <f>AE14</f>
        <v>0.7404361764705881</v>
      </c>
      <c r="AO14" s="487">
        <f>AF14</f>
        <v>0.7404361764705881</v>
      </c>
      <c r="AP14" s="487"/>
      <c r="AQ14" s="487">
        <f>AH14</f>
        <v>0.4713738235294117</v>
      </c>
      <c r="AR14" s="487">
        <f>AI14</f>
        <v>0.4713738235294117</v>
      </c>
      <c r="AS14" s="487"/>
      <c r="AT14" s="1381"/>
      <c r="AU14" s="1381"/>
      <c r="AX14" s="1375"/>
    </row>
    <row r="15" spans="1:52" s="1374" customFormat="1" ht="15">
      <c r="A15" s="213"/>
      <c r="B15" s="2082"/>
      <c r="C15" s="58" t="s">
        <v>1688</v>
      </c>
      <c r="D15" s="109"/>
      <c r="E15" s="109"/>
      <c r="F15" s="109"/>
      <c r="G15" s="109"/>
      <c r="H15" s="109"/>
      <c r="I15" s="109"/>
      <c r="J15" s="109"/>
      <c r="K15" s="109"/>
      <c r="L15" s="1113"/>
      <c r="M15" s="1396"/>
      <c r="N15" s="522"/>
      <c r="O15" s="109"/>
      <c r="P15" s="109"/>
      <c r="Q15" s="522"/>
      <c r="R15" s="109"/>
      <c r="S15" s="1245"/>
      <c r="T15" s="1246"/>
      <c r="U15" s="1245"/>
      <c r="V15" s="1245"/>
      <c r="W15" s="1246"/>
      <c r="X15" s="1245"/>
      <c r="Y15" s="1245"/>
      <c r="Z15" s="1245"/>
      <c r="AA15" s="1245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383"/>
      <c r="AU15" s="1383"/>
      <c r="AX15" s="1375"/>
      <c r="AZ15" s="1376"/>
    </row>
    <row r="16" spans="1:53" s="1374" customFormat="1" ht="15">
      <c r="A16" s="213"/>
      <c r="B16" s="2067"/>
      <c r="C16" s="59" t="s">
        <v>946</v>
      </c>
      <c r="D16" s="110"/>
      <c r="E16" s="110"/>
      <c r="F16" s="110"/>
      <c r="G16" s="110"/>
      <c r="H16" s="110"/>
      <c r="I16" s="110"/>
      <c r="J16" s="110"/>
      <c r="K16" s="110"/>
      <c r="L16" s="1115"/>
      <c r="M16" s="1397"/>
      <c r="N16" s="523"/>
      <c r="O16" s="110"/>
      <c r="P16" s="110"/>
      <c r="Q16" s="523"/>
      <c r="R16" s="110"/>
      <c r="S16" s="1247"/>
      <c r="T16" s="1248"/>
      <c r="U16" s="1247"/>
      <c r="V16" s="1247"/>
      <c r="W16" s="1248"/>
      <c r="X16" s="1247"/>
      <c r="Y16" s="1247"/>
      <c r="Z16" s="1247"/>
      <c r="AA16" s="1247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384"/>
      <c r="AU16" s="1384"/>
      <c r="AV16" s="1384"/>
      <c r="AW16" s="1384"/>
      <c r="AX16" s="1385"/>
      <c r="AY16" s="1384"/>
      <c r="AZ16" s="1386"/>
      <c r="BA16" s="1384"/>
    </row>
    <row r="17" spans="1:53" s="1374" customFormat="1" ht="15">
      <c r="A17" s="213"/>
      <c r="B17" s="2067"/>
      <c r="C17" s="60" t="s">
        <v>947</v>
      </c>
      <c r="D17" s="18"/>
      <c r="E17" s="18"/>
      <c r="F17" s="18"/>
      <c r="G17" s="18"/>
      <c r="H17" s="18"/>
      <c r="I17" s="18"/>
      <c r="J17" s="18"/>
      <c r="K17" s="18"/>
      <c r="L17" s="1116"/>
      <c r="M17" s="1369"/>
      <c r="N17" s="524"/>
      <c r="O17" s="18"/>
      <c r="P17" s="18"/>
      <c r="Q17" s="524"/>
      <c r="R17" s="18"/>
      <c r="S17" s="1241"/>
      <c r="T17" s="1240"/>
      <c r="U17" s="1241"/>
      <c r="V17" s="1241"/>
      <c r="W17" s="1240"/>
      <c r="X17" s="1241"/>
      <c r="Y17" s="1241"/>
      <c r="Z17" s="1241"/>
      <c r="AA17" s="1241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384"/>
      <c r="AU17" s="1384"/>
      <c r="AV17" s="1384"/>
      <c r="AW17" s="1384"/>
      <c r="AX17" s="1385"/>
      <c r="AY17" s="1384"/>
      <c r="AZ17" s="1386"/>
      <c r="BA17" s="1384"/>
    </row>
    <row r="18" spans="1:52" s="1374" customFormat="1" ht="15">
      <c r="A18" s="213"/>
      <c r="B18" s="2067"/>
      <c r="C18" s="60" t="s">
        <v>940</v>
      </c>
      <c r="D18" s="18">
        <f>SUM(E18:F18)</f>
        <v>4.302</v>
      </c>
      <c r="E18" s="311">
        <v>4.302</v>
      </c>
      <c r="F18" s="18"/>
      <c r="G18" s="18">
        <f>SUM(H18:I18)</f>
        <v>0</v>
      </c>
      <c r="H18" s="311"/>
      <c r="I18" s="18"/>
      <c r="J18" s="18">
        <f>SUM(K18:L18)</f>
        <v>0</v>
      </c>
      <c r="K18" s="311"/>
      <c r="L18" s="1116"/>
      <c r="M18" s="1369">
        <f>SUM(N18:O18)</f>
        <v>2.418</v>
      </c>
      <c r="N18" s="524">
        <v>2.418</v>
      </c>
      <c r="O18" s="18"/>
      <c r="P18" s="18">
        <f>SUM(Q18:R18)</f>
        <v>1.212</v>
      </c>
      <c r="Q18" s="524">
        <v>1.212</v>
      </c>
      <c r="R18" s="18"/>
      <c r="S18" s="1240">
        <f>SUM(T18:U18)</f>
        <v>1.2116099999999999</v>
      </c>
      <c r="T18" s="1401">
        <f>W18+Z18</f>
        <v>1.2116099999999999</v>
      </c>
      <c r="U18" s="1243"/>
      <c r="V18" s="1243">
        <f>SUM(W18:X18)</f>
        <v>0.740095</v>
      </c>
      <c r="W18" s="1243">
        <f>V23</f>
        <v>0.740095</v>
      </c>
      <c r="X18" s="1243"/>
      <c r="Y18" s="1243">
        <f>SUM(Z18:AA18)</f>
        <v>0.4715149999999999</v>
      </c>
      <c r="Z18" s="1243">
        <f>Y23</f>
        <v>0.4715149999999999</v>
      </c>
      <c r="AA18" s="1243"/>
      <c r="AB18" s="487">
        <f>AC18</f>
        <v>1.2118099999999998</v>
      </c>
      <c r="AC18" s="487">
        <f>AF18+AI18</f>
        <v>1.2118099999999998</v>
      </c>
      <c r="AD18" s="487"/>
      <c r="AE18" s="487">
        <f>AF18</f>
        <v>0.7404361764705881</v>
      </c>
      <c r="AF18" s="487">
        <f>AE23</f>
        <v>0.7404361764705881</v>
      </c>
      <c r="AG18" s="487"/>
      <c r="AH18" s="487">
        <f>AI18</f>
        <v>0.4713738235294117</v>
      </c>
      <c r="AI18" s="487">
        <f>AH23</f>
        <v>0.4713738235294117</v>
      </c>
      <c r="AJ18" s="487"/>
      <c r="AK18" s="487">
        <f>AB18</f>
        <v>1.2118099999999998</v>
      </c>
      <c r="AL18" s="487">
        <f>AC18</f>
        <v>1.2118099999999998</v>
      </c>
      <c r="AM18" s="487"/>
      <c r="AN18" s="487">
        <f>AE18</f>
        <v>0.7404361764705881</v>
      </c>
      <c r="AO18" s="487">
        <f>AF18</f>
        <v>0.7404361764705881</v>
      </c>
      <c r="AP18" s="487"/>
      <c r="AQ18" s="487">
        <f>AH18</f>
        <v>0.4713738235294117</v>
      </c>
      <c r="AR18" s="487">
        <f>AI18</f>
        <v>0.4713738235294117</v>
      </c>
      <c r="AS18" s="487"/>
      <c r="AT18" s="1384"/>
      <c r="AX18" s="1387"/>
      <c r="AZ18" s="1388"/>
    </row>
    <row r="19" spans="1:52" s="1374" customFormat="1" ht="15">
      <c r="A19" s="213"/>
      <c r="B19" s="2068"/>
      <c r="C19" s="60" t="s">
        <v>941</v>
      </c>
      <c r="D19" s="18"/>
      <c r="E19" s="18"/>
      <c r="F19" s="18"/>
      <c r="G19" s="18"/>
      <c r="H19" s="18"/>
      <c r="I19" s="18"/>
      <c r="J19" s="18"/>
      <c r="K19" s="18"/>
      <c r="L19" s="1116"/>
      <c r="M19" s="18"/>
      <c r="N19" s="524"/>
      <c r="O19" s="18"/>
      <c r="P19" s="18"/>
      <c r="Q19" s="524"/>
      <c r="R19" s="18"/>
      <c r="S19" s="91"/>
      <c r="T19" s="524"/>
      <c r="U19" s="91"/>
      <c r="V19" s="91"/>
      <c r="W19" s="524"/>
      <c r="X19" s="91"/>
      <c r="Y19" s="91"/>
      <c r="Z19" s="91"/>
      <c r="AA19" s="91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384"/>
      <c r="AZ19" s="1388"/>
    </row>
    <row r="20" spans="1:45" s="1374" customFormat="1" ht="25.5">
      <c r="A20" s="213"/>
      <c r="B20" s="47" t="s">
        <v>1664</v>
      </c>
      <c r="C20" s="54" t="s">
        <v>1292</v>
      </c>
      <c r="D20" s="19">
        <f>SUM(E20:F20)</f>
        <v>0</v>
      </c>
      <c r="E20" s="19"/>
      <c r="F20" s="19"/>
      <c r="G20" s="19">
        <f>SUM(H20:I20)</f>
        <v>0</v>
      </c>
      <c r="H20" s="19"/>
      <c r="I20" s="19"/>
      <c r="J20" s="19">
        <f>SUM(K20:L20)</f>
        <v>0</v>
      </c>
      <c r="K20" s="18">
        <f>SUM(K21:K21)</f>
        <v>0</v>
      </c>
      <c r="L20" s="1112"/>
      <c r="M20" s="19"/>
      <c r="N20" s="524"/>
      <c r="O20" s="18"/>
      <c r="P20" s="19"/>
      <c r="Q20" s="524"/>
      <c r="R20" s="18"/>
      <c r="S20" s="90"/>
      <c r="T20" s="524"/>
      <c r="U20" s="91"/>
      <c r="V20" s="90"/>
      <c r="W20" s="524"/>
      <c r="X20" s="91"/>
      <c r="Y20" s="90"/>
      <c r="Z20" s="91"/>
      <c r="AA20" s="91"/>
      <c r="AB20" s="1253"/>
      <c r="AC20" s="1253"/>
      <c r="AD20" s="1253"/>
      <c r="AE20" s="1253"/>
      <c r="AF20" s="1254"/>
      <c r="AG20" s="1254"/>
      <c r="AH20" s="1253"/>
      <c r="AI20" s="1254"/>
      <c r="AJ20" s="1254"/>
      <c r="AK20" s="1253"/>
      <c r="AL20" s="1253"/>
      <c r="AM20" s="1253"/>
      <c r="AN20" s="1253"/>
      <c r="AO20" s="1254"/>
      <c r="AP20" s="1254"/>
      <c r="AQ20" s="1253"/>
      <c r="AR20" s="1254"/>
      <c r="AS20" s="1254"/>
    </row>
    <row r="21" spans="1:53" s="1374" customFormat="1" ht="15">
      <c r="A21" s="213"/>
      <c r="B21" s="185"/>
      <c r="C21" s="36" t="s">
        <v>1688</v>
      </c>
      <c r="D21" s="18"/>
      <c r="E21" s="18"/>
      <c r="F21" s="18"/>
      <c r="G21" s="18"/>
      <c r="H21" s="18"/>
      <c r="I21" s="18"/>
      <c r="J21" s="18"/>
      <c r="K21" s="18"/>
      <c r="L21" s="1116"/>
      <c r="M21" s="18"/>
      <c r="N21" s="524"/>
      <c r="O21" s="18"/>
      <c r="P21" s="18"/>
      <c r="Q21" s="524"/>
      <c r="R21" s="18"/>
      <c r="S21" s="91"/>
      <c r="T21" s="524"/>
      <c r="U21" s="91"/>
      <c r="V21" s="91"/>
      <c r="W21" s="524"/>
      <c r="X21" s="91"/>
      <c r="Y21" s="91"/>
      <c r="Z21" s="91"/>
      <c r="AA21" s="91"/>
      <c r="AB21" s="1254"/>
      <c r="AC21" s="1254"/>
      <c r="AD21" s="1254"/>
      <c r="AE21" s="1254"/>
      <c r="AF21" s="1254"/>
      <c r="AG21" s="1254"/>
      <c r="AH21" s="1254"/>
      <c r="AI21" s="1254"/>
      <c r="AJ21" s="1254"/>
      <c r="AK21" s="1254"/>
      <c r="AL21" s="1254"/>
      <c r="AM21" s="1254"/>
      <c r="AN21" s="1254"/>
      <c r="AO21" s="1254"/>
      <c r="AP21" s="1254"/>
      <c r="AQ21" s="1254"/>
      <c r="AR21" s="1254"/>
      <c r="AS21" s="1254"/>
      <c r="AT21" s="501"/>
      <c r="AU21" s="1381"/>
      <c r="AW21" s="1389"/>
      <c r="AX21" s="1390"/>
      <c r="AY21" s="1389"/>
      <c r="AZ21" s="1391"/>
      <c r="BA21" s="1392"/>
    </row>
    <row r="22" spans="1:51" s="1374" customFormat="1" ht="38.25">
      <c r="A22" s="213">
        <v>2</v>
      </c>
      <c r="B22" s="47" t="s">
        <v>1666</v>
      </c>
      <c r="C22" s="56" t="s">
        <v>1179</v>
      </c>
      <c r="D22" s="19">
        <f>SUM(E22:F22)</f>
        <v>0</v>
      </c>
      <c r="E22" s="48"/>
      <c r="F22" s="48"/>
      <c r="G22" s="19">
        <f>SUM(H22:I22)</f>
        <v>0</v>
      </c>
      <c r="H22" s="48"/>
      <c r="I22" s="48"/>
      <c r="J22" s="19">
        <f>SUM(K22:L22)</f>
        <v>0</v>
      </c>
      <c r="K22" s="48"/>
      <c r="L22" s="48"/>
      <c r="M22" s="19"/>
      <c r="N22" s="525"/>
      <c r="O22" s="20"/>
      <c r="P22" s="19"/>
      <c r="Q22" s="525"/>
      <c r="R22" s="20"/>
      <c r="S22" s="90"/>
      <c r="T22" s="525"/>
      <c r="U22" s="93"/>
      <c r="V22" s="90"/>
      <c r="W22" s="524"/>
      <c r="X22" s="93"/>
      <c r="Y22" s="90"/>
      <c r="Z22" s="91"/>
      <c r="AA22" s="93"/>
      <c r="AB22" s="1253"/>
      <c r="AC22" s="1255"/>
      <c r="AD22" s="1255"/>
      <c r="AE22" s="1253"/>
      <c r="AF22" s="1256"/>
      <c r="AG22" s="1256"/>
      <c r="AH22" s="1253"/>
      <c r="AI22" s="1254"/>
      <c r="AJ22" s="1256"/>
      <c r="AK22" s="1253"/>
      <c r="AL22" s="1255"/>
      <c r="AM22" s="1255"/>
      <c r="AN22" s="1253"/>
      <c r="AO22" s="1256"/>
      <c r="AP22" s="1256"/>
      <c r="AQ22" s="1253"/>
      <c r="AR22" s="1254"/>
      <c r="AS22" s="1256"/>
      <c r="AT22" s="501"/>
      <c r="AU22" s="1381"/>
      <c r="AV22" s="1382"/>
      <c r="AW22" s="1382"/>
      <c r="AX22" s="1382"/>
      <c r="AY22" s="1382"/>
    </row>
    <row r="23" spans="1:49" s="1374" customFormat="1" ht="38.25">
      <c r="A23" s="324">
        <v>3</v>
      </c>
      <c r="B23" s="316" t="s">
        <v>1672</v>
      </c>
      <c r="C23" s="325" t="s">
        <v>1488</v>
      </c>
      <c r="D23" s="318">
        <f>SUM(E23:F23)</f>
        <v>4.302</v>
      </c>
      <c r="E23" s="318">
        <f>E14+E20-E22</f>
        <v>4.302</v>
      </c>
      <c r="F23" s="318">
        <f>F14+F20-F22</f>
        <v>0</v>
      </c>
      <c r="G23" s="318">
        <f>SUM(H23:I23)</f>
        <v>0</v>
      </c>
      <c r="H23" s="318">
        <f>H14+H20-H22</f>
        <v>0</v>
      </c>
      <c r="I23" s="318">
        <f>I14+I20-I22</f>
        <v>0</v>
      </c>
      <c r="J23" s="318">
        <f>SUM(K23:L23)</f>
        <v>0</v>
      </c>
      <c r="K23" s="318">
        <f>K14+K20-K22</f>
        <v>0</v>
      </c>
      <c r="L23" s="318">
        <f>L14+L20-L22</f>
        <v>0</v>
      </c>
      <c r="M23" s="528">
        <f>SUM(N23:O23)</f>
        <v>2.418</v>
      </c>
      <c r="N23" s="1250">
        <f>N14+N20-N22</f>
        <v>2.418</v>
      </c>
      <c r="O23" s="326"/>
      <c r="P23" s="318">
        <f>SUM(Q23:R23)</f>
        <v>1.212</v>
      </c>
      <c r="Q23" s="1250">
        <f>Q14+Q20-Q22</f>
        <v>1.212</v>
      </c>
      <c r="R23" s="326"/>
      <c r="S23" s="528">
        <f>SUM(T23:U23)</f>
        <v>1.2116099999999999</v>
      </c>
      <c r="T23" s="1250">
        <f>W23+Z23</f>
        <v>1.2116099999999999</v>
      </c>
      <c r="U23" s="1250"/>
      <c r="V23" s="528">
        <f>SUM(W23:X23)</f>
        <v>0.740095</v>
      </c>
      <c r="W23" s="1250">
        <f>W24+W26</f>
        <v>0.740095</v>
      </c>
      <c r="X23" s="1250"/>
      <c r="Y23" s="528">
        <f>SUM(Z23:AA23)</f>
        <v>0.4715149999999999</v>
      </c>
      <c r="Z23" s="1250">
        <f>Z24+Z26</f>
        <v>0.4715149999999999</v>
      </c>
      <c r="AA23" s="326"/>
      <c r="AB23" s="499">
        <f>AC23</f>
        <v>1.2118099999999998</v>
      </c>
      <c r="AC23" s="503">
        <f>AF23+AI23</f>
        <v>1.2118099999999998</v>
      </c>
      <c r="AD23" s="499"/>
      <c r="AE23" s="499">
        <f>AF23</f>
        <v>0.7404361764705881</v>
      </c>
      <c r="AF23" s="503">
        <f>AF24+AF25+AF26</f>
        <v>0.7404361764705881</v>
      </c>
      <c r="AG23" s="499"/>
      <c r="AH23" s="499">
        <f>AI23</f>
        <v>0.4713738235294117</v>
      </c>
      <c r="AI23" s="503">
        <f>AI24+AI25+AI26</f>
        <v>0.4713738235294117</v>
      </c>
      <c r="AJ23" s="499"/>
      <c r="AK23" s="499">
        <f aca="true" t="shared" si="0" ref="AK23:AL26">AB23</f>
        <v>1.2118099999999998</v>
      </c>
      <c r="AL23" s="499">
        <f t="shared" si="0"/>
        <v>1.2118099999999998</v>
      </c>
      <c r="AM23" s="499"/>
      <c r="AN23" s="499">
        <f aca="true" t="shared" si="1" ref="AN23:AO26">AE23</f>
        <v>0.7404361764705881</v>
      </c>
      <c r="AO23" s="499">
        <f t="shared" si="1"/>
        <v>0.7404361764705881</v>
      </c>
      <c r="AP23" s="499"/>
      <c r="AQ23" s="499">
        <f aca="true" t="shared" si="2" ref="AQ23:AR26">AH23</f>
        <v>0.4713738235294117</v>
      </c>
      <c r="AR23" s="499">
        <f t="shared" si="2"/>
        <v>0.4713738235294117</v>
      </c>
      <c r="AS23" s="499"/>
      <c r="AT23" s="501"/>
      <c r="AU23" s="1381"/>
      <c r="AV23" s="1393"/>
      <c r="AW23" s="1393"/>
    </row>
    <row r="24" spans="1:51" s="1374" customFormat="1" ht="38.25">
      <c r="A24" s="213">
        <v>4</v>
      </c>
      <c r="B24" s="47" t="s">
        <v>1673</v>
      </c>
      <c r="C24" s="55" t="s">
        <v>1293</v>
      </c>
      <c r="D24" s="19">
        <f>SUM(E24:F24)</f>
        <v>0.004</v>
      </c>
      <c r="E24" s="19">
        <v>0.004</v>
      </c>
      <c r="F24" s="19"/>
      <c r="G24" s="19">
        <f>SUM(H24:I24)</f>
        <v>0</v>
      </c>
      <c r="H24" s="19"/>
      <c r="I24" s="19"/>
      <c r="J24" s="19">
        <f>SUM(K24:L24)</f>
        <v>0</v>
      </c>
      <c r="K24" s="180"/>
      <c r="L24" s="19"/>
      <c r="M24" s="1370">
        <f>SUM(N24:O24)</f>
        <v>0.0048</v>
      </c>
      <c r="N24" s="524">
        <v>0.0048</v>
      </c>
      <c r="O24" s="18"/>
      <c r="P24" s="19">
        <f>SUM(Q24:R24)</f>
        <v>0.0048</v>
      </c>
      <c r="Q24" s="524">
        <f>W24+Z24</f>
        <v>0.0048</v>
      </c>
      <c r="R24" s="18"/>
      <c r="S24" s="521">
        <f>SUM(T24:U24)</f>
        <v>0.0048</v>
      </c>
      <c r="T24" s="1400">
        <v>0.0048</v>
      </c>
      <c r="U24" s="524"/>
      <c r="V24" s="521">
        <f>SUM(W24:X24)</f>
        <v>0.0026</v>
      </c>
      <c r="W24" s="524">
        <v>0.0026</v>
      </c>
      <c r="X24" s="524"/>
      <c r="Y24" s="521">
        <f>SUM(Z24:AA24)</f>
        <v>0.0021999999999999997</v>
      </c>
      <c r="Z24" s="524">
        <f>T24-W24</f>
        <v>0.0021999999999999997</v>
      </c>
      <c r="AA24" s="91"/>
      <c r="AB24" s="487">
        <f>AC24</f>
        <v>0.005</v>
      </c>
      <c r="AC24" s="493">
        <v>0.005</v>
      </c>
      <c r="AD24" s="487"/>
      <c r="AE24" s="487">
        <f>AF24</f>
        <v>0.0029411764705882353</v>
      </c>
      <c r="AF24" s="493">
        <f>AC24/1.7</f>
        <v>0.0029411764705882353</v>
      </c>
      <c r="AG24" s="487"/>
      <c r="AH24" s="487">
        <f>AI24</f>
        <v>0.002058823529411765</v>
      </c>
      <c r="AI24" s="493">
        <f>AC24-AF24</f>
        <v>0.002058823529411765</v>
      </c>
      <c r="AJ24" s="487"/>
      <c r="AK24" s="487">
        <f t="shared" si="0"/>
        <v>0.005</v>
      </c>
      <c r="AL24" s="487">
        <f t="shared" si="0"/>
        <v>0.005</v>
      </c>
      <c r="AM24" s="487"/>
      <c r="AN24" s="487">
        <f t="shared" si="1"/>
        <v>0.0029411764705882353</v>
      </c>
      <c r="AO24" s="487">
        <f t="shared" si="1"/>
        <v>0.0029411764705882353</v>
      </c>
      <c r="AP24" s="487"/>
      <c r="AQ24" s="487">
        <f t="shared" si="2"/>
        <v>0.002058823529411765</v>
      </c>
      <c r="AR24" s="487">
        <f t="shared" si="2"/>
        <v>0.002058823529411765</v>
      </c>
      <c r="AS24" s="487"/>
      <c r="AT24" s="1394"/>
      <c r="AU24" s="1381"/>
      <c r="AV24" s="1382"/>
      <c r="AW24" s="1382"/>
      <c r="AX24" s="1382"/>
      <c r="AY24" s="1382"/>
    </row>
    <row r="25" spans="1:48" s="1374" customFormat="1" ht="15">
      <c r="A25" s="213">
        <v>5</v>
      </c>
      <c r="B25" s="53" t="s">
        <v>1674</v>
      </c>
      <c r="C25" s="57"/>
      <c r="D25" s="48"/>
      <c r="E25" s="48"/>
      <c r="F25" s="48"/>
      <c r="G25" s="48"/>
      <c r="H25" s="48"/>
      <c r="I25" s="48"/>
      <c r="J25" s="48"/>
      <c r="K25" s="48"/>
      <c r="L25" s="48"/>
      <c r="M25" s="1398"/>
      <c r="N25" s="525"/>
      <c r="O25" s="20"/>
      <c r="P25" s="48"/>
      <c r="Q25" s="524"/>
      <c r="R25" s="18"/>
      <c r="S25" s="1252"/>
      <c r="T25" s="1399"/>
      <c r="U25" s="525"/>
      <c r="V25" s="1252"/>
      <c r="W25" s="525"/>
      <c r="X25" s="525"/>
      <c r="Y25" s="1252"/>
      <c r="Z25" s="525"/>
      <c r="AA25" s="525"/>
      <c r="AB25" s="487"/>
      <c r="AC25" s="493"/>
      <c r="AD25" s="487"/>
      <c r="AE25" s="487"/>
      <c r="AF25" s="493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502"/>
      <c r="AU25" s="1381"/>
      <c r="AV25" s="1382"/>
    </row>
    <row r="26" spans="1:50" s="1374" customFormat="1" ht="52.5" customHeight="1">
      <c r="A26" s="320">
        <v>6</v>
      </c>
      <c r="B26" s="316">
        <v>7</v>
      </c>
      <c r="C26" s="321" t="s">
        <v>1489</v>
      </c>
      <c r="D26" s="322">
        <f>SUM(E26:F26)</f>
        <v>4.298</v>
      </c>
      <c r="E26" s="322">
        <f>E23-E24-E25</f>
        <v>4.298</v>
      </c>
      <c r="F26" s="322">
        <f>F23-F24-F25</f>
        <v>0</v>
      </c>
      <c r="G26" s="322">
        <f>SUM(H26:I26)</f>
        <v>0</v>
      </c>
      <c r="H26" s="322">
        <f>H23-H24-H25</f>
        <v>0</v>
      </c>
      <c r="I26" s="322">
        <f>I23-I24-I25</f>
        <v>0</v>
      </c>
      <c r="J26" s="322">
        <f>SUM(K26:L26)</f>
        <v>0</v>
      </c>
      <c r="K26" s="322">
        <f>K23-K24-K25</f>
        <v>0</v>
      </c>
      <c r="L26" s="322">
        <f>L23-L24-L25</f>
        <v>0</v>
      </c>
      <c r="M26" s="528">
        <f>SUM(N26:O26)</f>
        <v>2.4132000000000002</v>
      </c>
      <c r="N26" s="1250">
        <f>N23-N24-N25</f>
        <v>2.4132000000000002</v>
      </c>
      <c r="O26" s="323"/>
      <c r="P26" s="322">
        <f>SUM(Q26:R26)</f>
        <v>1.2072</v>
      </c>
      <c r="Q26" s="1395">
        <f>Q23-Q24-Q25</f>
        <v>1.2072</v>
      </c>
      <c r="R26" s="323"/>
      <c r="S26" s="528">
        <f>SUM(T26:U26)</f>
        <v>1.20681</v>
      </c>
      <c r="T26" s="1250">
        <f>W26+Z26</f>
        <v>1.20681</v>
      </c>
      <c r="U26" s="1250"/>
      <c r="V26" s="528">
        <f>SUM(W26:X26)</f>
        <v>0.7374949999999999</v>
      </c>
      <c r="W26" s="1250">
        <f>'перечень строений'!I8/1000</f>
        <v>0.7374949999999999</v>
      </c>
      <c r="X26" s="1250"/>
      <c r="Y26" s="528">
        <f>SUM(Z26:AA26)</f>
        <v>0.4693149999999999</v>
      </c>
      <c r="Z26" s="1250">
        <f>'перечень строений'!J8/1000</f>
        <v>0.4693149999999999</v>
      </c>
      <c r="AA26" s="326"/>
      <c r="AB26" s="499">
        <f>AC26</f>
        <v>1.20681</v>
      </c>
      <c r="AC26" s="503">
        <f>AF26+AI26</f>
        <v>1.20681</v>
      </c>
      <c r="AD26" s="499"/>
      <c r="AE26" s="499">
        <f>AF26</f>
        <v>0.7374949999999999</v>
      </c>
      <c r="AF26" s="503">
        <f>'перечень строений'!I8/1000</f>
        <v>0.7374949999999999</v>
      </c>
      <c r="AG26" s="499"/>
      <c r="AH26" s="499">
        <f>AI26</f>
        <v>0.4693149999999999</v>
      </c>
      <c r="AI26" s="503">
        <f>'перечень строений'!J8/1000</f>
        <v>0.4693149999999999</v>
      </c>
      <c r="AJ26" s="499"/>
      <c r="AK26" s="499">
        <f t="shared" si="0"/>
        <v>1.20681</v>
      </c>
      <c r="AL26" s="499">
        <f t="shared" si="0"/>
        <v>1.20681</v>
      </c>
      <c r="AM26" s="499"/>
      <c r="AN26" s="499">
        <f t="shared" si="1"/>
        <v>0.7374949999999999</v>
      </c>
      <c r="AO26" s="499">
        <f t="shared" si="1"/>
        <v>0.7374949999999999</v>
      </c>
      <c r="AP26" s="499"/>
      <c r="AQ26" s="499">
        <f t="shared" si="2"/>
        <v>0.4693149999999999</v>
      </c>
      <c r="AR26" s="499">
        <f t="shared" si="2"/>
        <v>0.4693149999999999</v>
      </c>
      <c r="AS26" s="499"/>
      <c r="AU26" s="1381"/>
      <c r="AV26" s="1382"/>
      <c r="AW26" s="1382"/>
      <c r="AX26" s="1382"/>
    </row>
    <row r="27" spans="1:45" s="1374" customFormat="1" ht="14.25" hidden="1" outlineLevel="1">
      <c r="A27" s="213"/>
      <c r="B27" s="113" t="s">
        <v>304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107" s="1374" customFormat="1" ht="31.5" customHeight="1" hidden="1" outlineLevel="1">
      <c r="A28" s="213"/>
      <c r="B28" s="116" t="s">
        <v>238</v>
      </c>
      <c r="C28" s="2140" t="s">
        <v>1181</v>
      </c>
      <c r="D28" s="2140"/>
      <c r="E28" s="2140"/>
      <c r="F28" s="2140"/>
      <c r="G28" s="2140"/>
      <c r="H28" s="2140"/>
      <c r="I28" s="2140"/>
      <c r="J28" s="2140"/>
      <c r="K28" s="2140"/>
      <c r="L28" s="2140"/>
      <c r="M28" s="2140"/>
      <c r="N28" s="2140"/>
      <c r="O28" s="2140"/>
      <c r="P28" s="2140"/>
      <c r="Q28" s="2140"/>
      <c r="R28" s="2140"/>
      <c r="S28" s="2140"/>
      <c r="T28" s="2140"/>
      <c r="U28" s="2140"/>
      <c r="V28" s="2140"/>
      <c r="W28" s="2140"/>
      <c r="X28" s="214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77"/>
      <c r="AU28" s="1377"/>
      <c r="AV28" s="1377"/>
      <c r="AW28" s="1377"/>
      <c r="AX28" s="1377"/>
      <c r="AY28" s="1377"/>
      <c r="AZ28" s="1377"/>
      <c r="BA28" s="1377"/>
      <c r="BB28" s="1377"/>
      <c r="BC28" s="1377"/>
      <c r="BD28" s="1377"/>
      <c r="BE28" s="1377"/>
      <c r="BF28" s="1377"/>
      <c r="BG28" s="1377"/>
      <c r="BH28" s="1377"/>
      <c r="BI28" s="1377"/>
      <c r="BJ28" s="1377"/>
      <c r="BK28" s="1377"/>
      <c r="BL28" s="1377"/>
      <c r="BM28" s="1377"/>
      <c r="BN28" s="1377"/>
      <c r="BO28" s="1377"/>
      <c r="BP28" s="1377"/>
      <c r="BQ28" s="1377"/>
      <c r="BR28" s="1377"/>
      <c r="BS28" s="1377"/>
      <c r="BT28" s="1377"/>
      <c r="BU28" s="1377"/>
      <c r="BV28" s="1377"/>
      <c r="BW28" s="1377"/>
      <c r="BX28" s="1377"/>
      <c r="BY28" s="1377"/>
      <c r="BZ28" s="1377"/>
      <c r="CA28" s="1377"/>
      <c r="CB28" s="1377"/>
      <c r="CC28" s="1377"/>
      <c r="CD28" s="1377"/>
      <c r="CE28" s="1377"/>
      <c r="CF28" s="1377"/>
      <c r="CG28" s="1377"/>
      <c r="CH28" s="1377"/>
      <c r="CI28" s="1377"/>
      <c r="CJ28" s="1377"/>
      <c r="CK28" s="1377"/>
      <c r="CL28" s="1377"/>
      <c r="CM28" s="1377"/>
      <c r="CN28" s="1377"/>
      <c r="CO28" s="1377"/>
      <c r="CP28" s="1377"/>
      <c r="CQ28" s="1377"/>
      <c r="CR28" s="1377"/>
      <c r="CS28" s="1377"/>
      <c r="CT28" s="1377"/>
      <c r="CU28" s="1377"/>
      <c r="CV28" s="1377"/>
      <c r="CW28" s="1377"/>
      <c r="CX28" s="1377"/>
      <c r="CY28" s="1377"/>
      <c r="CZ28" s="1377"/>
      <c r="DA28" s="1377"/>
      <c r="DB28" s="1377"/>
      <c r="DC28" s="1377"/>
    </row>
    <row r="29" spans="1:107" s="1374" customFormat="1" ht="14.25" hidden="1" outlineLevel="1">
      <c r="A29" s="213"/>
      <c r="B29" s="116" t="s">
        <v>240</v>
      </c>
      <c r="C29" s="114" t="s">
        <v>1593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378"/>
      <c r="AU29" s="1378"/>
      <c r="AV29" s="1378"/>
      <c r="AW29" s="1378"/>
      <c r="AX29" s="1378"/>
      <c r="AY29" s="1378"/>
      <c r="AZ29" s="1378"/>
      <c r="BA29" s="1378"/>
      <c r="BB29" s="1378"/>
      <c r="BC29" s="1378"/>
      <c r="BD29" s="1378"/>
      <c r="BE29" s="1378"/>
      <c r="BF29" s="1378"/>
      <c r="BG29" s="1378"/>
      <c r="BH29" s="1378"/>
      <c r="BI29" s="1378"/>
      <c r="BJ29" s="1378"/>
      <c r="BK29" s="1378"/>
      <c r="BL29" s="1378"/>
      <c r="BM29" s="1378"/>
      <c r="BN29" s="1378"/>
      <c r="BO29" s="1378"/>
      <c r="BP29" s="1378"/>
      <c r="BQ29" s="1378"/>
      <c r="BR29" s="1378"/>
      <c r="BS29" s="1378"/>
      <c r="BT29" s="1378"/>
      <c r="BU29" s="1378"/>
      <c r="BV29" s="1378"/>
      <c r="BW29" s="1378"/>
      <c r="BX29" s="1378"/>
      <c r="BY29" s="1378"/>
      <c r="BZ29" s="1378"/>
      <c r="CA29" s="1378"/>
      <c r="CB29" s="1378"/>
      <c r="CC29" s="1378"/>
      <c r="CD29" s="1378"/>
      <c r="CE29" s="1378"/>
      <c r="CF29" s="1378"/>
      <c r="CG29" s="1378"/>
      <c r="CH29" s="1378"/>
      <c r="CI29" s="1378"/>
      <c r="CJ29" s="1378"/>
      <c r="CK29" s="1378"/>
      <c r="CL29" s="1378"/>
      <c r="CM29" s="1378"/>
      <c r="CN29" s="1378"/>
      <c r="CO29" s="1378"/>
      <c r="CP29" s="1378"/>
      <c r="CQ29" s="1378"/>
      <c r="CR29" s="1378"/>
      <c r="CS29" s="1378"/>
      <c r="CT29" s="1378"/>
      <c r="CU29" s="1378"/>
      <c r="CV29" s="1378"/>
      <c r="CW29" s="1378"/>
      <c r="CX29" s="1378"/>
      <c r="CY29" s="1378"/>
      <c r="CZ29" s="1378"/>
      <c r="DA29" s="1378"/>
      <c r="DB29" s="1378"/>
      <c r="DC29" s="1378"/>
    </row>
    <row r="30" spans="1:107" s="1374" customFormat="1" ht="14.25" hidden="1" outlineLevel="1">
      <c r="A30" s="213"/>
      <c r="B30" s="116" t="s">
        <v>241</v>
      </c>
      <c r="C30" s="114" t="s">
        <v>1492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378"/>
      <c r="AU30" s="1378"/>
      <c r="AV30" s="1378"/>
      <c r="AW30" s="1378"/>
      <c r="AX30" s="1378"/>
      <c r="AY30" s="1378"/>
      <c r="AZ30" s="1378"/>
      <c r="BA30" s="1378"/>
      <c r="BB30" s="1378"/>
      <c r="BC30" s="1378"/>
      <c r="BD30" s="1378"/>
      <c r="BE30" s="1378"/>
      <c r="BF30" s="1378"/>
      <c r="BG30" s="1378"/>
      <c r="BH30" s="1378"/>
      <c r="BI30" s="1378"/>
      <c r="BJ30" s="1378"/>
      <c r="BK30" s="1378"/>
      <c r="BL30" s="1378"/>
      <c r="BM30" s="1378"/>
      <c r="BN30" s="1378"/>
      <c r="BO30" s="1378"/>
      <c r="BP30" s="1378"/>
      <c r="BQ30" s="1378"/>
      <c r="BR30" s="1378"/>
      <c r="BS30" s="1378"/>
      <c r="BT30" s="1378"/>
      <c r="BU30" s="1378"/>
      <c r="BV30" s="1378"/>
      <c r="BW30" s="1378"/>
      <c r="BX30" s="1378"/>
      <c r="BY30" s="1378"/>
      <c r="BZ30" s="1378"/>
      <c r="CA30" s="1378"/>
      <c r="CB30" s="1378"/>
      <c r="CC30" s="1378"/>
      <c r="CD30" s="1378"/>
      <c r="CE30" s="1378"/>
      <c r="CF30" s="1378"/>
      <c r="CG30" s="1378"/>
      <c r="CH30" s="1378"/>
      <c r="CI30" s="1378"/>
      <c r="CJ30" s="1378"/>
      <c r="CK30" s="1378"/>
      <c r="CL30" s="1378"/>
      <c r="CM30" s="1378"/>
      <c r="CN30" s="1378"/>
      <c r="CO30" s="1378"/>
      <c r="CP30" s="1378"/>
      <c r="CQ30" s="1378"/>
      <c r="CR30" s="1378"/>
      <c r="CS30" s="1378"/>
      <c r="CT30" s="1378"/>
      <c r="CU30" s="1378"/>
      <c r="CV30" s="1378"/>
      <c r="CW30" s="1378"/>
      <c r="CX30" s="1378"/>
      <c r="CY30" s="1378"/>
      <c r="CZ30" s="1378"/>
      <c r="DA30" s="1378"/>
      <c r="DB30" s="1378"/>
      <c r="DC30" s="1378"/>
    </row>
    <row r="31" spans="1:45" s="1374" customFormat="1" ht="14.25" collapsed="1">
      <c r="A31" s="213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1374" customFormat="1" ht="14.25">
      <c r="A32" s="213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187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2:22" ht="14.25">
      <c r="B33" s="1"/>
      <c r="V33" s="187"/>
    </row>
    <row r="34" spans="2:24" ht="14.25">
      <c r="B34" s="1"/>
      <c r="C34" s="25">
        <f>'[3]3.1'!B71</f>
        <v>0</v>
      </c>
      <c r="D34" s="40"/>
      <c r="E34" s="40"/>
      <c r="F34" s="40"/>
      <c r="G34" s="40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</sheetData>
  <sheetProtection/>
  <protectedRanges>
    <protectedRange password="CC01" sqref="G2:H2" name="Диапазон1_1"/>
  </protectedRanges>
  <mergeCells count="70">
    <mergeCell ref="AD11:AD12"/>
    <mergeCell ref="AS11:AS12"/>
    <mergeCell ref="W10:X10"/>
    <mergeCell ref="T10:U10"/>
    <mergeCell ref="AO10:AP10"/>
    <mergeCell ref="AQ10:AQ12"/>
    <mergeCell ref="AF10:AG10"/>
    <mergeCell ref="AI11:AI12"/>
    <mergeCell ref="AJ11:AJ12"/>
    <mergeCell ref="AI10:AJ10"/>
    <mergeCell ref="AO11:AO12"/>
    <mergeCell ref="AP11:AP12"/>
    <mergeCell ref="AH10:AH12"/>
    <mergeCell ref="AF11:AF12"/>
    <mergeCell ref="AG11:AG12"/>
    <mergeCell ref="R11:R12"/>
    <mergeCell ref="AB8:AJ8"/>
    <mergeCell ref="AK8:AS8"/>
    <mergeCell ref="AK9:AM9"/>
    <mergeCell ref="AN9:AP9"/>
    <mergeCell ref="AQ9:AS9"/>
    <mergeCell ref="AH9:AJ9"/>
    <mergeCell ref="AE9:AG9"/>
    <mergeCell ref="AL10:AM10"/>
    <mergeCell ref="AC11:AC12"/>
    <mergeCell ref="B15:B19"/>
    <mergeCell ref="B7:B12"/>
    <mergeCell ref="Q10:R10"/>
    <mergeCell ref="M10:M12"/>
    <mergeCell ref="N10:O10"/>
    <mergeCell ref="C7:C12"/>
    <mergeCell ref="G10:G12"/>
    <mergeCell ref="H10:I10"/>
    <mergeCell ref="J10:J12"/>
    <mergeCell ref="N11:N12"/>
    <mergeCell ref="D7:R7"/>
    <mergeCell ref="M8:O9"/>
    <mergeCell ref="C28:X28"/>
    <mergeCell ref="U11:U12"/>
    <mergeCell ref="W11:W12"/>
    <mergeCell ref="D8:F9"/>
    <mergeCell ref="D10:D12"/>
    <mergeCell ref="E10:F10"/>
    <mergeCell ref="E11:E12"/>
    <mergeCell ref="H11:H12"/>
    <mergeCell ref="F11:F12"/>
    <mergeCell ref="I11:I12"/>
    <mergeCell ref="K11:K12"/>
    <mergeCell ref="AC10:AD10"/>
    <mergeCell ref="P10:P12"/>
    <mergeCell ref="K10:L10"/>
    <mergeCell ref="Q11:Q12"/>
    <mergeCell ref="O11:O12"/>
    <mergeCell ref="L11:L12"/>
    <mergeCell ref="Z10:AA10"/>
    <mergeCell ref="G8:I9"/>
    <mergeCell ref="V9:X9"/>
    <mergeCell ref="S9:U9"/>
    <mergeCell ref="P8:R9"/>
    <mergeCell ref="J8:L9"/>
    <mergeCell ref="AB9:AD9"/>
    <mergeCell ref="S7:AS7"/>
    <mergeCell ref="T11:T12"/>
    <mergeCell ref="X11:X12"/>
    <mergeCell ref="S8:AA8"/>
    <mergeCell ref="Y9:AA9"/>
    <mergeCell ref="AR10:AS10"/>
    <mergeCell ref="AL11:AL12"/>
    <mergeCell ref="AR11:AR12"/>
    <mergeCell ref="AM11:AM1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L33"/>
  <sheetViews>
    <sheetView zoomScaleSheetLayoutView="75" zoomScalePageLayoutView="0" workbookViewId="0" topLeftCell="A1">
      <pane xSplit="2" topLeftCell="Z1" activePane="topRight" state="frozen"/>
      <selection pane="topLeft" activeCell="V37" sqref="V37"/>
      <selection pane="topRight" activeCell="V37" sqref="V37"/>
    </sheetView>
  </sheetViews>
  <sheetFormatPr defaultColWidth="9.140625" defaultRowHeight="15" outlineLevelRow="1" outlineLevelCol="2"/>
  <cols>
    <col min="1" max="1" width="4.00390625" style="1" customWidth="1"/>
    <col min="2" max="2" width="28.28125" style="1" customWidth="1"/>
    <col min="3" max="3" width="12.57421875" style="1" hidden="1" customWidth="1"/>
    <col min="4" max="4" width="9.7109375" style="1" hidden="1" customWidth="1" outlineLevel="1"/>
    <col min="5" max="5" width="13.28125" style="1" hidden="1" customWidth="1" collapsed="1"/>
    <col min="6" max="6" width="12.57421875" style="1" hidden="1" customWidth="1"/>
    <col min="7" max="7" width="9.7109375" style="1" hidden="1" customWidth="1" outlineLevel="1"/>
    <col min="8" max="8" width="13.28125" style="1" hidden="1" customWidth="1" collapsed="1"/>
    <col min="9" max="9" width="11.00390625" style="1" hidden="1" customWidth="1" outlineLevel="1"/>
    <col min="10" max="10" width="10.421875" style="1" customWidth="1" collapsed="1"/>
    <col min="11" max="11" width="10.421875" style="1" hidden="1" customWidth="1" outlineLevel="1"/>
    <col min="12" max="12" width="10.421875" style="1" customWidth="1" collapsed="1"/>
    <col min="13" max="13" width="10.421875" style="1" hidden="1" customWidth="1" outlineLevel="1"/>
    <col min="14" max="14" width="10.421875" style="1" customWidth="1" collapsed="1"/>
    <col min="15" max="15" width="10.421875" style="1" hidden="1" customWidth="1" outlineLevel="1"/>
    <col min="16" max="16" width="10.421875" style="1" customWidth="1" collapsed="1"/>
    <col min="17" max="17" width="10.421875" style="1" hidden="1" customWidth="1" outlineLevel="1"/>
    <col min="18" max="18" width="10.421875" style="1" customWidth="1" collapsed="1"/>
    <col min="19" max="19" width="10.421875" style="1" hidden="1" customWidth="1" outlineLevel="1"/>
    <col min="20" max="20" width="10.421875" style="1" customWidth="1" collapsed="1"/>
    <col min="21" max="21" width="10.421875" style="1" hidden="1" customWidth="1" outlineLevel="1"/>
    <col min="22" max="22" width="10.421875" style="1" customWidth="1" collapsed="1"/>
    <col min="23" max="23" width="10.421875" style="1" hidden="1" customWidth="1" outlineLevel="1"/>
    <col min="24" max="24" width="10.421875" style="1" customWidth="1" collapsed="1"/>
    <col min="25" max="25" width="10.421875" style="1" hidden="1" customWidth="1" outlineLevel="1"/>
    <col min="26" max="26" width="10.421875" style="1" customWidth="1" collapsed="1"/>
    <col min="27" max="27" width="10.421875" style="1" hidden="1" customWidth="1" outlineLevel="1"/>
    <col min="28" max="28" width="10.421875" style="1" customWidth="1" collapsed="1"/>
    <col min="29" max="29" width="10.421875" style="1" hidden="1" customWidth="1" outlineLevel="2"/>
    <col min="30" max="30" width="10.421875" style="1" customWidth="1" outlineLevel="1" collapsed="1"/>
    <col min="31" max="31" width="10.421875" style="1" hidden="1" customWidth="1" outlineLevel="2"/>
    <col min="32" max="32" width="10.421875" style="1" customWidth="1" outlineLevel="1" collapsed="1"/>
    <col min="33" max="33" width="10.421875" style="1" hidden="1" customWidth="1" outlineLevel="2"/>
    <col min="34" max="34" width="10.421875" style="1" customWidth="1" outlineLevel="1" collapsed="1"/>
    <col min="35" max="35" width="10.421875" style="1" hidden="1" customWidth="1" outlineLevel="2"/>
    <col min="36" max="36" width="10.421875" style="1" customWidth="1" outlineLevel="1" collapsed="1"/>
    <col min="37" max="37" width="10.421875" style="1" hidden="1" customWidth="1" outlineLevel="2"/>
    <col min="38" max="38" width="10.421875" style="1" customWidth="1" outlineLevel="1" collapsed="1"/>
    <col min="39" max="39" width="10.421875" style="1" hidden="1" customWidth="1" outlineLevel="2"/>
    <col min="40" max="40" width="10.421875" style="1" customWidth="1" outlineLevel="1" collapsed="1"/>
    <col min="41" max="41" width="10.421875" style="1" hidden="1" customWidth="1" outlineLevel="2"/>
    <col min="42" max="42" width="10.421875" style="1" customWidth="1" collapsed="1"/>
    <col min="43" max="43" width="10.421875" style="1" hidden="1" customWidth="1"/>
    <col min="44" max="44" width="10.421875" style="1" customWidth="1"/>
    <col min="45" max="45" width="10.421875" style="1" hidden="1" customWidth="1"/>
    <col min="46" max="46" width="10.421875" style="1" customWidth="1"/>
    <col min="47" max="47" width="10.421875" style="1" hidden="1" customWidth="1"/>
    <col min="48" max="48" width="10.421875" style="1" customWidth="1"/>
    <col min="49" max="49" width="10.421875" style="1" hidden="1" customWidth="1"/>
    <col min="50" max="50" width="10.421875" style="1" customWidth="1"/>
    <col min="51" max="51" width="10.421875" style="1" hidden="1" customWidth="1"/>
    <col min="52" max="52" width="10.421875" style="1" customWidth="1"/>
    <col min="53" max="16384" width="9.140625" style="1" customWidth="1"/>
  </cols>
  <sheetData>
    <row r="1" spans="1:52" ht="15">
      <c r="A1" s="52" t="s">
        <v>699</v>
      </c>
      <c r="B1" s="52"/>
      <c r="C1" s="52"/>
      <c r="D1" s="52"/>
      <c r="E1" s="52"/>
      <c r="F1" s="514"/>
      <c r="G1" s="513"/>
      <c r="H1" s="52"/>
      <c r="I1" s="52"/>
      <c r="J1" s="52"/>
      <c r="K1" s="37"/>
      <c r="L1" s="37"/>
      <c r="AB1" s="2"/>
      <c r="AK1" s="11"/>
      <c r="AO1" s="2"/>
      <c r="AV1" s="2060" t="s">
        <v>1296</v>
      </c>
      <c r="AW1" s="2060"/>
      <c r="AX1" s="2060"/>
      <c r="AZ1" s="64"/>
    </row>
    <row r="2" spans="1:35" ht="12.75">
      <c r="A2" s="1257" t="str">
        <f>'4.1'!B3</f>
        <v>Базовый период/Период регулирования:2016/2017-2019 г.г.</v>
      </c>
      <c r="B2" s="1257"/>
      <c r="C2" s="1257"/>
      <c r="D2" s="1257"/>
      <c r="E2" s="1257"/>
      <c r="F2" s="1257"/>
      <c r="G2" s="1257"/>
      <c r="H2" s="1257"/>
      <c r="I2" s="1257"/>
      <c r="J2" s="1257"/>
      <c r="K2" s="578"/>
      <c r="L2" s="578"/>
      <c r="M2" s="578"/>
      <c r="N2" s="578"/>
      <c r="O2" s="578"/>
      <c r="P2" s="578"/>
      <c r="Q2" s="578"/>
      <c r="R2" s="578"/>
      <c r="S2" s="578"/>
      <c r="T2" s="578"/>
      <c r="AF2" s="52"/>
      <c r="AG2" s="52"/>
      <c r="AH2" s="52"/>
      <c r="AI2" s="52"/>
    </row>
    <row r="3" spans="25:41" ht="12.75">
      <c r="Y3" s="2"/>
      <c r="Z3" s="2"/>
      <c r="AA3" s="2"/>
      <c r="AB3" s="2"/>
      <c r="AC3" s="2"/>
      <c r="AL3" s="2"/>
      <c r="AM3" s="2"/>
      <c r="AN3" s="2"/>
      <c r="AO3" s="2"/>
    </row>
    <row r="4" spans="1:37" ht="16.5">
      <c r="A4" s="33" t="s">
        <v>1295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ht="13.5">
      <c r="A5" s="306" t="e">
        <f>#REF!</f>
        <v>#REF!</v>
      </c>
    </row>
    <row r="6" spans="1:52" ht="15.75" customHeight="1">
      <c r="A6" s="2150" t="s">
        <v>1662</v>
      </c>
      <c r="B6" s="2150"/>
      <c r="C6" s="2154" t="s">
        <v>1659</v>
      </c>
      <c r="D6" s="2154"/>
      <c r="E6" s="2154"/>
      <c r="F6" s="2154"/>
      <c r="G6" s="2154"/>
      <c r="H6" s="2154"/>
      <c r="I6" s="2154"/>
      <c r="J6" s="2154"/>
      <c r="K6" s="2154"/>
      <c r="L6" s="2154"/>
      <c r="M6" s="2154"/>
      <c r="N6" s="2154"/>
      <c r="O6" s="2154"/>
      <c r="P6" s="2154"/>
      <c r="Q6" s="2042"/>
      <c r="R6" s="2144" t="s">
        <v>1661</v>
      </c>
      <c r="S6" s="2145"/>
      <c r="T6" s="2145"/>
      <c r="U6" s="2145"/>
      <c r="V6" s="2145"/>
      <c r="W6" s="2145"/>
      <c r="X6" s="2145"/>
      <c r="Y6" s="2145"/>
      <c r="Z6" s="2145"/>
      <c r="AA6" s="2145"/>
      <c r="AB6" s="2145"/>
      <c r="AC6" s="2145"/>
      <c r="AD6" s="2145"/>
      <c r="AE6" s="2145"/>
      <c r="AF6" s="2145"/>
      <c r="AG6" s="2145"/>
      <c r="AH6" s="2145"/>
      <c r="AI6" s="2145"/>
      <c r="AJ6" s="2145"/>
      <c r="AK6" s="2145"/>
      <c r="AL6" s="2145"/>
      <c r="AM6" s="2145"/>
      <c r="AN6" s="2145"/>
      <c r="AO6" s="2145"/>
      <c r="AP6" s="2145"/>
      <c r="AQ6" s="2145"/>
      <c r="AR6" s="2145"/>
      <c r="AS6" s="2145"/>
      <c r="AT6" s="2145"/>
      <c r="AU6" s="2145"/>
      <c r="AV6" s="2145"/>
      <c r="AW6" s="2145"/>
      <c r="AX6" s="2145"/>
      <c r="AY6" s="2145"/>
      <c r="AZ6" s="2146"/>
    </row>
    <row r="7" spans="1:52" s="25" customFormat="1" ht="12.75" customHeight="1">
      <c r="A7" s="2151"/>
      <c r="B7" s="2151"/>
      <c r="C7" s="2064" t="s">
        <v>1227</v>
      </c>
      <c r="D7" s="2051"/>
      <c r="E7" s="2135"/>
      <c r="F7" s="2064" t="s">
        <v>1139</v>
      </c>
      <c r="G7" s="2051"/>
      <c r="H7" s="2051"/>
      <c r="I7" s="2135"/>
      <c r="J7" s="2156" t="s">
        <v>393</v>
      </c>
      <c r="K7" s="2157"/>
      <c r="L7" s="2157"/>
      <c r="M7" s="2158"/>
      <c r="N7" s="2162" t="s">
        <v>394</v>
      </c>
      <c r="O7" s="2163"/>
      <c r="P7" s="2163"/>
      <c r="Q7" s="2164"/>
      <c r="R7" s="2065" t="s">
        <v>1200</v>
      </c>
      <c r="S7" s="2055"/>
      <c r="T7" s="2055"/>
      <c r="U7" s="2055"/>
      <c r="V7" s="2055"/>
      <c r="W7" s="2055"/>
      <c r="X7" s="2055"/>
      <c r="Y7" s="2055"/>
      <c r="Z7" s="2055"/>
      <c r="AA7" s="2055"/>
      <c r="AB7" s="2055"/>
      <c r="AC7" s="2056"/>
      <c r="AD7" s="2065" t="s">
        <v>810</v>
      </c>
      <c r="AE7" s="2055"/>
      <c r="AF7" s="2055"/>
      <c r="AG7" s="2055"/>
      <c r="AH7" s="2055"/>
      <c r="AI7" s="2055"/>
      <c r="AJ7" s="2055"/>
      <c r="AK7" s="2055"/>
      <c r="AL7" s="2055"/>
      <c r="AM7" s="2055"/>
      <c r="AN7" s="2055"/>
      <c r="AO7" s="2056"/>
      <c r="AP7" s="2085" t="s">
        <v>398</v>
      </c>
      <c r="AQ7" s="2086"/>
      <c r="AR7" s="2086"/>
      <c r="AS7" s="2086"/>
      <c r="AT7" s="2086"/>
      <c r="AU7" s="2086"/>
      <c r="AV7" s="2086"/>
      <c r="AW7" s="2086"/>
      <c r="AX7" s="2086"/>
      <c r="AY7" s="2086"/>
      <c r="AZ7" s="2086"/>
    </row>
    <row r="8" spans="1:52" s="25" customFormat="1" ht="12.75" customHeight="1">
      <c r="A8" s="2151"/>
      <c r="B8" s="2151"/>
      <c r="C8" s="2065"/>
      <c r="D8" s="2055"/>
      <c r="E8" s="2056"/>
      <c r="F8" s="2065"/>
      <c r="G8" s="2055"/>
      <c r="H8" s="2055"/>
      <c r="I8" s="2056"/>
      <c r="J8" s="2159"/>
      <c r="K8" s="2160"/>
      <c r="L8" s="2160"/>
      <c r="M8" s="2161"/>
      <c r="N8" s="2165"/>
      <c r="O8" s="2166"/>
      <c r="P8" s="2166"/>
      <c r="Q8" s="2167"/>
      <c r="R8" s="2045" t="s">
        <v>397</v>
      </c>
      <c r="S8" s="2046"/>
      <c r="T8" s="2046"/>
      <c r="U8" s="2047"/>
      <c r="V8" s="2057" t="s">
        <v>395</v>
      </c>
      <c r="W8" s="2057"/>
      <c r="X8" s="2057"/>
      <c r="Y8" s="2057"/>
      <c r="Z8" s="2057" t="s">
        <v>396</v>
      </c>
      <c r="AA8" s="2057"/>
      <c r="AB8" s="2057"/>
      <c r="AC8" s="2057"/>
      <c r="AD8" s="2045" t="s">
        <v>421</v>
      </c>
      <c r="AE8" s="2046"/>
      <c r="AF8" s="2046"/>
      <c r="AG8" s="2047"/>
      <c r="AH8" s="2057" t="s">
        <v>271</v>
      </c>
      <c r="AI8" s="2057"/>
      <c r="AJ8" s="2057"/>
      <c r="AK8" s="2057"/>
      <c r="AL8" s="2057" t="s">
        <v>272</v>
      </c>
      <c r="AM8" s="2057"/>
      <c r="AN8" s="2057"/>
      <c r="AO8" s="2057"/>
      <c r="AP8" s="2045" t="s">
        <v>397</v>
      </c>
      <c r="AQ8" s="2046"/>
      <c r="AR8" s="2046"/>
      <c r="AS8" s="2047"/>
      <c r="AT8" s="2057" t="s">
        <v>395</v>
      </c>
      <c r="AU8" s="2057"/>
      <c r="AV8" s="2057"/>
      <c r="AW8" s="2057"/>
      <c r="AX8" s="2057" t="s">
        <v>396</v>
      </c>
      <c r="AY8" s="2057"/>
      <c r="AZ8" s="2057"/>
    </row>
    <row r="9" spans="1:52" ht="137.25" customHeight="1">
      <c r="A9" s="2152"/>
      <c r="B9" s="2153"/>
      <c r="C9" s="13" t="s">
        <v>866</v>
      </c>
      <c r="D9" s="119" t="s">
        <v>867</v>
      </c>
      <c r="E9" s="13" t="s">
        <v>412</v>
      </c>
      <c r="F9" s="13" t="s">
        <v>866</v>
      </c>
      <c r="G9" s="119" t="s">
        <v>867</v>
      </c>
      <c r="H9" s="13" t="s">
        <v>412</v>
      </c>
      <c r="I9" s="119" t="s">
        <v>703</v>
      </c>
      <c r="J9" s="13" t="s">
        <v>866</v>
      </c>
      <c r="K9" s="119" t="s">
        <v>867</v>
      </c>
      <c r="L9" s="13" t="s">
        <v>412</v>
      </c>
      <c r="M9" s="119" t="s">
        <v>703</v>
      </c>
      <c r="N9" s="13" t="s">
        <v>866</v>
      </c>
      <c r="O9" s="119" t="s">
        <v>867</v>
      </c>
      <c r="P9" s="13" t="s">
        <v>412</v>
      </c>
      <c r="Q9" s="119" t="s">
        <v>703</v>
      </c>
      <c r="R9" s="13" t="s">
        <v>866</v>
      </c>
      <c r="S9" s="119" t="s">
        <v>867</v>
      </c>
      <c r="T9" s="13" t="s">
        <v>412</v>
      </c>
      <c r="U9" s="119" t="s">
        <v>703</v>
      </c>
      <c r="V9" s="13" t="s">
        <v>866</v>
      </c>
      <c r="W9" s="119" t="s">
        <v>867</v>
      </c>
      <c r="X9" s="13" t="s">
        <v>412</v>
      </c>
      <c r="Y9" s="119" t="s">
        <v>703</v>
      </c>
      <c r="Z9" s="13" t="s">
        <v>866</v>
      </c>
      <c r="AA9" s="119" t="s">
        <v>867</v>
      </c>
      <c r="AB9" s="13" t="s">
        <v>412</v>
      </c>
      <c r="AC9" s="119" t="s">
        <v>703</v>
      </c>
      <c r="AD9" s="13" t="s">
        <v>866</v>
      </c>
      <c r="AE9" s="119" t="s">
        <v>867</v>
      </c>
      <c r="AF9" s="13" t="s">
        <v>412</v>
      </c>
      <c r="AG9" s="119" t="s">
        <v>703</v>
      </c>
      <c r="AH9" s="13" t="s">
        <v>866</v>
      </c>
      <c r="AI9" s="119" t="s">
        <v>867</v>
      </c>
      <c r="AJ9" s="13" t="s">
        <v>412</v>
      </c>
      <c r="AK9" s="119" t="s">
        <v>703</v>
      </c>
      <c r="AL9" s="13" t="s">
        <v>866</v>
      </c>
      <c r="AM9" s="119" t="s">
        <v>867</v>
      </c>
      <c r="AN9" s="13" t="s">
        <v>412</v>
      </c>
      <c r="AO9" s="66" t="s">
        <v>703</v>
      </c>
      <c r="AP9" s="13" t="s">
        <v>866</v>
      </c>
      <c r="AQ9" s="119" t="s">
        <v>867</v>
      </c>
      <c r="AR9" s="13" t="s">
        <v>412</v>
      </c>
      <c r="AS9" s="119" t="s">
        <v>703</v>
      </c>
      <c r="AT9" s="13" t="s">
        <v>866</v>
      </c>
      <c r="AU9" s="119" t="s">
        <v>867</v>
      </c>
      <c r="AV9" s="13" t="s">
        <v>412</v>
      </c>
      <c r="AW9" s="119" t="s">
        <v>703</v>
      </c>
      <c r="AX9" s="13" t="s">
        <v>866</v>
      </c>
      <c r="AY9" s="119" t="s">
        <v>867</v>
      </c>
      <c r="AZ9" s="13" t="s">
        <v>412</v>
      </c>
    </row>
    <row r="10" spans="1:52" ht="12.75">
      <c r="A10" s="4">
        <v>1</v>
      </c>
      <c r="B10" s="5">
        <v>2</v>
      </c>
      <c r="C10" s="4">
        <v>3</v>
      </c>
      <c r="D10" s="5">
        <v>4</v>
      </c>
      <c r="E10" s="4">
        <v>5</v>
      </c>
      <c r="F10" s="5">
        <v>6</v>
      </c>
      <c r="G10" s="4">
        <v>7</v>
      </c>
      <c r="H10" s="5">
        <v>8</v>
      </c>
      <c r="I10" s="4">
        <v>9</v>
      </c>
      <c r="J10" s="5">
        <v>10</v>
      </c>
      <c r="K10" s="4">
        <v>11</v>
      </c>
      <c r="L10" s="5">
        <v>12</v>
      </c>
      <c r="M10" s="4">
        <v>13</v>
      </c>
      <c r="N10" s="529">
        <v>14</v>
      </c>
      <c r="O10" s="520">
        <v>15</v>
      </c>
      <c r="P10" s="529">
        <v>16</v>
      </c>
      <c r="Q10" s="4">
        <v>17</v>
      </c>
      <c r="R10" s="5">
        <v>18</v>
      </c>
      <c r="S10" s="4">
        <v>19</v>
      </c>
      <c r="T10" s="5">
        <v>20</v>
      </c>
      <c r="U10" s="4">
        <v>21</v>
      </c>
      <c r="V10" s="5">
        <v>22</v>
      </c>
      <c r="W10" s="4">
        <v>23</v>
      </c>
      <c r="X10" s="5">
        <v>24</v>
      </c>
      <c r="Y10" s="4">
        <v>25</v>
      </c>
      <c r="Z10" s="5">
        <v>26</v>
      </c>
      <c r="AA10" s="4">
        <v>27</v>
      </c>
      <c r="AB10" s="5">
        <v>28</v>
      </c>
      <c r="AC10" s="4">
        <v>29</v>
      </c>
      <c r="AD10" s="5">
        <v>30</v>
      </c>
      <c r="AE10" s="4">
        <v>31</v>
      </c>
      <c r="AF10" s="5">
        <v>32</v>
      </c>
      <c r="AG10" s="4">
        <v>33</v>
      </c>
      <c r="AH10" s="5">
        <v>34</v>
      </c>
      <c r="AI10" s="4">
        <v>35</v>
      </c>
      <c r="AJ10" s="5">
        <v>36</v>
      </c>
      <c r="AK10" s="4">
        <v>37</v>
      </c>
      <c r="AL10" s="5">
        <v>38</v>
      </c>
      <c r="AM10" s="4">
        <v>39</v>
      </c>
      <c r="AN10" s="5">
        <v>40</v>
      </c>
      <c r="AO10" s="4">
        <v>41</v>
      </c>
      <c r="AP10" s="4">
        <v>91</v>
      </c>
      <c r="AQ10" s="5">
        <v>92</v>
      </c>
      <c r="AR10" s="4">
        <v>93</v>
      </c>
      <c r="AS10" s="5">
        <v>94</v>
      </c>
      <c r="AT10" s="4">
        <v>95</v>
      </c>
      <c r="AU10" s="5">
        <v>96</v>
      </c>
      <c r="AV10" s="4">
        <v>97</v>
      </c>
      <c r="AW10" s="5">
        <v>98</v>
      </c>
      <c r="AX10" s="4">
        <v>99</v>
      </c>
      <c r="AY10" s="5">
        <v>100</v>
      </c>
      <c r="AZ10" s="4">
        <v>101</v>
      </c>
    </row>
    <row r="11" spans="1:52" ht="30" customHeight="1">
      <c r="A11" s="47">
        <v>1</v>
      </c>
      <c r="B11" s="117" t="s">
        <v>208</v>
      </c>
      <c r="C11" s="120">
        <f aca="true" t="shared" si="0" ref="C11:H11">SUM(C12,C13,C18)</f>
        <v>0.184</v>
      </c>
      <c r="D11" s="120">
        <f t="shared" si="0"/>
        <v>0</v>
      </c>
      <c r="E11" s="120">
        <f t="shared" si="0"/>
        <v>1.613</v>
      </c>
      <c r="F11" s="120">
        <f t="shared" si="0"/>
        <v>0.23427367055771725</v>
      </c>
      <c r="G11" s="120">
        <f t="shared" si="0"/>
        <v>0</v>
      </c>
      <c r="H11" s="120">
        <f t="shared" si="0"/>
        <v>1.445</v>
      </c>
      <c r="I11" s="120"/>
      <c r="J11" s="120">
        <f>SUM(J12,J13,J18)</f>
        <v>0.17791970802919707</v>
      </c>
      <c r="K11" s="120">
        <f>SUM(K12,K13,K18)</f>
        <v>0</v>
      </c>
      <c r="L11" s="120">
        <f>SUM(L12,L13,L18)</f>
        <v>1.17</v>
      </c>
      <c r="M11" s="120"/>
      <c r="N11" s="734">
        <f>SUM(N12,N13,N18)</f>
        <v>0.1447490875912409</v>
      </c>
      <c r="O11" s="734">
        <f>SUM(O12,O13,O18)</f>
        <v>0</v>
      </c>
      <c r="P11" s="734">
        <f>SUM(P12,P13,P18)</f>
        <v>0.95187</v>
      </c>
      <c r="Q11" s="734"/>
      <c r="R11" s="1402">
        <f>SUM(R12,R13,R18)</f>
        <v>0.14527926441086692</v>
      </c>
      <c r="S11" s="1402">
        <f>SUM(S12,S13,S18)</f>
        <v>0</v>
      </c>
      <c r="T11" s="1402">
        <f>SUM(T12,T13,T18)</f>
        <v>0.95186974042</v>
      </c>
      <c r="U11" s="1402"/>
      <c r="V11" s="1402">
        <f>SUM(V12,V13,V18)</f>
        <v>0.0895971467700702</v>
      </c>
      <c r="W11" s="1402">
        <f>SUM(W12,W13,W18)</f>
        <v>0</v>
      </c>
      <c r="X11" s="1402">
        <f>SUM(X12,X13,X18)</f>
        <v>0.5870405056375</v>
      </c>
      <c r="Y11" s="1402"/>
      <c r="Z11" s="1402">
        <f>SUM(Z12,Z13,Z18)</f>
        <v>0.05568211764079671</v>
      </c>
      <c r="AA11" s="1402">
        <f>SUM(AA12,AA13,AA18)</f>
        <v>0</v>
      </c>
      <c r="AB11" s="1402">
        <f>SUM(AB12,AB13,AB18)</f>
        <v>0.36482923478250007</v>
      </c>
      <c r="AC11" s="1403"/>
      <c r="AD11" s="1403">
        <f>SUM(AD12,AD13,AD18)</f>
        <v>0.14527926441086692</v>
      </c>
      <c r="AE11" s="1403">
        <f>SUM(AE12,AE13,AE18)</f>
        <v>0</v>
      </c>
      <c r="AF11" s="1403">
        <f>SUM(AF12,AF13,AF18)</f>
        <v>0.95186974042</v>
      </c>
      <c r="AG11" s="1403"/>
      <c r="AH11" s="1403">
        <f>SUM(AH12,AH13,AH18)</f>
        <v>0.0895971467700702</v>
      </c>
      <c r="AI11" s="1403">
        <f>SUM(AI12,AI13,AI18)</f>
        <v>0</v>
      </c>
      <c r="AJ11" s="1403">
        <f>SUM(AJ12,AJ13,AJ18)</f>
        <v>0.5870405056375</v>
      </c>
      <c r="AK11" s="1403"/>
      <c r="AL11" s="1403">
        <f>SUM(AL12,AL13,AL18)</f>
        <v>0.05568211764079671</v>
      </c>
      <c r="AM11" s="1403">
        <f>SUM(AM12,AM13,AM18)</f>
        <v>0</v>
      </c>
      <c r="AN11" s="1403">
        <f>SUM(AN12,AN13,AN18)</f>
        <v>0.36482923478250007</v>
      </c>
      <c r="AO11" s="4"/>
      <c r="AP11" s="1259">
        <f>AP12</f>
        <v>0.14527926441086692</v>
      </c>
      <c r="AQ11" s="1259">
        <f aca="true" t="shared" si="1" ref="AQ11:AY12">S11</f>
        <v>0</v>
      </c>
      <c r="AR11" s="1259">
        <f>AR12</f>
        <v>0.95186974042</v>
      </c>
      <c r="AS11" s="1259">
        <f t="shared" si="1"/>
        <v>0</v>
      </c>
      <c r="AT11" s="1259">
        <f>AT12</f>
        <v>0.0895971467700702</v>
      </c>
      <c r="AU11" s="1259">
        <f t="shared" si="1"/>
        <v>0</v>
      </c>
      <c r="AV11" s="1259">
        <f>AV12</f>
        <v>0.5870405056375</v>
      </c>
      <c r="AW11" s="1259">
        <f t="shared" si="1"/>
        <v>0</v>
      </c>
      <c r="AX11" s="1259">
        <f>AX12</f>
        <v>0.05568211764079671</v>
      </c>
      <c r="AY11" s="1259">
        <f t="shared" si="1"/>
        <v>0</v>
      </c>
      <c r="AZ11" s="1259">
        <f>AZ12</f>
        <v>0.36482923478250007</v>
      </c>
    </row>
    <row r="12" spans="1:52" ht="12.75">
      <c r="A12" s="2147"/>
      <c r="B12" s="6" t="s">
        <v>1297</v>
      </c>
      <c r="C12" s="182">
        <v>0.184</v>
      </c>
      <c r="D12" s="4"/>
      <c r="E12" s="118">
        <v>1.613</v>
      </c>
      <c r="F12" s="182">
        <f>H12*1000/(257*24)</f>
        <v>0.23427367055771725</v>
      </c>
      <c r="G12" s="4"/>
      <c r="H12" s="118">
        <f>'4.1'!M30</f>
        <v>1.445</v>
      </c>
      <c r="I12" s="118"/>
      <c r="J12" s="735">
        <f>L12*1000/(274*24)</f>
        <v>0.17791970802919707</v>
      </c>
      <c r="K12" s="118"/>
      <c r="L12" s="118">
        <v>1.17</v>
      </c>
      <c r="M12" s="118"/>
      <c r="N12" s="735">
        <f>P12*1000/(274*24)</f>
        <v>0.1447490875912409</v>
      </c>
      <c r="O12" s="736"/>
      <c r="P12" s="736">
        <f>'4.1'!AC30</f>
        <v>0.95187</v>
      </c>
      <c r="Q12" s="736"/>
      <c r="R12" s="1404">
        <f>V12+Z12</f>
        <v>0.14527926441086692</v>
      </c>
      <c r="S12" s="1404">
        <f>W12+AA12</f>
        <v>0</v>
      </c>
      <c r="T12" s="1404">
        <f>X12+AB12</f>
        <v>0.95186974042</v>
      </c>
      <c r="U12" s="1404">
        <f>Y12+AC12</f>
        <v>0</v>
      </c>
      <c r="V12" s="1405">
        <f>X12*1000/(273*24)</f>
        <v>0.0895971467700702</v>
      </c>
      <c r="W12" s="1404"/>
      <c r="X12" s="1404">
        <f>'4.1'!AR30</f>
        <v>0.5870405056375</v>
      </c>
      <c r="Y12" s="1404"/>
      <c r="Z12" s="1405">
        <f>AB12*1000/(273*24)</f>
        <v>0.05568211764079671</v>
      </c>
      <c r="AA12" s="1404"/>
      <c r="AB12" s="1404">
        <f>'4.1'!AZ30</f>
        <v>0.36482923478250007</v>
      </c>
      <c r="AC12" s="1406"/>
      <c r="AD12" s="1406">
        <f>AH12+AL12</f>
        <v>0.14527926441086692</v>
      </c>
      <c r="AE12" s="1406">
        <f>AI12+AM12</f>
        <v>0</v>
      </c>
      <c r="AF12" s="1406">
        <f>AJ12+AN12</f>
        <v>0.95186974042</v>
      </c>
      <c r="AG12" s="1406">
        <f>AK12+AO12</f>
        <v>0</v>
      </c>
      <c r="AH12" s="1407">
        <f>AJ12*1000/(273*24)</f>
        <v>0.0895971467700702</v>
      </c>
      <c r="AI12" s="1406"/>
      <c r="AJ12" s="1406">
        <f>'4.1'!BU30</f>
        <v>0.5870405056375</v>
      </c>
      <c r="AK12" s="1406"/>
      <c r="AL12" s="1407">
        <f>AN12*1000/(273*24)</f>
        <v>0.05568211764079671</v>
      </c>
      <c r="AM12" s="1406"/>
      <c r="AN12" s="1406">
        <f>'4.1'!CC30</f>
        <v>0.36482923478250007</v>
      </c>
      <c r="AO12" s="4"/>
      <c r="AP12" s="1260">
        <f>AT12+AX12</f>
        <v>0.14527926441086692</v>
      </c>
      <c r="AQ12" s="1260">
        <f t="shared" si="1"/>
        <v>0</v>
      </c>
      <c r="AR12" s="1260">
        <f>AV12+AZ12</f>
        <v>0.95186974042</v>
      </c>
      <c r="AS12" s="1260">
        <f t="shared" si="1"/>
        <v>0</v>
      </c>
      <c r="AT12" s="1261">
        <f>AV12*1000/(273*24)</f>
        <v>0.0895971467700702</v>
      </c>
      <c r="AU12" s="1260">
        <f t="shared" si="1"/>
        <v>0</v>
      </c>
      <c r="AV12" s="1260">
        <f>'4.1'!CX30</f>
        <v>0.5870405056375</v>
      </c>
      <c r="AW12" s="1260">
        <f t="shared" si="1"/>
        <v>0</v>
      </c>
      <c r="AX12" s="1261">
        <f>AZ12*1000/(273*24)</f>
        <v>0.05568211764079671</v>
      </c>
      <c r="AY12" s="1260">
        <f t="shared" si="1"/>
        <v>0</v>
      </c>
      <c r="AZ12" s="1260">
        <f>'4.1'!DF30</f>
        <v>0.36482923478250007</v>
      </c>
    </row>
    <row r="13" spans="1:52" ht="12.75">
      <c r="A13" s="2148"/>
      <c r="B13" s="6" t="s">
        <v>209</v>
      </c>
      <c r="C13" s="118"/>
      <c r="D13" s="4"/>
      <c r="E13" s="118"/>
      <c r="F13" s="118"/>
      <c r="G13" s="4"/>
      <c r="H13" s="118"/>
      <c r="I13" s="118"/>
      <c r="J13" s="118"/>
      <c r="K13" s="118"/>
      <c r="L13" s="118"/>
      <c r="M13" s="118"/>
      <c r="N13" s="736"/>
      <c r="O13" s="736"/>
      <c r="P13" s="736"/>
      <c r="Q13" s="736"/>
      <c r="R13" s="1404"/>
      <c r="S13" s="1404"/>
      <c r="T13" s="1404"/>
      <c r="U13" s="1404"/>
      <c r="V13" s="1404"/>
      <c r="W13" s="1404"/>
      <c r="X13" s="1404"/>
      <c r="Y13" s="1404"/>
      <c r="Z13" s="1404"/>
      <c r="AA13" s="1404"/>
      <c r="AB13" s="1404"/>
      <c r="AC13" s="1406"/>
      <c r="AD13" s="1406"/>
      <c r="AE13" s="1406"/>
      <c r="AF13" s="1406"/>
      <c r="AG13" s="1406"/>
      <c r="AH13" s="1406"/>
      <c r="AI13" s="1406"/>
      <c r="AJ13" s="1406"/>
      <c r="AK13" s="1406"/>
      <c r="AL13" s="1406"/>
      <c r="AM13" s="1406"/>
      <c r="AN13" s="1406"/>
      <c r="AO13" s="4"/>
      <c r="AP13" s="1262"/>
      <c r="AQ13" s="1262"/>
      <c r="AR13" s="1262"/>
      <c r="AS13" s="1262"/>
      <c r="AT13" s="1262"/>
      <c r="AU13" s="1262"/>
      <c r="AV13" s="1262"/>
      <c r="AW13" s="1262"/>
      <c r="AX13" s="1262"/>
      <c r="AY13" s="1262"/>
      <c r="AZ13" s="1262"/>
    </row>
    <row r="14" spans="1:52" ht="12.75">
      <c r="A14" s="2148"/>
      <c r="B14" s="61" t="s">
        <v>1298</v>
      </c>
      <c r="C14" s="118"/>
      <c r="D14" s="4"/>
      <c r="E14" s="118"/>
      <c r="F14" s="118"/>
      <c r="G14" s="4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1406"/>
      <c r="AG14" s="1406"/>
      <c r="AH14" s="1406"/>
      <c r="AI14" s="1406"/>
      <c r="AJ14" s="1406"/>
      <c r="AK14" s="1406"/>
      <c r="AL14" s="1406"/>
      <c r="AM14" s="1406"/>
      <c r="AN14" s="1406"/>
      <c r="AO14" s="4"/>
      <c r="AP14" s="1262"/>
      <c r="AQ14" s="1262"/>
      <c r="AR14" s="1262"/>
      <c r="AS14" s="1262"/>
      <c r="AT14" s="1262"/>
      <c r="AU14" s="1262"/>
      <c r="AV14" s="1262"/>
      <c r="AW14" s="1262"/>
      <c r="AX14" s="1262"/>
      <c r="AY14" s="1262"/>
      <c r="AZ14" s="1262"/>
    </row>
    <row r="15" spans="1:52" ht="12.75">
      <c r="A15" s="2148"/>
      <c r="B15" s="61" t="s">
        <v>1299</v>
      </c>
      <c r="C15" s="118"/>
      <c r="D15" s="4"/>
      <c r="E15" s="118"/>
      <c r="F15" s="118"/>
      <c r="G15" s="4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406"/>
      <c r="S15" s="1406"/>
      <c r="T15" s="1406"/>
      <c r="U15" s="1406"/>
      <c r="V15" s="1406"/>
      <c r="W15" s="1406"/>
      <c r="X15" s="1406"/>
      <c r="Y15" s="1406"/>
      <c r="Z15" s="1406"/>
      <c r="AA15" s="1406"/>
      <c r="AB15" s="1406"/>
      <c r="AC15" s="1406"/>
      <c r="AD15" s="1406"/>
      <c r="AE15" s="1406"/>
      <c r="AF15" s="1406"/>
      <c r="AG15" s="1406"/>
      <c r="AH15" s="1406"/>
      <c r="AI15" s="1406"/>
      <c r="AJ15" s="1406"/>
      <c r="AK15" s="1406"/>
      <c r="AL15" s="1406"/>
      <c r="AM15" s="1406"/>
      <c r="AN15" s="1406"/>
      <c r="AO15" s="4"/>
      <c r="AP15" s="1262"/>
      <c r="AQ15" s="1262"/>
      <c r="AR15" s="1262"/>
      <c r="AS15" s="1262"/>
      <c r="AT15" s="1262"/>
      <c r="AU15" s="1262"/>
      <c r="AV15" s="1262"/>
      <c r="AW15" s="1262"/>
      <c r="AX15" s="1262"/>
      <c r="AY15" s="1262"/>
      <c r="AZ15" s="1262"/>
    </row>
    <row r="16" spans="1:52" ht="12.75">
      <c r="A16" s="2148"/>
      <c r="B16" s="61" t="s">
        <v>1300</v>
      </c>
      <c r="C16" s="118"/>
      <c r="D16" s="4"/>
      <c r="E16" s="118"/>
      <c r="F16" s="118"/>
      <c r="G16" s="4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406"/>
      <c r="S16" s="1406"/>
      <c r="T16" s="1406"/>
      <c r="U16" s="1406"/>
      <c r="V16" s="1406"/>
      <c r="W16" s="1406"/>
      <c r="X16" s="1406"/>
      <c r="Y16" s="1406"/>
      <c r="Z16" s="1406"/>
      <c r="AA16" s="1406"/>
      <c r="AB16" s="1406"/>
      <c r="AC16" s="1406"/>
      <c r="AD16" s="1406"/>
      <c r="AE16" s="1406"/>
      <c r="AF16" s="1406"/>
      <c r="AG16" s="1406"/>
      <c r="AH16" s="1406"/>
      <c r="AI16" s="1406"/>
      <c r="AJ16" s="1406"/>
      <c r="AK16" s="1406"/>
      <c r="AL16" s="1406"/>
      <c r="AM16" s="1406"/>
      <c r="AN16" s="1406"/>
      <c r="AO16" s="4"/>
      <c r="AP16" s="1262"/>
      <c r="AQ16" s="1262"/>
      <c r="AR16" s="1262"/>
      <c r="AS16" s="1262"/>
      <c r="AT16" s="1262"/>
      <c r="AU16" s="1262"/>
      <c r="AV16" s="1262"/>
      <c r="AW16" s="1262"/>
      <c r="AX16" s="1262"/>
      <c r="AY16" s="1262"/>
      <c r="AZ16" s="1262"/>
    </row>
    <row r="17" spans="1:52" ht="14.25" customHeight="1">
      <c r="A17" s="2148"/>
      <c r="B17" s="61" t="s">
        <v>453</v>
      </c>
      <c r="C17" s="118"/>
      <c r="D17" s="4"/>
      <c r="E17" s="118"/>
      <c r="F17" s="118"/>
      <c r="G17" s="4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  <c r="AJ17" s="1406"/>
      <c r="AK17" s="1406"/>
      <c r="AL17" s="1406"/>
      <c r="AM17" s="1406"/>
      <c r="AN17" s="1406"/>
      <c r="AO17" s="4"/>
      <c r="AP17" s="1262"/>
      <c r="AQ17" s="1262"/>
      <c r="AR17" s="1262"/>
      <c r="AS17" s="1262"/>
      <c r="AT17" s="1262"/>
      <c r="AU17" s="1262"/>
      <c r="AV17" s="1262"/>
      <c r="AW17" s="1262"/>
      <c r="AX17" s="1262"/>
      <c r="AY17" s="1262"/>
      <c r="AZ17" s="1262"/>
    </row>
    <row r="18" spans="1:52" ht="12.75">
      <c r="A18" s="2148"/>
      <c r="B18" s="6" t="s">
        <v>210</v>
      </c>
      <c r="C18" s="118"/>
      <c r="D18" s="4"/>
      <c r="E18" s="118"/>
      <c r="F18" s="118"/>
      <c r="G18" s="4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406"/>
      <c r="S18" s="1406"/>
      <c r="T18" s="1406"/>
      <c r="U18" s="1406"/>
      <c r="V18" s="1406"/>
      <c r="W18" s="1406"/>
      <c r="X18" s="1406"/>
      <c r="Y18" s="1406"/>
      <c r="Z18" s="1406"/>
      <c r="AA18" s="1406"/>
      <c r="AB18" s="1406"/>
      <c r="AC18" s="1406"/>
      <c r="AD18" s="1406"/>
      <c r="AE18" s="1406"/>
      <c r="AF18" s="1406"/>
      <c r="AG18" s="1406"/>
      <c r="AH18" s="1406"/>
      <c r="AI18" s="1406"/>
      <c r="AJ18" s="1406"/>
      <c r="AK18" s="1406"/>
      <c r="AL18" s="1406"/>
      <c r="AM18" s="1406"/>
      <c r="AN18" s="1406"/>
      <c r="AO18" s="4"/>
      <c r="AP18" s="1262"/>
      <c r="AQ18" s="1262"/>
      <c r="AR18" s="1262"/>
      <c r="AS18" s="1262"/>
      <c r="AT18" s="1262"/>
      <c r="AU18" s="1262"/>
      <c r="AV18" s="1262"/>
      <c r="AW18" s="1262"/>
      <c r="AX18" s="1262"/>
      <c r="AY18" s="1262"/>
      <c r="AZ18" s="1262"/>
    </row>
    <row r="19" spans="1:52" ht="12.75">
      <c r="A19" s="2148"/>
      <c r="B19" s="26" t="s">
        <v>454</v>
      </c>
      <c r="C19" s="120">
        <f aca="true" t="shared" si="2" ref="C19:H19">SUM(C20,C21,C26)</f>
        <v>0.177</v>
      </c>
      <c r="D19" s="120">
        <f t="shared" si="2"/>
        <v>0</v>
      </c>
      <c r="E19" s="120">
        <f t="shared" si="2"/>
        <v>1.166</v>
      </c>
      <c r="F19" s="120">
        <f t="shared" si="2"/>
        <v>0.1656021897810219</v>
      </c>
      <c r="G19" s="120">
        <f t="shared" si="2"/>
        <v>0</v>
      </c>
      <c r="H19" s="120">
        <f t="shared" si="2"/>
        <v>1.089</v>
      </c>
      <c r="I19" s="120"/>
      <c r="J19" s="120">
        <f>SUM(J20,J21,J26)</f>
        <v>0.17472627737226276</v>
      </c>
      <c r="K19" s="120">
        <f>SUM(K20,K21,K26)</f>
        <v>0</v>
      </c>
      <c r="L19" s="120">
        <f>SUM(L20,L21,L26)</f>
        <v>1.149</v>
      </c>
      <c r="M19" s="120"/>
      <c r="N19" s="737">
        <f>SUM(N20,N21,N26)</f>
        <v>0.14474904811739658</v>
      </c>
      <c r="O19" s="737">
        <f>SUM(O20,O21,O26)</f>
        <v>0</v>
      </c>
      <c r="P19" s="737">
        <f>SUM(P20,P21,P26)</f>
        <v>0.9518697404199999</v>
      </c>
      <c r="Q19" s="737"/>
      <c r="R19" s="1408">
        <f>SUM(R20,R21,R26)</f>
        <v>0.14527926441086692</v>
      </c>
      <c r="S19" s="1408">
        <f>SUM(S20,S21,S26)</f>
        <v>0</v>
      </c>
      <c r="T19" s="1408">
        <f>T20</f>
        <v>0.95186974042</v>
      </c>
      <c r="U19" s="1408"/>
      <c r="V19" s="1408">
        <f>SUM(V20,V21,V26)</f>
        <v>0.0895971467700702</v>
      </c>
      <c r="W19" s="1408">
        <f>SUM(W20,W21,W26)</f>
        <v>0</v>
      </c>
      <c r="X19" s="1408">
        <f>X20</f>
        <v>0.5870405056375</v>
      </c>
      <c r="Y19" s="1408"/>
      <c r="Z19" s="1408">
        <f>SUM(Z20,Z21,Z26)</f>
        <v>0.05568211764079671</v>
      </c>
      <c r="AA19" s="1408">
        <f>SUM(AA20,AA21,AA26)</f>
        <v>0</v>
      </c>
      <c r="AB19" s="1408">
        <f>AB20</f>
        <v>0.36482923478250007</v>
      </c>
      <c r="AC19" s="1403"/>
      <c r="AD19" s="1403">
        <f>SUM(AD20,AD21,AD26)</f>
        <v>0.14507604500341875</v>
      </c>
      <c r="AE19" s="1403">
        <f>SUM(AE20,AE21,AE26)</f>
        <v>0</v>
      </c>
      <c r="AF19" s="1403">
        <f>SUM(AF20,AF21,AF26)</f>
        <v>0.95186974042</v>
      </c>
      <c r="AG19" s="1403"/>
      <c r="AH19" s="1403">
        <f>SUM(AH20,AH21,AH26)</f>
        <v>0.0895971467700702</v>
      </c>
      <c r="AI19" s="1403">
        <f>SUM(AI20,AI21,AI26)</f>
        <v>0</v>
      </c>
      <c r="AJ19" s="1403">
        <f>SUM(AJ20,AJ21,AJ26)</f>
        <v>0.5870405056375</v>
      </c>
      <c r="AK19" s="1403"/>
      <c r="AL19" s="1403">
        <f>SUM(AL20,AL21,AL26)</f>
        <v>0.05547889823334855</v>
      </c>
      <c r="AM19" s="1403">
        <f>SUM(AM20,AM21,AM26)</f>
        <v>0</v>
      </c>
      <c r="AN19" s="1403">
        <f>SUM(AN20,AN21,AN26)</f>
        <v>0.36482923478250007</v>
      </c>
      <c r="AO19" s="4"/>
      <c r="AP19" s="1263">
        <f>SUM(AP20,AP21,AP26)</f>
        <v>0.14527926441086692</v>
      </c>
      <c r="AQ19" s="1263">
        <f>SUM(AQ20,AQ21,AQ26)</f>
        <v>0</v>
      </c>
      <c r="AR19" s="1263">
        <f>AR20</f>
        <v>0.95186974042</v>
      </c>
      <c r="AS19" s="1263"/>
      <c r="AT19" s="1263">
        <f>SUM(AT20,AT21,AT26)</f>
        <v>0.0895971467700702</v>
      </c>
      <c r="AU19" s="1263">
        <f>SUM(AU20,AU21,AU26)</f>
        <v>0</v>
      </c>
      <c r="AV19" s="1263">
        <f>AV20</f>
        <v>0.5870405056375</v>
      </c>
      <c r="AW19" s="1263"/>
      <c r="AX19" s="1263">
        <f>SUM(AX20,AX21,AX26)</f>
        <v>0.05568211764079671</v>
      </c>
      <c r="AY19" s="1263">
        <f>SUM(AY20,AY21,AY26)</f>
        <v>0</v>
      </c>
      <c r="AZ19" s="1263">
        <f>AZ20</f>
        <v>0.36482923478250007</v>
      </c>
    </row>
    <row r="20" spans="1:54" ht="12.75">
      <c r="A20" s="2148"/>
      <c r="B20" s="6" t="s">
        <v>1297</v>
      </c>
      <c r="C20" s="182">
        <v>0.177</v>
      </c>
      <c r="D20" s="4"/>
      <c r="E20" s="118">
        <v>1.166</v>
      </c>
      <c r="F20" s="182">
        <f>H20*1000/(274*24)</f>
        <v>0.1656021897810219</v>
      </c>
      <c r="G20" s="4"/>
      <c r="H20" s="118">
        <v>1.089</v>
      </c>
      <c r="I20" s="118"/>
      <c r="J20" s="735">
        <f>L20*1000/(274*24)</f>
        <v>0.17472627737226276</v>
      </c>
      <c r="K20" s="118"/>
      <c r="L20" s="118">
        <v>1.149</v>
      </c>
      <c r="M20" s="118"/>
      <c r="N20" s="738">
        <f>P20*1000/(274*24)</f>
        <v>0.14474904811739658</v>
      </c>
      <c r="O20" s="738"/>
      <c r="P20" s="118">
        <f>'перечень строений'!H51/1000</f>
        <v>0.9518697404199999</v>
      </c>
      <c r="Q20" s="738"/>
      <c r="R20" s="1409">
        <f>V20+Z20</f>
        <v>0.14527926441086692</v>
      </c>
      <c r="S20" s="1409">
        <f>W20+AA20</f>
        <v>0</v>
      </c>
      <c r="T20" s="1409">
        <f>X20+AB20</f>
        <v>0.95186974042</v>
      </c>
      <c r="U20" s="1409">
        <f>Y20+AC20</f>
        <v>0</v>
      </c>
      <c r="V20" s="1409">
        <f>X20*1000/(273*24)</f>
        <v>0.0895971467700702</v>
      </c>
      <c r="W20" s="1409"/>
      <c r="X20" s="1409">
        <f>'перечень строений'!I49/1000</f>
        <v>0.5870405056375</v>
      </c>
      <c r="Y20" s="1409"/>
      <c r="Z20" s="1409">
        <f>AB20*1000/(273*24)</f>
        <v>0.05568211764079671</v>
      </c>
      <c r="AA20" s="1409"/>
      <c r="AB20" s="1409">
        <f>'перечень строений'!J49/1000</f>
        <v>0.36482923478250007</v>
      </c>
      <c r="AC20" s="1406"/>
      <c r="AD20" s="1406">
        <f>AH20+AL20</f>
        <v>0.14507604500341875</v>
      </c>
      <c r="AE20" s="1406">
        <f>AI20+AM20</f>
        <v>0</v>
      </c>
      <c r="AF20" s="1406">
        <f>AJ20+AN20</f>
        <v>0.95186974042</v>
      </c>
      <c r="AG20" s="1406">
        <f>AK20+AO20</f>
        <v>0</v>
      </c>
      <c r="AH20" s="1407">
        <f>AJ20*1000/(273*24)</f>
        <v>0.0895971467700702</v>
      </c>
      <c r="AI20" s="1407">
        <v>0</v>
      </c>
      <c r="AJ20" s="1406">
        <f>'перечень строений'!I49/1000</f>
        <v>0.5870405056375</v>
      </c>
      <c r="AK20" s="1406"/>
      <c r="AL20" s="1407">
        <f>AN20*1000/(274*24)</f>
        <v>0.05547889823334855</v>
      </c>
      <c r="AM20" s="1406"/>
      <c r="AN20" s="1406">
        <f>'перечень строений'!J49/1000</f>
        <v>0.36482923478250007</v>
      </c>
      <c r="AO20" s="4"/>
      <c r="AP20" s="1264">
        <f>AT20+AX20</f>
        <v>0.14527926441086692</v>
      </c>
      <c r="AQ20" s="1264">
        <f>AU20+AY20</f>
        <v>0</v>
      </c>
      <c r="AR20" s="1264">
        <f>AV20+AZ20</f>
        <v>0.95186974042</v>
      </c>
      <c r="AS20" s="1264" t="e">
        <f>AW20+#REF!</f>
        <v>#REF!</v>
      </c>
      <c r="AT20" s="1264">
        <f>AV20*1000/(273*24)</f>
        <v>0.0895971467700702</v>
      </c>
      <c r="AU20" s="1264"/>
      <c r="AV20" s="1264">
        <f>'перечень строений'!I49/1000</f>
        <v>0.5870405056375</v>
      </c>
      <c r="AW20" s="1264"/>
      <c r="AX20" s="1264">
        <f>AZ20*1000/(273*24)</f>
        <v>0.05568211764079671</v>
      </c>
      <c r="AY20" s="1264"/>
      <c r="AZ20" s="1264">
        <f>'перечень строений'!J49/1000</f>
        <v>0.36482923478250007</v>
      </c>
      <c r="BA20" s="753"/>
      <c r="BB20" s="753"/>
    </row>
    <row r="21" spans="1:52" ht="12.75">
      <c r="A21" s="2148"/>
      <c r="B21" s="6" t="s">
        <v>209</v>
      </c>
      <c r="C21" s="118"/>
      <c r="D21" s="4"/>
      <c r="E21" s="118"/>
      <c r="F21" s="118"/>
      <c r="G21" s="4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406"/>
      <c r="S21" s="1406"/>
      <c r="T21" s="1406"/>
      <c r="U21" s="1406"/>
      <c r="V21" s="1406"/>
      <c r="W21" s="1406"/>
      <c r="X21" s="1406"/>
      <c r="Y21" s="1406"/>
      <c r="Z21" s="1406"/>
      <c r="AA21" s="1406"/>
      <c r="AB21" s="1406"/>
      <c r="AC21" s="1406"/>
      <c r="AD21" s="1406"/>
      <c r="AE21" s="1406"/>
      <c r="AF21" s="1406"/>
      <c r="AG21" s="1406"/>
      <c r="AH21" s="1406"/>
      <c r="AI21" s="1406"/>
      <c r="AJ21" s="1406"/>
      <c r="AK21" s="1406"/>
      <c r="AL21" s="1406"/>
      <c r="AM21" s="1406"/>
      <c r="AN21" s="1406"/>
      <c r="AO21" s="4"/>
      <c r="AP21" s="1262"/>
      <c r="AQ21" s="1262"/>
      <c r="AR21" s="1262"/>
      <c r="AS21" s="1262"/>
      <c r="AT21" s="1262"/>
      <c r="AU21" s="1262"/>
      <c r="AV21" s="1262"/>
      <c r="AW21" s="1262"/>
      <c r="AX21" s="1262"/>
      <c r="AY21" s="1262"/>
      <c r="AZ21" s="1262"/>
    </row>
    <row r="22" spans="1:52" ht="12.75">
      <c r="A22" s="2148"/>
      <c r="B22" s="61" t="s">
        <v>1298</v>
      </c>
      <c r="C22" s="118"/>
      <c r="D22" s="4"/>
      <c r="E22" s="118"/>
      <c r="F22" s="118"/>
      <c r="G22" s="4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4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</row>
    <row r="23" spans="1:52" ht="12.75">
      <c r="A23" s="2148"/>
      <c r="B23" s="61" t="s">
        <v>1299</v>
      </c>
      <c r="C23" s="118"/>
      <c r="D23" s="4"/>
      <c r="E23" s="118"/>
      <c r="F23" s="118"/>
      <c r="G23" s="4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4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</row>
    <row r="24" spans="1:52" ht="12.75">
      <c r="A24" s="2148"/>
      <c r="B24" s="61" t="s">
        <v>1300</v>
      </c>
      <c r="C24" s="118"/>
      <c r="D24" s="4"/>
      <c r="E24" s="118"/>
      <c r="F24" s="118"/>
      <c r="G24" s="4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4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</row>
    <row r="25" spans="1:52" ht="12.75">
      <c r="A25" s="2148"/>
      <c r="B25" s="61" t="s">
        <v>453</v>
      </c>
      <c r="C25" s="118"/>
      <c r="D25" s="4"/>
      <c r="E25" s="118"/>
      <c r="F25" s="118"/>
      <c r="G25" s="4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4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</row>
    <row r="26" spans="1:52" ht="12.75">
      <c r="A26" s="2149"/>
      <c r="B26" s="6" t="s">
        <v>210</v>
      </c>
      <c r="C26" s="118"/>
      <c r="D26" s="4"/>
      <c r="E26" s="118"/>
      <c r="F26" s="118"/>
      <c r="G26" s="4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4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</row>
    <row r="27" ht="13.5" hidden="1" outlineLevel="1">
      <c r="A27" s="113" t="s">
        <v>304</v>
      </c>
    </row>
    <row r="28" spans="1:90" ht="13.5" hidden="1" outlineLevel="1">
      <c r="A28" s="116" t="s">
        <v>238</v>
      </c>
      <c r="B28" s="2155" t="s">
        <v>864</v>
      </c>
      <c r="C28" s="2155"/>
      <c r="D28" s="2155"/>
      <c r="E28" s="2155"/>
      <c r="F28" s="2155"/>
      <c r="G28" s="2155"/>
      <c r="H28" s="2155"/>
      <c r="I28" s="2155"/>
      <c r="J28" s="2155"/>
      <c r="K28" s="2155"/>
      <c r="L28" s="2155"/>
      <c r="M28" s="2155"/>
      <c r="N28" s="2155"/>
      <c r="O28" s="2155"/>
      <c r="P28" s="2155"/>
      <c r="Q28" s="2155"/>
      <c r="R28" s="2155"/>
      <c r="S28" s="2155"/>
      <c r="T28" s="2155"/>
      <c r="U28" s="2155"/>
      <c r="V28" s="2155"/>
      <c r="W28" s="2155"/>
      <c r="X28" s="2155"/>
      <c r="Y28" s="2155"/>
      <c r="Z28" s="2155"/>
      <c r="AA28" s="2155"/>
      <c r="AB28" s="2155"/>
      <c r="AC28" s="2155"/>
      <c r="AD28" s="2155"/>
      <c r="AE28" s="2155"/>
      <c r="AF28" s="2155"/>
      <c r="AG28" s="2155"/>
      <c r="AH28" s="2155"/>
      <c r="AI28" s="2155"/>
      <c r="AJ28" s="2155"/>
      <c r="AK28" s="2155"/>
      <c r="AL28" s="2155"/>
      <c r="AM28" s="2155"/>
      <c r="AN28" s="2155"/>
      <c r="AO28" s="2155"/>
      <c r="AP28" s="2155"/>
      <c r="AQ28" s="2155"/>
      <c r="AR28" s="2155"/>
      <c r="AS28" s="2155"/>
      <c r="AT28" s="2155"/>
      <c r="AU28" s="2155"/>
      <c r="AV28" s="2155"/>
      <c r="AW28" s="2155"/>
      <c r="AX28" s="2155"/>
      <c r="AY28" s="2155"/>
      <c r="AZ28" s="2155"/>
      <c r="BA28" s="2155"/>
      <c r="BB28" s="2155"/>
      <c r="BC28" s="2155"/>
      <c r="BD28" s="2155"/>
      <c r="BE28" s="2155"/>
      <c r="BF28" s="2155"/>
      <c r="BG28" s="2155"/>
      <c r="BH28" s="2155"/>
      <c r="BI28" s="2155"/>
      <c r="BJ28" s="2155"/>
      <c r="BK28" s="2155"/>
      <c r="BL28" s="2155"/>
      <c r="BM28" s="2155"/>
      <c r="BN28" s="2155"/>
      <c r="BO28" s="2155"/>
      <c r="BP28" s="2155"/>
      <c r="BQ28" s="2155"/>
      <c r="BR28" s="2155"/>
      <c r="BS28" s="2155"/>
      <c r="BT28" s="2155"/>
      <c r="BU28" s="2155"/>
      <c r="BV28" s="2155"/>
      <c r="BW28" s="2155"/>
      <c r="BX28" s="2155"/>
      <c r="BY28" s="2155"/>
      <c r="BZ28" s="2155"/>
      <c r="CA28" s="2155"/>
      <c r="CB28" s="2155"/>
      <c r="CC28" s="2155"/>
      <c r="CD28" s="2155"/>
      <c r="CE28" s="2155"/>
      <c r="CF28" s="2155"/>
      <c r="CG28" s="2155"/>
      <c r="CH28" s="2155"/>
      <c r="CI28" s="2155"/>
      <c r="CJ28" s="2155"/>
      <c r="CK28" s="2155"/>
      <c r="CL28" s="2155"/>
    </row>
    <row r="29" spans="1:90" ht="13.5" hidden="1" outlineLevel="1">
      <c r="A29" s="116" t="s">
        <v>240</v>
      </c>
      <c r="B29" s="114" t="s">
        <v>865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</row>
    <row r="30" spans="32:40" ht="12.75" collapsed="1">
      <c r="AF30" s="186"/>
      <c r="AJ30" s="186"/>
      <c r="AN30" s="186"/>
    </row>
    <row r="33" spans="1:40" ht="12.75">
      <c r="A33" s="52"/>
      <c r="B33" s="52" t="s">
        <v>1157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</sheetData>
  <sheetProtection/>
  <protectedRanges>
    <protectedRange password="CC01" sqref="F1:G1" name="Диапазон1_1"/>
  </protectedRanges>
  <mergeCells count="23">
    <mergeCell ref="AT8:AW8"/>
    <mergeCell ref="AX8:AZ8"/>
    <mergeCell ref="AP7:AZ7"/>
    <mergeCell ref="AD7:AO7"/>
    <mergeCell ref="C6:Q6"/>
    <mergeCell ref="C7:E8"/>
    <mergeCell ref="B28:CL28"/>
    <mergeCell ref="J7:M8"/>
    <mergeCell ref="R7:AC7"/>
    <mergeCell ref="N7:Q8"/>
    <mergeCell ref="Z8:AC8"/>
    <mergeCell ref="AL8:AO8"/>
    <mergeCell ref="AH8:AK8"/>
    <mergeCell ref="AV1:AX1"/>
    <mergeCell ref="AP8:AS8"/>
    <mergeCell ref="R6:AZ6"/>
    <mergeCell ref="A12:A26"/>
    <mergeCell ref="R8:U8"/>
    <mergeCell ref="V8:Y8"/>
    <mergeCell ref="AD8:AG8"/>
    <mergeCell ref="A6:A9"/>
    <mergeCell ref="B6:B9"/>
    <mergeCell ref="F7:I8"/>
  </mergeCells>
  <printOptions/>
  <pageMargins left="0.32" right="0.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12"/>
  <sheetViews>
    <sheetView tabSelected="1" zoomScaleSheetLayoutView="100" workbookViewId="0" topLeftCell="A1">
      <pane xSplit="3" ySplit="9" topLeftCell="D54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1"/>
  <cols>
    <col min="1" max="1" width="6.140625" style="72" customWidth="1"/>
    <col min="2" max="2" width="27.7109375" style="0" customWidth="1"/>
    <col min="3" max="3" width="14.00390625" style="0" customWidth="1"/>
    <col min="4" max="5" width="12.140625" style="0" hidden="1" customWidth="1"/>
    <col min="6" max="6" width="11.28125" style="0" customWidth="1"/>
    <col min="7" max="7" width="10.8515625" style="0" customWidth="1"/>
    <col min="8" max="8" width="10.421875" style="0" customWidth="1"/>
    <col min="9" max="10" width="11.7109375" style="0" customWidth="1"/>
    <col min="11" max="11" width="9.57421875" style="0" customWidth="1"/>
    <col min="12" max="12" width="11.28125" style="0" customWidth="1"/>
    <col min="13" max="13" width="11.8515625" style="0" customWidth="1"/>
    <col min="14" max="14" width="9.421875" style="0" customWidth="1"/>
    <col min="15" max="15" width="11.28125" style="0" customWidth="1"/>
    <col min="16" max="16" width="10.7109375" style="0" customWidth="1"/>
  </cols>
  <sheetData>
    <row r="1" spans="1:15" ht="15">
      <c r="A1" s="52" t="s">
        <v>699</v>
      </c>
      <c r="B1" s="52"/>
      <c r="C1" s="52"/>
      <c r="D1" s="52"/>
      <c r="E1" s="52"/>
      <c r="J1" s="74"/>
      <c r="L1" s="2169" t="s">
        <v>705</v>
      </c>
      <c r="M1" s="2169"/>
      <c r="N1" s="514"/>
      <c r="O1" s="516"/>
    </row>
    <row r="2" spans="1:5" ht="15">
      <c r="A2" s="52" t="s">
        <v>1066</v>
      </c>
      <c r="B2" s="52"/>
      <c r="C2" s="52"/>
      <c r="D2" s="52"/>
      <c r="E2" s="52"/>
    </row>
    <row r="3" ht="15"/>
    <row r="4" spans="1:10" ht="15">
      <c r="A4" s="2168" t="s">
        <v>704</v>
      </c>
      <c r="B4" s="2168"/>
      <c r="C4" s="2168"/>
      <c r="D4" s="2168"/>
      <c r="E4" s="2168"/>
      <c r="F4" s="2168"/>
      <c r="G4" s="2168"/>
      <c r="H4" s="2168"/>
      <c r="I4" s="2168"/>
      <c r="J4" s="2168"/>
    </row>
    <row r="5" ht="15">
      <c r="A5" s="306"/>
    </row>
    <row r="6" spans="1:16" ht="15">
      <c r="A6" s="2170" t="s">
        <v>254</v>
      </c>
      <c r="B6" s="2170" t="s">
        <v>1670</v>
      </c>
      <c r="C6" s="2171" t="s">
        <v>908</v>
      </c>
      <c r="D6" s="2154" t="s">
        <v>1659</v>
      </c>
      <c r="E6" s="2154"/>
      <c r="F6" s="2154"/>
      <c r="G6" s="2042"/>
      <c r="H6" s="2042" t="s">
        <v>1661</v>
      </c>
      <c r="I6" s="2043"/>
      <c r="J6" s="2043"/>
      <c r="K6" s="2043"/>
      <c r="L6" s="2043"/>
      <c r="M6" s="2043"/>
      <c r="N6" s="2043"/>
      <c r="O6" s="2043"/>
      <c r="P6" s="2044"/>
    </row>
    <row r="7" spans="1:16" ht="15" customHeight="1">
      <c r="A7" s="2170"/>
      <c r="B7" s="2170"/>
      <c r="C7" s="2171"/>
      <c r="D7" s="2057" t="s">
        <v>1227</v>
      </c>
      <c r="E7" s="2057" t="s">
        <v>1139</v>
      </c>
      <c r="F7" s="2057" t="s">
        <v>393</v>
      </c>
      <c r="G7" s="2057" t="s">
        <v>400</v>
      </c>
      <c r="H7" s="2048" t="s">
        <v>1200</v>
      </c>
      <c r="I7" s="2048"/>
      <c r="J7" s="2048"/>
      <c r="K7" s="2048" t="s">
        <v>810</v>
      </c>
      <c r="L7" s="2048"/>
      <c r="M7" s="2048"/>
      <c r="N7" s="2048" t="s">
        <v>398</v>
      </c>
      <c r="O7" s="2048"/>
      <c r="P7" s="2048"/>
    </row>
    <row r="8" spans="1:16" ht="30" customHeight="1">
      <c r="A8" s="2170"/>
      <c r="B8" s="2170"/>
      <c r="C8" s="2171"/>
      <c r="D8" s="2057"/>
      <c r="E8" s="2057"/>
      <c r="F8" s="2057"/>
      <c r="G8" s="2057"/>
      <c r="H8" s="22" t="s">
        <v>421</v>
      </c>
      <c r="I8" s="22" t="s">
        <v>271</v>
      </c>
      <c r="J8" s="22" t="s">
        <v>272</v>
      </c>
      <c r="K8" s="22" t="s">
        <v>421</v>
      </c>
      <c r="L8" s="22" t="s">
        <v>271</v>
      </c>
      <c r="M8" s="22" t="s">
        <v>272</v>
      </c>
      <c r="N8" s="22" t="s">
        <v>421</v>
      </c>
      <c r="O8" s="22" t="s">
        <v>271</v>
      </c>
      <c r="P8" s="22" t="s">
        <v>272</v>
      </c>
    </row>
    <row r="9" spans="1:18" s="1114" customFormat="1" ht="1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530">
        <v>7</v>
      </c>
      <c r="H9" s="105">
        <v>8</v>
      </c>
      <c r="I9" s="105">
        <v>9</v>
      </c>
      <c r="J9" s="105">
        <v>10</v>
      </c>
      <c r="K9" s="105">
        <v>8</v>
      </c>
      <c r="L9" s="105">
        <v>9</v>
      </c>
      <c r="M9" s="105">
        <v>10</v>
      </c>
      <c r="N9" s="105">
        <v>8</v>
      </c>
      <c r="O9" s="105">
        <v>9</v>
      </c>
      <c r="P9" s="105">
        <v>10</v>
      </c>
      <c r="Q9"/>
      <c r="R9"/>
    </row>
    <row r="10" spans="1:16" ht="27" hidden="1" outlineLevel="1">
      <c r="A10" s="81">
        <v>1</v>
      </c>
      <c r="B10" s="78" t="s">
        <v>750</v>
      </c>
      <c r="C10" s="34" t="s">
        <v>1097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27" hidden="1" outlineLevel="1">
      <c r="A11" s="81">
        <v>2</v>
      </c>
      <c r="B11" s="78" t="s">
        <v>751</v>
      </c>
      <c r="C11" s="34" t="s">
        <v>1097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ht="27" hidden="1" outlineLevel="1">
      <c r="A12" s="79" t="s">
        <v>1665</v>
      </c>
      <c r="B12" s="122" t="s">
        <v>752</v>
      </c>
      <c r="C12" s="34" t="s">
        <v>1097</v>
      </c>
      <c r="D12" s="123"/>
      <c r="E12" s="123"/>
      <c r="F12" s="124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27" hidden="1" outlineLevel="1">
      <c r="A13" s="79" t="s">
        <v>932</v>
      </c>
      <c r="B13" s="80" t="s">
        <v>753</v>
      </c>
      <c r="C13" s="34" t="s">
        <v>427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</row>
    <row r="14" spans="1:16" ht="27" hidden="1" outlineLevel="1">
      <c r="A14" s="79" t="s">
        <v>1695</v>
      </c>
      <c r="B14" s="376" t="s">
        <v>422</v>
      </c>
      <c r="C14" s="34" t="s">
        <v>1097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14.25" hidden="1" outlineLevel="1">
      <c r="A15" s="79" t="s">
        <v>706</v>
      </c>
      <c r="B15" s="80" t="s">
        <v>754</v>
      </c>
      <c r="C15" s="34" t="s">
        <v>1098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ht="14.25" hidden="1" outlineLevel="1">
      <c r="A16" s="81" t="s">
        <v>1666</v>
      </c>
      <c r="B16" s="78" t="s">
        <v>755</v>
      </c>
      <c r="C16" s="34" t="s">
        <v>1097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6" ht="39.75" hidden="1" outlineLevel="1">
      <c r="A17" s="81" t="s">
        <v>1672</v>
      </c>
      <c r="B17" s="78" t="s">
        <v>757</v>
      </c>
      <c r="C17" s="34" t="s">
        <v>1097</v>
      </c>
      <c r="D17" s="125"/>
      <c r="E17" s="125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ht="14.25" hidden="1" outlineLevel="1">
      <c r="A18" s="79" t="s">
        <v>203</v>
      </c>
      <c r="B18" s="122" t="s">
        <v>758</v>
      </c>
      <c r="C18" s="34" t="s">
        <v>427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27" hidden="1" outlineLevel="1">
      <c r="A19" s="81" t="s">
        <v>1673</v>
      </c>
      <c r="B19" s="78" t="s">
        <v>756</v>
      </c>
      <c r="C19" s="34" t="s">
        <v>1097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 ht="14.25" hidden="1" outlineLevel="1">
      <c r="A20" s="79" t="s">
        <v>428</v>
      </c>
      <c r="B20" s="122" t="s">
        <v>758</v>
      </c>
      <c r="C20" s="34" t="s">
        <v>427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27" hidden="1" outlineLevel="1">
      <c r="A21" s="81" t="s">
        <v>1674</v>
      </c>
      <c r="B21" s="78" t="s">
        <v>759</v>
      </c>
      <c r="C21" s="34" t="s">
        <v>1097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ht="51" collapsed="1">
      <c r="A22" s="79" t="s">
        <v>1677</v>
      </c>
      <c r="B22" s="82" t="s">
        <v>760</v>
      </c>
      <c r="C22" s="34" t="s">
        <v>222</v>
      </c>
      <c r="D22" s="127">
        <f>'4.1'!D24</f>
        <v>1.965</v>
      </c>
      <c r="E22" s="127">
        <f>'4.1'!L24</f>
        <v>1.772</v>
      </c>
      <c r="F22" s="127">
        <f>'4.1'!T24</f>
        <v>1.199</v>
      </c>
      <c r="G22" s="1410">
        <f>'4.1'!AC18</f>
        <v>0.98087</v>
      </c>
      <c r="H22" s="493">
        <f>'4.1'!AK18</f>
        <v>0.9808697404200001</v>
      </c>
      <c r="I22" s="493">
        <f>'4.1'!AS18</f>
        <v>0.6050405056375</v>
      </c>
      <c r="J22" s="493">
        <f>'4.1'!BA18</f>
        <v>0.3758292347825001</v>
      </c>
      <c r="K22" s="493">
        <f aca="true" t="shared" si="0" ref="K22:P22">H22</f>
        <v>0.9808697404200001</v>
      </c>
      <c r="L22" s="493">
        <f t="shared" si="0"/>
        <v>0.6050405056375</v>
      </c>
      <c r="M22" s="493">
        <f t="shared" si="0"/>
        <v>0.3758292347825001</v>
      </c>
      <c r="N22" s="493">
        <f t="shared" si="0"/>
        <v>0.9808697404200001</v>
      </c>
      <c r="O22" s="493">
        <f t="shared" si="0"/>
        <v>0.6050405056375</v>
      </c>
      <c r="P22" s="493">
        <f t="shared" si="0"/>
        <v>0.3758292347825001</v>
      </c>
    </row>
    <row r="23" spans="1:16" ht="25.5">
      <c r="A23" s="79" t="s">
        <v>1678</v>
      </c>
      <c r="B23" s="82" t="s">
        <v>761</v>
      </c>
      <c r="C23" s="34" t="s">
        <v>222</v>
      </c>
      <c r="D23" s="127">
        <v>0</v>
      </c>
      <c r="E23" s="127">
        <v>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</row>
    <row r="24" spans="1:16" ht="25.5">
      <c r="A24" s="79" t="s">
        <v>423</v>
      </c>
      <c r="B24" s="122" t="s">
        <v>861</v>
      </c>
      <c r="C24" s="34" t="s">
        <v>427</v>
      </c>
      <c r="D24" s="127">
        <v>0</v>
      </c>
      <c r="E24" s="127">
        <v>0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</row>
    <row r="25" spans="1:16" ht="51">
      <c r="A25" s="81" t="s">
        <v>1679</v>
      </c>
      <c r="B25" s="78" t="s">
        <v>762</v>
      </c>
      <c r="C25" s="129" t="s">
        <v>222</v>
      </c>
      <c r="D25" s="452">
        <f>'4.1'!D24</f>
        <v>1.965</v>
      </c>
      <c r="E25" s="452">
        <f>'4.1'!L24</f>
        <v>1.772</v>
      </c>
      <c r="F25" s="452">
        <f>'4.1'!T24</f>
        <v>1.199</v>
      </c>
      <c r="G25" s="1411">
        <f>'4.1'!AC24</f>
        <v>0.98087</v>
      </c>
      <c r="H25" s="487">
        <f>'4.1'!AK24</f>
        <v>0.9808697404200001</v>
      </c>
      <c r="I25" s="487">
        <f>'4.1'!AS24</f>
        <v>0.6050405056375</v>
      </c>
      <c r="J25" s="487">
        <f>'4.1'!BA24</f>
        <v>0.3758292347825001</v>
      </c>
      <c r="K25" s="487">
        <f aca="true" t="shared" si="1" ref="K25:P25">H25</f>
        <v>0.9808697404200001</v>
      </c>
      <c r="L25" s="487">
        <f t="shared" si="1"/>
        <v>0.6050405056375</v>
      </c>
      <c r="M25" s="487">
        <f t="shared" si="1"/>
        <v>0.3758292347825001</v>
      </c>
      <c r="N25" s="487">
        <f t="shared" si="1"/>
        <v>0.9808697404200001</v>
      </c>
      <c r="O25" s="487">
        <f t="shared" si="1"/>
        <v>0.6050405056375</v>
      </c>
      <c r="P25" s="487">
        <f t="shared" si="1"/>
        <v>0.3758292347825001</v>
      </c>
    </row>
    <row r="26" spans="1:16" ht="14.25" hidden="1" outlineLevel="1">
      <c r="A26" s="79" t="s">
        <v>1680</v>
      </c>
      <c r="B26" s="82" t="s">
        <v>755</v>
      </c>
      <c r="C26" s="34" t="s">
        <v>1097</v>
      </c>
      <c r="D26" s="127">
        <v>0</v>
      </c>
      <c r="E26" s="127">
        <v>0</v>
      </c>
      <c r="F26" s="127">
        <v>0</v>
      </c>
      <c r="G26" s="1412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</row>
    <row r="27" spans="1:16" ht="39.75" hidden="1" outlineLevel="1">
      <c r="A27" s="79" t="s">
        <v>1681</v>
      </c>
      <c r="B27" s="82" t="s">
        <v>860</v>
      </c>
      <c r="C27" s="34" t="s">
        <v>1099</v>
      </c>
      <c r="D27" s="127">
        <v>0</v>
      </c>
      <c r="E27" s="127">
        <v>0</v>
      </c>
      <c r="F27" s="127">
        <v>0</v>
      </c>
      <c r="G27" s="1412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</row>
    <row r="28" spans="1:16" ht="27" hidden="1" outlineLevel="1">
      <c r="A28" s="79" t="s">
        <v>1682</v>
      </c>
      <c r="B28" s="82" t="s">
        <v>1107</v>
      </c>
      <c r="C28" s="34" t="s">
        <v>1100</v>
      </c>
      <c r="D28" s="127">
        <v>0</v>
      </c>
      <c r="E28" s="127">
        <v>0</v>
      </c>
      <c r="F28" s="127">
        <v>0</v>
      </c>
      <c r="G28" s="1412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</row>
    <row r="29" spans="1:16" ht="39.75" hidden="1" outlineLevel="1">
      <c r="A29" s="79" t="s">
        <v>1683</v>
      </c>
      <c r="B29" s="82" t="s">
        <v>760</v>
      </c>
      <c r="C29" s="34" t="s">
        <v>222</v>
      </c>
      <c r="D29" s="127">
        <v>0</v>
      </c>
      <c r="E29" s="127">
        <v>0</v>
      </c>
      <c r="F29" s="127">
        <v>0</v>
      </c>
      <c r="G29" s="1412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</row>
    <row r="30" spans="1:16" ht="51" collapsed="1">
      <c r="A30" s="81" t="s">
        <v>1684</v>
      </c>
      <c r="B30" s="78" t="s">
        <v>763</v>
      </c>
      <c r="C30" s="129" t="s">
        <v>216</v>
      </c>
      <c r="D30" s="453">
        <v>183.17</v>
      </c>
      <c r="E30" s="453">
        <v>181.99</v>
      </c>
      <c r="F30" s="453">
        <v>182</v>
      </c>
      <c r="G30" s="1413">
        <v>182</v>
      </c>
      <c r="H30" s="504">
        <v>182</v>
      </c>
      <c r="I30" s="504">
        <v>182</v>
      </c>
      <c r="J30" s="504">
        <v>182</v>
      </c>
      <c r="K30" s="504">
        <v>182</v>
      </c>
      <c r="L30" s="504">
        <v>182</v>
      </c>
      <c r="M30" s="504">
        <v>182</v>
      </c>
      <c r="N30" s="504">
        <v>182</v>
      </c>
      <c r="O30" s="504">
        <v>182</v>
      </c>
      <c r="P30" s="504">
        <v>182</v>
      </c>
    </row>
    <row r="31" spans="1:16" ht="38.25">
      <c r="A31" s="79" t="s">
        <v>1685</v>
      </c>
      <c r="B31" s="82" t="s">
        <v>1189</v>
      </c>
      <c r="C31" s="34" t="s">
        <v>1100</v>
      </c>
      <c r="D31" s="127">
        <f>D22*D30/1000</f>
        <v>0.35992905000000003</v>
      </c>
      <c r="E31" s="127">
        <v>0.30256</v>
      </c>
      <c r="F31" s="127">
        <f aca="true" t="shared" si="2" ref="F31:P31">F22*F30/1000</f>
        <v>0.21821800000000002</v>
      </c>
      <c r="G31" s="1410">
        <f t="shared" si="2"/>
        <v>0.17851834</v>
      </c>
      <c r="H31" s="493">
        <f t="shared" si="2"/>
        <v>0.17851829275644002</v>
      </c>
      <c r="I31" s="493">
        <f t="shared" si="2"/>
        <v>0.11011737202602499</v>
      </c>
      <c r="J31" s="493">
        <f t="shared" si="2"/>
        <v>0.06840092073041501</v>
      </c>
      <c r="K31" s="493">
        <f t="shared" si="2"/>
        <v>0.17851829275644002</v>
      </c>
      <c r="L31" s="493">
        <f t="shared" si="2"/>
        <v>0.11011737202602499</v>
      </c>
      <c r="M31" s="493">
        <f t="shared" si="2"/>
        <v>0.06840092073041501</v>
      </c>
      <c r="N31" s="493">
        <f t="shared" si="2"/>
        <v>0.17851829275644002</v>
      </c>
      <c r="O31" s="493">
        <f t="shared" si="2"/>
        <v>0.11011737202602499</v>
      </c>
      <c r="P31" s="493">
        <f t="shared" si="2"/>
        <v>0.06840092073041501</v>
      </c>
    </row>
    <row r="32" spans="1:16" ht="14.25" hidden="1" outlineLevel="1">
      <c r="A32" s="79" t="s">
        <v>1687</v>
      </c>
      <c r="B32" s="82" t="s">
        <v>859</v>
      </c>
      <c r="C32" s="34" t="s">
        <v>1100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</row>
    <row r="33" spans="1:17" ht="38.25" collapsed="1">
      <c r="A33" s="79" t="s">
        <v>223</v>
      </c>
      <c r="B33" s="82" t="s">
        <v>1190</v>
      </c>
      <c r="C33" s="34" t="s">
        <v>427</v>
      </c>
      <c r="D33" s="454">
        <v>1</v>
      </c>
      <c r="E33" s="454">
        <v>1</v>
      </c>
      <c r="F33" s="454">
        <v>1</v>
      </c>
      <c r="G33" s="454">
        <v>1</v>
      </c>
      <c r="H33" s="1423">
        <v>1</v>
      </c>
      <c r="I33" s="1423">
        <v>1</v>
      </c>
      <c r="J33" s="1423">
        <v>1</v>
      </c>
      <c r="K33" s="1423">
        <v>1</v>
      </c>
      <c r="L33" s="1423">
        <v>1</v>
      </c>
      <c r="M33" s="1423">
        <v>1</v>
      </c>
      <c r="N33" s="1423">
        <v>1</v>
      </c>
      <c r="O33" s="1423">
        <v>1</v>
      </c>
      <c r="P33" s="1423">
        <v>1</v>
      </c>
      <c r="Q33" s="533"/>
    </row>
    <row r="34" spans="1:17" ht="25.5">
      <c r="A34" s="81" t="s">
        <v>224</v>
      </c>
      <c r="B34" s="78" t="s">
        <v>1191</v>
      </c>
      <c r="C34" s="129" t="s">
        <v>1100</v>
      </c>
      <c r="D34" s="452">
        <f>D31</f>
        <v>0.35992905000000003</v>
      </c>
      <c r="E34" s="452">
        <f aca="true" t="shared" si="3" ref="E34:P34">E31</f>
        <v>0.30256</v>
      </c>
      <c r="F34" s="452">
        <f t="shared" si="3"/>
        <v>0.21821800000000002</v>
      </c>
      <c r="G34" s="1411">
        <f t="shared" si="3"/>
        <v>0.17851834</v>
      </c>
      <c r="H34" s="487">
        <f t="shared" si="3"/>
        <v>0.17851829275644002</v>
      </c>
      <c r="I34" s="487">
        <f t="shared" si="3"/>
        <v>0.11011737202602499</v>
      </c>
      <c r="J34" s="487">
        <f t="shared" si="3"/>
        <v>0.06840092073041501</v>
      </c>
      <c r="K34" s="487">
        <f t="shared" si="3"/>
        <v>0.17851829275644002</v>
      </c>
      <c r="L34" s="487">
        <f t="shared" si="3"/>
        <v>0.11011737202602499</v>
      </c>
      <c r="M34" s="487">
        <f t="shared" si="3"/>
        <v>0.06840092073041501</v>
      </c>
      <c r="N34" s="487">
        <f t="shared" si="3"/>
        <v>0.17851829275644002</v>
      </c>
      <c r="O34" s="487">
        <f t="shared" si="3"/>
        <v>0.11011737202602499</v>
      </c>
      <c r="P34" s="487">
        <f t="shared" si="3"/>
        <v>0.06840092073041501</v>
      </c>
      <c r="Q34" s="534"/>
    </row>
    <row r="35" spans="1:17" ht="15">
      <c r="A35" s="79" t="s">
        <v>707</v>
      </c>
      <c r="B35" s="122" t="s">
        <v>1180</v>
      </c>
      <c r="C35" s="34" t="s">
        <v>1100</v>
      </c>
      <c r="D35" s="127">
        <v>0</v>
      </c>
      <c r="E35" s="127">
        <v>0</v>
      </c>
      <c r="F35" s="127"/>
      <c r="G35" s="1412"/>
      <c r="H35" s="127"/>
      <c r="I35" s="127"/>
      <c r="J35" s="127"/>
      <c r="K35" s="127"/>
      <c r="L35" s="127"/>
      <c r="M35" s="127"/>
      <c r="N35" s="127"/>
      <c r="O35" s="127"/>
      <c r="P35" s="127"/>
      <c r="Q35" s="535"/>
    </row>
    <row r="36" spans="1:17" ht="15">
      <c r="A36" s="79" t="s">
        <v>708</v>
      </c>
      <c r="B36" s="122" t="s">
        <v>1277</v>
      </c>
      <c r="C36" s="34" t="s">
        <v>1100</v>
      </c>
      <c r="D36" s="127">
        <v>0</v>
      </c>
      <c r="E36" s="127">
        <v>0</v>
      </c>
      <c r="F36" s="127"/>
      <c r="G36" s="1412"/>
      <c r="H36" s="127"/>
      <c r="I36" s="127"/>
      <c r="J36" s="127"/>
      <c r="K36" s="127"/>
      <c r="L36" s="127"/>
      <c r="M36" s="127"/>
      <c r="N36" s="127"/>
      <c r="O36" s="127"/>
      <c r="P36" s="127"/>
      <c r="Q36" s="535"/>
    </row>
    <row r="37" spans="1:17" ht="15">
      <c r="A37" s="79" t="s">
        <v>709</v>
      </c>
      <c r="B37" s="122" t="s">
        <v>1193</v>
      </c>
      <c r="C37" s="34" t="s">
        <v>1100</v>
      </c>
      <c r="D37" s="127">
        <v>0</v>
      </c>
      <c r="E37" s="127">
        <v>0</v>
      </c>
      <c r="F37" s="127"/>
      <c r="G37" s="1412"/>
      <c r="H37" s="127"/>
      <c r="I37" s="127"/>
      <c r="J37" s="127"/>
      <c r="K37" s="127"/>
      <c r="L37" s="127"/>
      <c r="M37" s="127"/>
      <c r="N37" s="127"/>
      <c r="O37" s="127"/>
      <c r="P37" s="127"/>
      <c r="Q37" s="535"/>
    </row>
    <row r="38" spans="1:17" ht="14.25" hidden="1" outlineLevel="1">
      <c r="A38" s="79" t="s">
        <v>710</v>
      </c>
      <c r="B38" s="80" t="s">
        <v>1194</v>
      </c>
      <c r="C38" s="34" t="s">
        <v>1100</v>
      </c>
      <c r="D38" s="127">
        <v>0</v>
      </c>
      <c r="E38" s="127">
        <v>0</v>
      </c>
      <c r="F38" s="127">
        <v>0</v>
      </c>
      <c r="G38" s="1412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533"/>
    </row>
    <row r="39" spans="1:16" ht="14.25" hidden="1" outlineLevel="1">
      <c r="A39" s="79" t="s">
        <v>711</v>
      </c>
      <c r="B39" s="80" t="s">
        <v>1196</v>
      </c>
      <c r="C39" s="34" t="s">
        <v>1100</v>
      </c>
      <c r="D39" s="127">
        <v>0</v>
      </c>
      <c r="E39" s="127">
        <v>0</v>
      </c>
      <c r="F39" s="127">
        <v>0</v>
      </c>
      <c r="G39" s="1412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</row>
    <row r="40" spans="1:16" ht="14.25" hidden="1" outlineLevel="1">
      <c r="A40" s="79" t="s">
        <v>712</v>
      </c>
      <c r="B40" s="80" t="s">
        <v>1195</v>
      </c>
      <c r="C40" s="34" t="s">
        <v>1100</v>
      </c>
      <c r="D40" s="127">
        <v>0</v>
      </c>
      <c r="E40" s="127">
        <v>0</v>
      </c>
      <c r="F40" s="127">
        <v>0</v>
      </c>
      <c r="G40" s="1412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</row>
    <row r="41" spans="1:17" ht="25.5" collapsed="1">
      <c r="A41" s="79" t="s">
        <v>713</v>
      </c>
      <c r="B41" s="122" t="s">
        <v>862</v>
      </c>
      <c r="C41" s="34" t="s">
        <v>1100</v>
      </c>
      <c r="D41" s="127">
        <f>D34</f>
        <v>0.35992905000000003</v>
      </c>
      <c r="E41" s="127">
        <f aca="true" t="shared" si="4" ref="E41:P41">E34</f>
        <v>0.30256</v>
      </c>
      <c r="F41" s="127">
        <f t="shared" si="4"/>
        <v>0.21821800000000002</v>
      </c>
      <c r="G41" s="1414">
        <f t="shared" si="4"/>
        <v>0.17851834</v>
      </c>
      <c r="H41" s="493">
        <f t="shared" si="4"/>
        <v>0.17851829275644002</v>
      </c>
      <c r="I41" s="493">
        <f t="shared" si="4"/>
        <v>0.11011737202602499</v>
      </c>
      <c r="J41" s="493">
        <f t="shared" si="4"/>
        <v>0.06840092073041501</v>
      </c>
      <c r="K41" s="493">
        <f t="shared" si="4"/>
        <v>0.17851829275644002</v>
      </c>
      <c r="L41" s="493">
        <f t="shared" si="4"/>
        <v>0.11011737202602499</v>
      </c>
      <c r="M41" s="493">
        <f t="shared" si="4"/>
        <v>0.06840092073041501</v>
      </c>
      <c r="N41" s="493">
        <f t="shared" si="4"/>
        <v>0.17851829275644002</v>
      </c>
      <c r="O41" s="493">
        <f t="shared" si="4"/>
        <v>0.11011737202602499</v>
      </c>
      <c r="P41" s="493">
        <f t="shared" si="4"/>
        <v>0.06840092073041501</v>
      </c>
      <c r="Q41" s="534"/>
    </row>
    <row r="42" spans="1:17" ht="25.5">
      <c r="A42" s="79" t="s">
        <v>714</v>
      </c>
      <c r="B42" s="122" t="s">
        <v>422</v>
      </c>
      <c r="C42" s="34" t="s">
        <v>1100</v>
      </c>
      <c r="D42" s="127">
        <f>D34</f>
        <v>0.35992905000000003</v>
      </c>
      <c r="E42" s="127">
        <f aca="true" t="shared" si="5" ref="E42:P42">E34</f>
        <v>0.30256</v>
      </c>
      <c r="F42" s="127">
        <f t="shared" si="5"/>
        <v>0.21821800000000002</v>
      </c>
      <c r="G42" s="1414">
        <f t="shared" si="5"/>
        <v>0.17851834</v>
      </c>
      <c r="H42" s="493">
        <f t="shared" si="5"/>
        <v>0.17851829275644002</v>
      </c>
      <c r="I42" s="493">
        <f t="shared" si="5"/>
        <v>0.11011737202602499</v>
      </c>
      <c r="J42" s="493">
        <f t="shared" si="5"/>
        <v>0.06840092073041501</v>
      </c>
      <c r="K42" s="493">
        <f t="shared" si="5"/>
        <v>0.17851829275644002</v>
      </c>
      <c r="L42" s="493">
        <f t="shared" si="5"/>
        <v>0.11011737202602499</v>
      </c>
      <c r="M42" s="493">
        <f t="shared" si="5"/>
        <v>0.06840092073041501</v>
      </c>
      <c r="N42" s="493">
        <f t="shared" si="5"/>
        <v>0.17851829275644002</v>
      </c>
      <c r="O42" s="493">
        <f t="shared" si="5"/>
        <v>0.11011737202602499</v>
      </c>
      <c r="P42" s="493">
        <f t="shared" si="5"/>
        <v>0.06840092073041501</v>
      </c>
      <c r="Q42" s="535"/>
    </row>
    <row r="43" spans="1:16" ht="15">
      <c r="A43" s="81" t="s">
        <v>225</v>
      </c>
      <c r="B43" s="78" t="s">
        <v>1198</v>
      </c>
      <c r="C43" s="129" t="s">
        <v>427</v>
      </c>
      <c r="D43" s="454">
        <v>1</v>
      </c>
      <c r="E43" s="454">
        <v>1</v>
      </c>
      <c r="F43" s="454">
        <v>1</v>
      </c>
      <c r="G43" s="1415">
        <v>1</v>
      </c>
      <c r="H43" s="1423">
        <v>1</v>
      </c>
      <c r="I43" s="1423">
        <v>1</v>
      </c>
      <c r="J43" s="1423">
        <v>1</v>
      </c>
      <c r="K43" s="1423">
        <v>1</v>
      </c>
      <c r="L43" s="1423">
        <v>1</v>
      </c>
      <c r="M43" s="1423">
        <v>1</v>
      </c>
      <c r="N43" s="1423">
        <v>1</v>
      </c>
      <c r="O43" s="1423">
        <v>1</v>
      </c>
      <c r="P43" s="1423">
        <v>1</v>
      </c>
    </row>
    <row r="44" spans="1:16" ht="15">
      <c r="A44" s="79" t="s">
        <v>715</v>
      </c>
      <c r="B44" s="122" t="s">
        <v>1180</v>
      </c>
      <c r="C44" s="34" t="s">
        <v>427</v>
      </c>
      <c r="D44" s="127">
        <v>0</v>
      </c>
      <c r="E44" s="127">
        <v>0</v>
      </c>
      <c r="F44" s="127"/>
      <c r="G44" s="127"/>
      <c r="H44" s="1254"/>
      <c r="I44" s="1254"/>
      <c r="J44" s="1254"/>
      <c r="K44" s="1254"/>
      <c r="L44" s="1254"/>
      <c r="M44" s="1254"/>
      <c r="N44" s="1254"/>
      <c r="O44" s="1254"/>
      <c r="P44" s="1254"/>
    </row>
    <row r="45" spans="1:16" ht="15">
      <c r="A45" s="79" t="s">
        <v>716</v>
      </c>
      <c r="B45" s="122" t="s">
        <v>1277</v>
      </c>
      <c r="C45" s="34" t="s">
        <v>427</v>
      </c>
      <c r="D45" s="127">
        <v>0</v>
      </c>
      <c r="E45" s="127">
        <v>0</v>
      </c>
      <c r="F45" s="127"/>
      <c r="G45" s="127"/>
      <c r="H45" s="1254"/>
      <c r="I45" s="1254"/>
      <c r="J45" s="1254"/>
      <c r="K45" s="1254"/>
      <c r="L45" s="1254"/>
      <c r="M45" s="1254"/>
      <c r="N45" s="1254"/>
      <c r="O45" s="1254"/>
      <c r="P45" s="1254"/>
    </row>
    <row r="46" spans="1:16" ht="15">
      <c r="A46" s="79" t="s">
        <v>717</v>
      </c>
      <c r="B46" s="122" t="s">
        <v>1193</v>
      </c>
      <c r="C46" s="34" t="s">
        <v>427</v>
      </c>
      <c r="D46" s="127">
        <v>0</v>
      </c>
      <c r="E46" s="127">
        <v>0</v>
      </c>
      <c r="F46" s="127"/>
      <c r="G46" s="127"/>
      <c r="H46" s="1254"/>
      <c r="I46" s="1254"/>
      <c r="J46" s="1254"/>
      <c r="K46" s="1254"/>
      <c r="L46" s="1254"/>
      <c r="M46" s="1254"/>
      <c r="N46" s="1254"/>
      <c r="O46" s="1254"/>
      <c r="P46" s="1254"/>
    </row>
    <row r="47" spans="1:16" ht="14.25" hidden="1" outlineLevel="1">
      <c r="A47" s="79" t="s">
        <v>718</v>
      </c>
      <c r="B47" s="80" t="s">
        <v>1194</v>
      </c>
      <c r="C47" s="34" t="s">
        <v>427</v>
      </c>
      <c r="D47" s="127">
        <v>0</v>
      </c>
      <c r="E47" s="127">
        <v>0</v>
      </c>
      <c r="F47" s="127">
        <v>0</v>
      </c>
      <c r="G47" s="127">
        <v>0</v>
      </c>
      <c r="H47" s="1254">
        <v>0</v>
      </c>
      <c r="I47" s="1254">
        <v>0</v>
      </c>
      <c r="J47" s="1254">
        <v>0</v>
      </c>
      <c r="K47" s="1254">
        <v>0</v>
      </c>
      <c r="L47" s="1254">
        <v>0</v>
      </c>
      <c r="M47" s="1254">
        <v>0</v>
      </c>
      <c r="N47" s="1254">
        <v>0</v>
      </c>
      <c r="O47" s="1254">
        <v>0</v>
      </c>
      <c r="P47" s="1254">
        <v>0</v>
      </c>
    </row>
    <row r="48" spans="1:17" ht="14.25" hidden="1" outlineLevel="1">
      <c r="A48" s="79" t="s">
        <v>578</v>
      </c>
      <c r="B48" s="80" t="s">
        <v>1196</v>
      </c>
      <c r="C48" s="34" t="s">
        <v>427</v>
      </c>
      <c r="D48" s="127">
        <v>0</v>
      </c>
      <c r="E48" s="127">
        <v>0</v>
      </c>
      <c r="F48" s="127">
        <v>0</v>
      </c>
      <c r="G48" s="127">
        <v>0</v>
      </c>
      <c r="H48" s="1254">
        <v>0</v>
      </c>
      <c r="I48" s="1254">
        <v>0</v>
      </c>
      <c r="J48" s="1254">
        <v>0</v>
      </c>
      <c r="K48" s="1254">
        <v>0</v>
      </c>
      <c r="L48" s="1254">
        <v>0</v>
      </c>
      <c r="M48" s="1254">
        <v>0</v>
      </c>
      <c r="N48" s="1254">
        <v>0</v>
      </c>
      <c r="O48" s="1254">
        <v>0</v>
      </c>
      <c r="P48" s="1254">
        <v>0</v>
      </c>
      <c r="Q48" s="533" t="s">
        <v>796</v>
      </c>
    </row>
    <row r="49" spans="1:17" ht="14.25" hidden="1" outlineLevel="1">
      <c r="A49" s="79" t="s">
        <v>579</v>
      </c>
      <c r="B49" s="80" t="s">
        <v>1195</v>
      </c>
      <c r="C49" s="34" t="s">
        <v>427</v>
      </c>
      <c r="D49" s="127">
        <v>0</v>
      </c>
      <c r="E49" s="127">
        <v>0</v>
      </c>
      <c r="F49" s="127">
        <v>0</v>
      </c>
      <c r="G49" s="127">
        <v>0</v>
      </c>
      <c r="H49" s="1254">
        <v>0</v>
      </c>
      <c r="I49" s="1254">
        <v>0</v>
      </c>
      <c r="J49" s="1254">
        <v>0</v>
      </c>
      <c r="K49" s="1254">
        <v>0</v>
      </c>
      <c r="L49" s="1254">
        <v>0</v>
      </c>
      <c r="M49" s="1254">
        <v>0</v>
      </c>
      <c r="N49" s="1254">
        <v>0</v>
      </c>
      <c r="O49" s="1254">
        <v>0</v>
      </c>
      <c r="P49" s="1254">
        <v>0</v>
      </c>
      <c r="Q49" s="535" t="s">
        <v>797</v>
      </c>
    </row>
    <row r="50" spans="1:17" ht="25.5" collapsed="1">
      <c r="A50" s="79" t="s">
        <v>580</v>
      </c>
      <c r="B50" s="122" t="s">
        <v>862</v>
      </c>
      <c r="C50" s="34" t="s">
        <v>427</v>
      </c>
      <c r="D50" s="128">
        <v>1</v>
      </c>
      <c r="E50" s="128">
        <v>1</v>
      </c>
      <c r="F50" s="128">
        <v>1</v>
      </c>
      <c r="G50" s="128">
        <v>1</v>
      </c>
      <c r="H50" s="1424">
        <v>1</v>
      </c>
      <c r="I50" s="1424">
        <v>1</v>
      </c>
      <c r="J50" s="1424">
        <v>1</v>
      </c>
      <c r="K50" s="1424">
        <v>1</v>
      </c>
      <c r="L50" s="1424">
        <v>1</v>
      </c>
      <c r="M50" s="1424">
        <v>1</v>
      </c>
      <c r="N50" s="1424">
        <v>1</v>
      </c>
      <c r="O50" s="1424">
        <v>1</v>
      </c>
      <c r="P50" s="1424">
        <v>1</v>
      </c>
      <c r="Q50" s="535"/>
    </row>
    <row r="51" spans="1:17" ht="25.5">
      <c r="A51" s="81" t="s">
        <v>226</v>
      </c>
      <c r="B51" s="78" t="s">
        <v>253</v>
      </c>
      <c r="C51" s="34"/>
      <c r="D51" s="452">
        <v>1.457</v>
      </c>
      <c r="E51" s="452">
        <v>1.457</v>
      </c>
      <c r="F51" s="452">
        <v>1.457</v>
      </c>
      <c r="G51" s="452">
        <v>1.457</v>
      </c>
      <c r="H51" s="1253">
        <v>1.457</v>
      </c>
      <c r="I51" s="1253">
        <v>1.457</v>
      </c>
      <c r="J51" s="1253">
        <v>1.457</v>
      </c>
      <c r="K51" s="1253">
        <v>1.457</v>
      </c>
      <c r="L51" s="1253">
        <v>1.457</v>
      </c>
      <c r="M51" s="1253">
        <v>1.457</v>
      </c>
      <c r="N51" s="1253">
        <v>1.457</v>
      </c>
      <c r="O51" s="1253">
        <v>1.457</v>
      </c>
      <c r="P51" s="1253">
        <v>1.457</v>
      </c>
      <c r="Q51" s="535"/>
    </row>
    <row r="52" spans="1:16" ht="15">
      <c r="A52" s="79" t="s">
        <v>251</v>
      </c>
      <c r="B52" s="122" t="s">
        <v>1180</v>
      </c>
      <c r="C52" s="34"/>
      <c r="D52" s="127">
        <v>0</v>
      </c>
      <c r="E52" s="127">
        <v>0</v>
      </c>
      <c r="F52" s="127"/>
      <c r="G52" s="1412"/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6" ht="15">
      <c r="A53" s="79" t="s">
        <v>581</v>
      </c>
      <c r="B53" s="122" t="s">
        <v>1277</v>
      </c>
      <c r="C53" s="34"/>
      <c r="D53" s="127">
        <v>0</v>
      </c>
      <c r="E53" s="127">
        <v>0</v>
      </c>
      <c r="F53" s="127"/>
      <c r="G53" s="1412"/>
      <c r="H53" s="127"/>
      <c r="I53" s="127"/>
      <c r="J53" s="127"/>
      <c r="K53" s="127"/>
      <c r="L53" s="127"/>
      <c r="M53" s="127"/>
      <c r="N53" s="127"/>
      <c r="O53" s="127"/>
      <c r="P53" s="127"/>
    </row>
    <row r="54" spans="1:16" ht="15">
      <c r="A54" s="79" t="s">
        <v>582</v>
      </c>
      <c r="B54" s="122" t="s">
        <v>1193</v>
      </c>
      <c r="C54" s="34"/>
      <c r="D54" s="127">
        <v>0</v>
      </c>
      <c r="E54" s="127">
        <v>0</v>
      </c>
      <c r="F54" s="127"/>
      <c r="G54" s="1412"/>
      <c r="H54" s="127"/>
      <c r="I54" s="127"/>
      <c r="J54" s="127"/>
      <c r="K54" s="127"/>
      <c r="L54" s="127"/>
      <c r="M54" s="127"/>
      <c r="N54" s="127"/>
      <c r="O54" s="127"/>
      <c r="P54" s="127"/>
    </row>
    <row r="55" spans="1:17" ht="14.25" hidden="1" outlineLevel="1">
      <c r="A55" s="79" t="s">
        <v>583</v>
      </c>
      <c r="B55" s="80" t="s">
        <v>1194</v>
      </c>
      <c r="C55" s="34"/>
      <c r="D55" s="127">
        <v>0</v>
      </c>
      <c r="E55" s="127">
        <v>0</v>
      </c>
      <c r="F55" s="127">
        <v>0</v>
      </c>
      <c r="G55" s="1412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535" t="s">
        <v>798</v>
      </c>
    </row>
    <row r="56" spans="1:17" ht="14.25" hidden="1" outlineLevel="1">
      <c r="A56" s="79" t="s">
        <v>584</v>
      </c>
      <c r="B56" s="80" t="s">
        <v>1196</v>
      </c>
      <c r="C56" s="34"/>
      <c r="D56" s="127">
        <v>0</v>
      </c>
      <c r="E56" s="127">
        <v>0</v>
      </c>
      <c r="F56" s="127">
        <v>0</v>
      </c>
      <c r="G56" s="1412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535" t="s">
        <v>799</v>
      </c>
    </row>
    <row r="57" spans="1:17" ht="14.25" hidden="1" outlineLevel="1">
      <c r="A57" s="79" t="s">
        <v>585</v>
      </c>
      <c r="B57" s="80" t="s">
        <v>1195</v>
      </c>
      <c r="C57" s="34"/>
      <c r="D57" s="127">
        <v>0</v>
      </c>
      <c r="E57" s="127">
        <v>0</v>
      </c>
      <c r="F57" s="127">
        <v>0</v>
      </c>
      <c r="G57" s="1412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535" t="s">
        <v>800</v>
      </c>
    </row>
    <row r="58" spans="1:17" ht="25.5" collapsed="1">
      <c r="A58" s="79" t="s">
        <v>586</v>
      </c>
      <c r="B58" s="122" t="s">
        <v>862</v>
      </c>
      <c r="C58" s="34"/>
      <c r="D58" s="127">
        <v>1.457</v>
      </c>
      <c r="E58" s="127">
        <v>1.457</v>
      </c>
      <c r="F58" s="127">
        <v>1.457</v>
      </c>
      <c r="G58" s="1414">
        <v>1.457</v>
      </c>
      <c r="H58" s="1425">
        <v>1.457</v>
      </c>
      <c r="I58" s="1425">
        <v>1.457</v>
      </c>
      <c r="J58" s="1425">
        <v>1.457</v>
      </c>
      <c r="K58" s="1425">
        <v>1.457</v>
      </c>
      <c r="L58" s="1425">
        <v>1.457</v>
      </c>
      <c r="M58" s="1425">
        <v>1.457</v>
      </c>
      <c r="N58" s="1425">
        <v>1.457</v>
      </c>
      <c r="O58" s="1425">
        <v>1.457</v>
      </c>
      <c r="P58" s="1425">
        <v>1.457</v>
      </c>
      <c r="Q58" s="535"/>
    </row>
    <row r="59" spans="1:16" ht="25.5">
      <c r="A59" s="81" t="s">
        <v>250</v>
      </c>
      <c r="B59" s="78" t="s">
        <v>695</v>
      </c>
      <c r="C59" s="129"/>
      <c r="D59" s="452">
        <f>D66</f>
        <v>0.2470343514070007</v>
      </c>
      <c r="E59" s="452">
        <f aca="true" t="shared" si="6" ref="E59:P59">E66</f>
        <v>0.20766</v>
      </c>
      <c r="F59" s="452">
        <f t="shared" si="6"/>
        <v>0.14977213452299246</v>
      </c>
      <c r="G59" s="1416">
        <f t="shared" si="6"/>
        <v>0.12252459849004804</v>
      </c>
      <c r="H59" s="1426">
        <f t="shared" si="6"/>
        <v>0.12252456606481812</v>
      </c>
      <c r="I59" s="1426">
        <f t="shared" si="6"/>
        <v>0.07557815513110844</v>
      </c>
      <c r="J59" s="1426">
        <f t="shared" si="6"/>
        <v>0.04694641093370968</v>
      </c>
      <c r="K59" s="1426">
        <f t="shared" si="6"/>
        <v>0.12252456606481812</v>
      </c>
      <c r="L59" s="1426">
        <f t="shared" si="6"/>
        <v>0.07557815513110844</v>
      </c>
      <c r="M59" s="1426">
        <f t="shared" si="6"/>
        <v>0.04694641093370968</v>
      </c>
      <c r="N59" s="1426">
        <f t="shared" si="6"/>
        <v>0.12252456606481812</v>
      </c>
      <c r="O59" s="1426">
        <f t="shared" si="6"/>
        <v>0.07557815513110844</v>
      </c>
      <c r="P59" s="1426">
        <f t="shared" si="6"/>
        <v>0.04694641093370968</v>
      </c>
    </row>
    <row r="60" spans="1:16" ht="15">
      <c r="A60" s="79" t="s">
        <v>255</v>
      </c>
      <c r="B60" s="122" t="s">
        <v>1180</v>
      </c>
      <c r="C60" s="34" t="s">
        <v>1102</v>
      </c>
      <c r="D60" s="127">
        <v>0</v>
      </c>
      <c r="E60" s="127">
        <v>0</v>
      </c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</row>
    <row r="61" spans="1:16" ht="15">
      <c r="A61" s="79" t="s">
        <v>1276</v>
      </c>
      <c r="B61" s="122" t="s">
        <v>1277</v>
      </c>
      <c r="C61" s="34" t="s">
        <v>1102</v>
      </c>
      <c r="D61" s="127">
        <v>0</v>
      </c>
      <c r="E61" s="127">
        <v>0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  <row r="62" spans="1:16" ht="15">
      <c r="A62" s="79" t="s">
        <v>587</v>
      </c>
      <c r="B62" s="122" t="s">
        <v>1193</v>
      </c>
      <c r="C62" s="34" t="s">
        <v>1101</v>
      </c>
      <c r="D62" s="127">
        <v>0</v>
      </c>
      <c r="E62" s="127">
        <v>0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</row>
    <row r="63" spans="1:16" ht="14.25" hidden="1" outlineLevel="1">
      <c r="A63" s="79" t="s">
        <v>588</v>
      </c>
      <c r="B63" s="80" t="s">
        <v>1194</v>
      </c>
      <c r="C63" s="34" t="s">
        <v>1101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</row>
    <row r="64" spans="1:16" ht="14.25" hidden="1" outlineLevel="1">
      <c r="A64" s="79" t="s">
        <v>589</v>
      </c>
      <c r="B64" s="80" t="s">
        <v>1196</v>
      </c>
      <c r="C64" s="34" t="s">
        <v>1101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</row>
    <row r="65" spans="1:16" ht="14.25" hidden="1" outlineLevel="1">
      <c r="A65" s="79" t="s">
        <v>590</v>
      </c>
      <c r="B65" s="80" t="s">
        <v>1195</v>
      </c>
      <c r="C65" s="34" t="s">
        <v>1101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</row>
    <row r="66" spans="1:16" ht="26.25" collapsed="1" thickBot="1">
      <c r="A66" s="508" t="s">
        <v>591</v>
      </c>
      <c r="B66" s="509" t="s">
        <v>862</v>
      </c>
      <c r="C66" s="510" t="s">
        <v>1102</v>
      </c>
      <c r="D66" s="511">
        <f>D41/D58</f>
        <v>0.2470343514070007</v>
      </c>
      <c r="E66" s="511">
        <v>0.20766</v>
      </c>
      <c r="F66" s="511">
        <f aca="true" t="shared" si="7" ref="F66:P66">F41/F58</f>
        <v>0.14977213452299246</v>
      </c>
      <c r="G66" s="1417">
        <f t="shared" si="7"/>
        <v>0.12252459849004804</v>
      </c>
      <c r="H66" s="1427">
        <f t="shared" si="7"/>
        <v>0.12252456606481812</v>
      </c>
      <c r="I66" s="1427">
        <f t="shared" si="7"/>
        <v>0.07557815513110844</v>
      </c>
      <c r="J66" s="1427">
        <f t="shared" si="7"/>
        <v>0.04694641093370968</v>
      </c>
      <c r="K66" s="1427">
        <f t="shared" si="7"/>
        <v>0.12252456606481812</v>
      </c>
      <c r="L66" s="1427">
        <f t="shared" si="7"/>
        <v>0.07557815513110844</v>
      </c>
      <c r="M66" s="1427">
        <f t="shared" si="7"/>
        <v>0.04694641093370968</v>
      </c>
      <c r="N66" s="1427">
        <f t="shared" si="7"/>
        <v>0.12252456606481812</v>
      </c>
      <c r="O66" s="1427">
        <f t="shared" si="7"/>
        <v>0.07557815513110844</v>
      </c>
      <c r="P66" s="1427">
        <f t="shared" si="7"/>
        <v>0.04694641093370968</v>
      </c>
    </row>
    <row r="67" spans="1:16" ht="25.5">
      <c r="A67" s="505" t="s">
        <v>252</v>
      </c>
      <c r="B67" s="506" t="s">
        <v>1199</v>
      </c>
      <c r="C67" s="507"/>
      <c r="D67" s="541">
        <f>D74</f>
        <v>1.03</v>
      </c>
      <c r="E67" s="541">
        <f aca="true" t="shared" si="8" ref="E67:P67">E74</f>
        <v>0</v>
      </c>
      <c r="F67" s="541">
        <f t="shared" si="8"/>
        <v>1</v>
      </c>
      <c r="G67" s="541">
        <f t="shared" si="8"/>
        <v>1.033</v>
      </c>
      <c r="H67" s="1428">
        <f t="shared" si="8"/>
        <v>1.061</v>
      </c>
      <c r="I67" s="1428">
        <f t="shared" si="8"/>
        <v>1.061</v>
      </c>
      <c r="J67" s="1428">
        <f t="shared" si="8"/>
        <v>1.061</v>
      </c>
      <c r="K67" s="1428">
        <f t="shared" si="8"/>
        <v>1.062</v>
      </c>
      <c r="L67" s="1428">
        <f t="shared" si="8"/>
        <v>1.062</v>
      </c>
      <c r="M67" s="1428">
        <f t="shared" si="8"/>
        <v>1.062</v>
      </c>
      <c r="N67" s="1428">
        <f t="shared" si="8"/>
        <v>1.062</v>
      </c>
      <c r="O67" s="1428">
        <f t="shared" si="8"/>
        <v>1.062</v>
      </c>
      <c r="P67" s="1428">
        <f t="shared" si="8"/>
        <v>1.062</v>
      </c>
    </row>
    <row r="68" spans="1:16" ht="15">
      <c r="A68" s="79" t="s">
        <v>592</v>
      </c>
      <c r="B68" s="122" t="s">
        <v>1180</v>
      </c>
      <c r="C68" s="34" t="s">
        <v>427</v>
      </c>
      <c r="D68" s="127">
        <v>0</v>
      </c>
      <c r="E68" s="127">
        <v>0</v>
      </c>
      <c r="F68" s="127"/>
      <c r="G68" s="1412"/>
      <c r="H68" s="127"/>
      <c r="I68" s="127"/>
      <c r="J68" s="127"/>
      <c r="K68" s="127"/>
      <c r="L68" s="127"/>
      <c r="M68" s="127"/>
      <c r="N68" s="127"/>
      <c r="O68" s="127"/>
      <c r="P68" s="127"/>
    </row>
    <row r="69" spans="1:16" ht="15">
      <c r="A69" s="79" t="s">
        <v>593</v>
      </c>
      <c r="B69" s="122" t="s">
        <v>1277</v>
      </c>
      <c r="C69" s="34" t="s">
        <v>427</v>
      </c>
      <c r="D69" s="127">
        <v>0</v>
      </c>
      <c r="E69" s="127">
        <v>0</v>
      </c>
      <c r="F69" s="127"/>
      <c r="G69" s="1412"/>
      <c r="H69" s="127"/>
      <c r="I69" s="127"/>
      <c r="J69" s="127"/>
      <c r="K69" s="127"/>
      <c r="L69" s="127"/>
      <c r="M69" s="127"/>
      <c r="N69" s="127"/>
      <c r="O69" s="127"/>
      <c r="P69" s="127"/>
    </row>
    <row r="70" spans="1:16" ht="15">
      <c r="A70" s="79" t="s">
        <v>594</v>
      </c>
      <c r="B70" s="122" t="s">
        <v>1193</v>
      </c>
      <c r="C70" s="34" t="s">
        <v>427</v>
      </c>
      <c r="D70" s="127">
        <v>0</v>
      </c>
      <c r="E70" s="127">
        <v>0</v>
      </c>
      <c r="F70" s="127"/>
      <c r="G70" s="1412"/>
      <c r="H70" s="127"/>
      <c r="I70" s="127"/>
      <c r="J70" s="127"/>
      <c r="K70" s="127"/>
      <c r="L70" s="127"/>
      <c r="M70" s="127"/>
      <c r="N70" s="127"/>
      <c r="O70" s="127"/>
      <c r="P70" s="127"/>
    </row>
    <row r="71" spans="1:16" ht="14.25" hidden="1" outlineLevel="1">
      <c r="A71" s="79" t="s">
        <v>595</v>
      </c>
      <c r="B71" s="80" t="s">
        <v>1194</v>
      </c>
      <c r="C71" s="34" t="s">
        <v>427</v>
      </c>
      <c r="D71" s="127">
        <v>0</v>
      </c>
      <c r="E71" s="127">
        <v>0</v>
      </c>
      <c r="F71" s="127">
        <v>0</v>
      </c>
      <c r="G71" s="1412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</row>
    <row r="72" spans="1:16" ht="14.25" hidden="1" outlineLevel="1">
      <c r="A72" s="79" t="s">
        <v>596</v>
      </c>
      <c r="B72" s="80" t="s">
        <v>1196</v>
      </c>
      <c r="C72" s="34" t="s">
        <v>427</v>
      </c>
      <c r="D72" s="127">
        <v>0</v>
      </c>
      <c r="E72" s="127">
        <v>0</v>
      </c>
      <c r="F72" s="127">
        <v>0</v>
      </c>
      <c r="G72" s="1412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</row>
    <row r="73" spans="1:16" ht="14.25" hidden="1" outlineLevel="1">
      <c r="A73" s="79" t="s">
        <v>597</v>
      </c>
      <c r="B73" s="80" t="s">
        <v>1195</v>
      </c>
      <c r="C73" s="34" t="s">
        <v>427</v>
      </c>
      <c r="D73" s="127">
        <v>0</v>
      </c>
      <c r="E73" s="127">
        <v>0</v>
      </c>
      <c r="F73" s="127">
        <v>0</v>
      </c>
      <c r="G73" s="1412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v>0</v>
      </c>
      <c r="M73" s="127">
        <v>0</v>
      </c>
      <c r="N73" s="127">
        <v>0</v>
      </c>
      <c r="O73" s="127">
        <v>0</v>
      </c>
      <c r="P73" s="127">
        <v>0</v>
      </c>
    </row>
    <row r="74" spans="1:16" ht="25.5" collapsed="1">
      <c r="A74" s="79" t="s">
        <v>598</v>
      </c>
      <c r="B74" s="122" t="s">
        <v>862</v>
      </c>
      <c r="C74" s="34" t="s">
        <v>427</v>
      </c>
      <c r="D74" s="128">
        <v>1.03</v>
      </c>
      <c r="E74" s="128">
        <v>0</v>
      </c>
      <c r="F74" s="128">
        <v>1</v>
      </c>
      <c r="G74" s="1418">
        <v>1.033</v>
      </c>
      <c r="H74" s="1424">
        <v>1.061</v>
      </c>
      <c r="I74" s="1424">
        <v>1.061</v>
      </c>
      <c r="J74" s="1424">
        <v>1.061</v>
      </c>
      <c r="K74" s="1424">
        <v>1.062</v>
      </c>
      <c r="L74" s="1424">
        <v>1.062</v>
      </c>
      <c r="M74" s="1424">
        <v>1.062</v>
      </c>
      <c r="N74" s="1424">
        <v>1.062</v>
      </c>
      <c r="O74" s="1424">
        <v>1.062</v>
      </c>
      <c r="P74" s="1424">
        <v>1.062</v>
      </c>
    </row>
    <row r="75" spans="1:16" ht="25.5">
      <c r="A75" s="81">
        <v>23</v>
      </c>
      <c r="B75" s="78" t="s">
        <v>1069</v>
      </c>
      <c r="C75" s="34"/>
      <c r="D75" s="453">
        <f>D82</f>
        <v>39964</v>
      </c>
      <c r="E75" s="453">
        <f aca="true" t="shared" si="9" ref="E75:P75">E82</f>
        <v>39616.56</v>
      </c>
      <c r="F75" s="453">
        <f t="shared" si="9"/>
        <v>41170</v>
      </c>
      <c r="G75" s="1419">
        <f t="shared" si="9"/>
        <v>40650</v>
      </c>
      <c r="H75" s="1429">
        <f t="shared" si="9"/>
        <v>43681.369999999995</v>
      </c>
      <c r="I75" s="1429">
        <f t="shared" si="9"/>
        <v>41991</v>
      </c>
      <c r="J75" s="1429">
        <f t="shared" si="9"/>
        <v>44552.451</v>
      </c>
      <c r="K75" s="1429">
        <f t="shared" si="9"/>
        <v>46389.61494</v>
      </c>
      <c r="L75" s="1429">
        <f t="shared" si="9"/>
        <v>44552.451</v>
      </c>
      <c r="M75" s="1429">
        <f t="shared" si="9"/>
        <v>47314.702962</v>
      </c>
      <c r="N75" s="1429">
        <f t="shared" si="9"/>
        <v>49265.77106628</v>
      </c>
      <c r="O75" s="1429">
        <f t="shared" si="9"/>
        <v>47314.702962</v>
      </c>
      <c r="P75" s="1429">
        <f t="shared" si="9"/>
        <v>50248.214545644005</v>
      </c>
    </row>
    <row r="76" spans="1:17" ht="15">
      <c r="A76" s="79" t="s">
        <v>599</v>
      </c>
      <c r="B76" s="122" t="s">
        <v>1180</v>
      </c>
      <c r="C76" s="34" t="s">
        <v>1103</v>
      </c>
      <c r="D76" s="455">
        <v>0</v>
      </c>
      <c r="E76" s="455">
        <v>0</v>
      </c>
      <c r="F76" s="455"/>
      <c r="G76" s="455"/>
      <c r="H76" s="1430"/>
      <c r="I76" s="1430"/>
      <c r="J76" s="1430"/>
      <c r="K76" s="1430"/>
      <c r="L76" s="1430"/>
      <c r="M76" s="1430"/>
      <c r="N76" s="1430"/>
      <c r="O76" s="1430"/>
      <c r="P76" s="1430"/>
      <c r="Q76" s="535" t="s">
        <v>401</v>
      </c>
    </row>
    <row r="77" spans="1:17" ht="15">
      <c r="A77" s="79" t="s">
        <v>600</v>
      </c>
      <c r="B77" s="122" t="s">
        <v>1277</v>
      </c>
      <c r="C77" s="34" t="s">
        <v>1103</v>
      </c>
      <c r="D77" s="455">
        <v>0</v>
      </c>
      <c r="E77" s="455">
        <v>0</v>
      </c>
      <c r="F77" s="455"/>
      <c r="G77" s="455"/>
      <c r="H77" s="1430"/>
      <c r="I77" s="1430"/>
      <c r="J77" s="1430"/>
      <c r="K77" s="1430"/>
      <c r="L77" s="1430"/>
      <c r="M77" s="1430"/>
      <c r="N77" s="1430"/>
      <c r="O77" s="1430"/>
      <c r="P77" s="1430"/>
      <c r="Q77" s="535" t="s">
        <v>402</v>
      </c>
    </row>
    <row r="78" spans="1:17" ht="15">
      <c r="A78" s="79" t="s">
        <v>601</v>
      </c>
      <c r="B78" s="122" t="s">
        <v>1193</v>
      </c>
      <c r="C78" s="34" t="s">
        <v>1104</v>
      </c>
      <c r="D78" s="455">
        <v>0</v>
      </c>
      <c r="E78" s="455">
        <v>0</v>
      </c>
      <c r="F78" s="455"/>
      <c r="G78" s="455"/>
      <c r="H78" s="1430"/>
      <c r="I78" s="1430"/>
      <c r="J78" s="1430"/>
      <c r="K78" s="1430"/>
      <c r="L78" s="1430"/>
      <c r="M78" s="1430"/>
      <c r="N78" s="1430"/>
      <c r="O78" s="1430"/>
      <c r="P78" s="1430"/>
      <c r="Q78" s="533"/>
    </row>
    <row r="79" spans="1:16" ht="14.25" hidden="1" outlineLevel="1">
      <c r="A79" s="79" t="s">
        <v>602</v>
      </c>
      <c r="B79" s="80" t="s">
        <v>1194</v>
      </c>
      <c r="C79" s="34" t="s">
        <v>1104</v>
      </c>
      <c r="D79" s="455">
        <v>0</v>
      </c>
      <c r="E79" s="455">
        <v>0</v>
      </c>
      <c r="F79" s="455">
        <v>0</v>
      </c>
      <c r="G79" s="455">
        <v>0</v>
      </c>
      <c r="H79" s="1430">
        <v>0</v>
      </c>
      <c r="I79" s="1430">
        <v>0</v>
      </c>
      <c r="J79" s="1430">
        <v>0</v>
      </c>
      <c r="K79" s="1430">
        <v>0</v>
      </c>
      <c r="L79" s="1430">
        <v>0</v>
      </c>
      <c r="M79" s="1430">
        <v>0</v>
      </c>
      <c r="N79" s="1430">
        <v>0</v>
      </c>
      <c r="O79" s="1430">
        <v>0</v>
      </c>
      <c r="P79" s="1430">
        <v>0</v>
      </c>
    </row>
    <row r="80" spans="1:16" ht="14.25" hidden="1" outlineLevel="1">
      <c r="A80" s="79" t="s">
        <v>603</v>
      </c>
      <c r="B80" s="80" t="s">
        <v>1196</v>
      </c>
      <c r="C80" s="34" t="s">
        <v>1104</v>
      </c>
      <c r="D80" s="455">
        <v>0</v>
      </c>
      <c r="E80" s="455">
        <v>0</v>
      </c>
      <c r="F80" s="455">
        <v>0</v>
      </c>
      <c r="G80" s="455">
        <v>0</v>
      </c>
      <c r="H80" s="1430">
        <v>0</v>
      </c>
      <c r="I80" s="1430">
        <v>0</v>
      </c>
      <c r="J80" s="1430">
        <v>0</v>
      </c>
      <c r="K80" s="1430">
        <v>0</v>
      </c>
      <c r="L80" s="1430">
        <v>0</v>
      </c>
      <c r="M80" s="1430">
        <v>0</v>
      </c>
      <c r="N80" s="1430">
        <v>0</v>
      </c>
      <c r="O80" s="1430">
        <v>0</v>
      </c>
      <c r="P80" s="1430">
        <v>0</v>
      </c>
    </row>
    <row r="81" spans="1:17" ht="14.25" hidden="1" outlineLevel="1">
      <c r="A81" s="79" t="s">
        <v>604</v>
      </c>
      <c r="B81" s="80" t="s">
        <v>1195</v>
      </c>
      <c r="C81" s="34" t="s">
        <v>1104</v>
      </c>
      <c r="D81" s="455">
        <v>0</v>
      </c>
      <c r="E81" s="455">
        <v>0</v>
      </c>
      <c r="F81" s="455">
        <v>0</v>
      </c>
      <c r="G81" s="455">
        <v>0</v>
      </c>
      <c r="H81" s="1430">
        <v>0</v>
      </c>
      <c r="I81" s="1430">
        <v>0</v>
      </c>
      <c r="J81" s="1430">
        <v>0</v>
      </c>
      <c r="K81" s="1430">
        <v>0</v>
      </c>
      <c r="L81" s="1430">
        <v>0</v>
      </c>
      <c r="M81" s="1430">
        <v>0</v>
      </c>
      <c r="N81" s="1430">
        <v>0</v>
      </c>
      <c r="O81" s="1430">
        <v>0</v>
      </c>
      <c r="P81" s="1430">
        <v>0</v>
      </c>
      <c r="Q81" s="534" t="s">
        <v>1141</v>
      </c>
    </row>
    <row r="82" spans="1:17" ht="25.5" collapsed="1">
      <c r="A82" s="79" t="s">
        <v>605</v>
      </c>
      <c r="B82" s="122" t="s">
        <v>862</v>
      </c>
      <c r="C82" s="34" t="s">
        <v>1103</v>
      </c>
      <c r="D82" s="455">
        <v>39964</v>
      </c>
      <c r="E82" s="455">
        <v>39616.56</v>
      </c>
      <c r="F82" s="455">
        <v>41170</v>
      </c>
      <c r="G82" s="455">
        <v>40650</v>
      </c>
      <c r="H82" s="1952">
        <f>F82*H74</f>
        <v>43681.369999999995</v>
      </c>
      <c r="I82" s="1430">
        <v>41991</v>
      </c>
      <c r="J82" s="1430">
        <f>I82*J74</f>
        <v>44552.451</v>
      </c>
      <c r="K82" s="1430">
        <f>H82*K74</f>
        <v>46389.61494</v>
      </c>
      <c r="L82" s="1430">
        <f>J82</f>
        <v>44552.451</v>
      </c>
      <c r="M82" s="1430">
        <f>L82*M74</f>
        <v>47314.702962</v>
      </c>
      <c r="N82" s="1430">
        <f>K82*N74</f>
        <v>49265.77106628</v>
      </c>
      <c r="O82" s="1430">
        <f>M82</f>
        <v>47314.702962</v>
      </c>
      <c r="P82" s="1430">
        <f>O82*P74</f>
        <v>50248.214545644005</v>
      </c>
      <c r="Q82" s="534" t="s">
        <v>403</v>
      </c>
    </row>
    <row r="83" spans="1:17" ht="27" hidden="1" outlineLevel="1">
      <c r="A83" s="81" t="s">
        <v>606</v>
      </c>
      <c r="B83" s="78" t="s">
        <v>1070</v>
      </c>
      <c r="C83" s="129" t="s">
        <v>239</v>
      </c>
      <c r="D83" s="455">
        <v>0</v>
      </c>
      <c r="E83" s="455">
        <v>0</v>
      </c>
      <c r="F83" s="455">
        <v>0</v>
      </c>
      <c r="G83" s="455">
        <v>0</v>
      </c>
      <c r="H83" s="1430">
        <v>0</v>
      </c>
      <c r="I83" s="1430">
        <v>0</v>
      </c>
      <c r="J83" s="1430">
        <v>0</v>
      </c>
      <c r="K83" s="1430">
        <v>0</v>
      </c>
      <c r="L83" s="1430">
        <v>0</v>
      </c>
      <c r="M83" s="1430">
        <v>0</v>
      </c>
      <c r="N83" s="1430">
        <v>0</v>
      </c>
      <c r="O83" s="1430">
        <v>0</v>
      </c>
      <c r="P83" s="1430">
        <v>0</v>
      </c>
      <c r="Q83" s="535"/>
    </row>
    <row r="84" spans="1:17" ht="14.25" hidden="1" outlineLevel="1">
      <c r="A84" s="79" t="s">
        <v>607</v>
      </c>
      <c r="B84" s="122" t="s">
        <v>1192</v>
      </c>
      <c r="C84" s="34" t="s">
        <v>239</v>
      </c>
      <c r="D84" s="455">
        <v>0</v>
      </c>
      <c r="E84" s="455">
        <v>0</v>
      </c>
      <c r="F84" s="455">
        <v>0</v>
      </c>
      <c r="G84" s="455">
        <v>0</v>
      </c>
      <c r="H84" s="1430">
        <v>0</v>
      </c>
      <c r="I84" s="1430">
        <v>0</v>
      </c>
      <c r="J84" s="1430">
        <v>0</v>
      </c>
      <c r="K84" s="1430">
        <v>0</v>
      </c>
      <c r="L84" s="1430">
        <v>0</v>
      </c>
      <c r="M84" s="1430">
        <v>0</v>
      </c>
      <c r="N84" s="1430">
        <v>0</v>
      </c>
      <c r="O84" s="1430">
        <v>0</v>
      </c>
      <c r="P84" s="1430">
        <v>0</v>
      </c>
      <c r="Q84" s="533"/>
    </row>
    <row r="85" spans="1:16" ht="14.25" hidden="1" outlineLevel="1">
      <c r="A85" s="79" t="s">
        <v>608</v>
      </c>
      <c r="B85" s="122" t="s">
        <v>1277</v>
      </c>
      <c r="C85" s="34" t="s">
        <v>239</v>
      </c>
      <c r="D85" s="455">
        <v>0</v>
      </c>
      <c r="E85" s="455">
        <v>0</v>
      </c>
      <c r="F85" s="455">
        <v>0</v>
      </c>
      <c r="G85" s="455">
        <v>0</v>
      </c>
      <c r="H85" s="1430">
        <v>0</v>
      </c>
      <c r="I85" s="1430">
        <v>0</v>
      </c>
      <c r="J85" s="1430">
        <v>0</v>
      </c>
      <c r="K85" s="1430">
        <v>0</v>
      </c>
      <c r="L85" s="1430">
        <v>0</v>
      </c>
      <c r="M85" s="1430">
        <v>0</v>
      </c>
      <c r="N85" s="1430">
        <v>0</v>
      </c>
      <c r="O85" s="1430">
        <v>0</v>
      </c>
      <c r="P85" s="1430">
        <v>0</v>
      </c>
    </row>
    <row r="86" spans="1:16" ht="14.25" hidden="1" outlineLevel="1">
      <c r="A86" s="79" t="s">
        <v>609</v>
      </c>
      <c r="B86" s="122" t="s">
        <v>1193</v>
      </c>
      <c r="C86" s="34" t="s">
        <v>239</v>
      </c>
      <c r="D86" s="455">
        <v>0</v>
      </c>
      <c r="E86" s="455">
        <v>0</v>
      </c>
      <c r="F86" s="455">
        <v>0</v>
      </c>
      <c r="G86" s="455">
        <v>0</v>
      </c>
      <c r="H86" s="1430">
        <v>0</v>
      </c>
      <c r="I86" s="1430">
        <v>0</v>
      </c>
      <c r="J86" s="1430">
        <v>0</v>
      </c>
      <c r="K86" s="1430">
        <v>0</v>
      </c>
      <c r="L86" s="1430">
        <v>0</v>
      </c>
      <c r="M86" s="1430">
        <v>0</v>
      </c>
      <c r="N86" s="1430">
        <v>0</v>
      </c>
      <c r="O86" s="1430">
        <v>0</v>
      </c>
      <c r="P86" s="1430">
        <v>0</v>
      </c>
    </row>
    <row r="87" spans="1:17" ht="14.25" hidden="1" outlineLevel="1">
      <c r="A87" s="79" t="s">
        <v>610</v>
      </c>
      <c r="B87" s="80" t="s">
        <v>1194</v>
      </c>
      <c r="C87" s="34" t="s">
        <v>239</v>
      </c>
      <c r="D87" s="455">
        <v>0</v>
      </c>
      <c r="E87" s="455">
        <v>0</v>
      </c>
      <c r="F87" s="455">
        <v>0</v>
      </c>
      <c r="G87" s="455">
        <v>0</v>
      </c>
      <c r="H87" s="1430">
        <v>0</v>
      </c>
      <c r="I87" s="1430">
        <v>0</v>
      </c>
      <c r="J87" s="1430">
        <v>0</v>
      </c>
      <c r="K87" s="1430">
        <v>0</v>
      </c>
      <c r="L87" s="1430">
        <v>0</v>
      </c>
      <c r="M87" s="1430">
        <v>0</v>
      </c>
      <c r="N87" s="1430">
        <v>0</v>
      </c>
      <c r="O87" s="1430">
        <v>0</v>
      </c>
      <c r="P87" s="1430">
        <v>0</v>
      </c>
      <c r="Q87" s="534"/>
    </row>
    <row r="88" spans="1:16" ht="14.25" hidden="1" outlineLevel="1">
      <c r="A88" s="79" t="s">
        <v>611</v>
      </c>
      <c r="B88" s="80" t="s">
        <v>1196</v>
      </c>
      <c r="C88" s="34" t="s">
        <v>239</v>
      </c>
      <c r="D88" s="455">
        <v>0</v>
      </c>
      <c r="E88" s="455">
        <v>0</v>
      </c>
      <c r="F88" s="455">
        <v>0</v>
      </c>
      <c r="G88" s="455">
        <v>0</v>
      </c>
      <c r="H88" s="1430">
        <v>0</v>
      </c>
      <c r="I88" s="1430">
        <v>0</v>
      </c>
      <c r="J88" s="1430">
        <v>0</v>
      </c>
      <c r="K88" s="1430">
        <v>0</v>
      </c>
      <c r="L88" s="1430">
        <v>0</v>
      </c>
      <c r="M88" s="1430">
        <v>0</v>
      </c>
      <c r="N88" s="1430">
        <v>0</v>
      </c>
      <c r="O88" s="1430">
        <v>0</v>
      </c>
      <c r="P88" s="1430">
        <v>0</v>
      </c>
    </row>
    <row r="89" spans="1:16" ht="14.25" hidden="1" outlineLevel="1">
      <c r="A89" s="79" t="s">
        <v>612</v>
      </c>
      <c r="B89" s="80" t="s">
        <v>1195</v>
      </c>
      <c r="C89" s="34" t="s">
        <v>239</v>
      </c>
      <c r="D89" s="455">
        <v>0</v>
      </c>
      <c r="E89" s="455">
        <v>0</v>
      </c>
      <c r="F89" s="455">
        <v>0</v>
      </c>
      <c r="G89" s="455">
        <v>0</v>
      </c>
      <c r="H89" s="1430">
        <v>0</v>
      </c>
      <c r="I89" s="1430">
        <v>0</v>
      </c>
      <c r="J89" s="1430">
        <v>0</v>
      </c>
      <c r="K89" s="1430">
        <v>0</v>
      </c>
      <c r="L89" s="1430">
        <v>0</v>
      </c>
      <c r="M89" s="1430">
        <v>0</v>
      </c>
      <c r="N89" s="1430">
        <v>0</v>
      </c>
      <c r="O89" s="1430">
        <v>0</v>
      </c>
      <c r="P89" s="1430">
        <v>0</v>
      </c>
    </row>
    <row r="90" spans="1:16" ht="27" hidden="1" outlineLevel="1">
      <c r="A90" s="79" t="s">
        <v>613</v>
      </c>
      <c r="B90" s="122" t="s">
        <v>862</v>
      </c>
      <c r="C90" s="34" t="s">
        <v>239</v>
      </c>
      <c r="D90" s="455">
        <v>0</v>
      </c>
      <c r="E90" s="455">
        <v>0</v>
      </c>
      <c r="F90" s="455">
        <v>0</v>
      </c>
      <c r="G90" s="455">
        <v>0</v>
      </c>
      <c r="H90" s="1430">
        <v>0</v>
      </c>
      <c r="I90" s="1430">
        <v>0</v>
      </c>
      <c r="J90" s="1430">
        <v>0</v>
      </c>
      <c r="K90" s="1430">
        <v>0</v>
      </c>
      <c r="L90" s="1430">
        <v>0</v>
      </c>
      <c r="M90" s="1430">
        <v>0</v>
      </c>
      <c r="N90" s="1430">
        <v>0</v>
      </c>
      <c r="O90" s="1430">
        <v>0</v>
      </c>
      <c r="P90" s="1430">
        <v>0</v>
      </c>
    </row>
    <row r="91" spans="1:16" ht="27" hidden="1" outlineLevel="1">
      <c r="A91" s="79" t="s">
        <v>614</v>
      </c>
      <c r="B91" s="122" t="s">
        <v>422</v>
      </c>
      <c r="C91" s="34" t="s">
        <v>239</v>
      </c>
      <c r="D91" s="455">
        <v>0</v>
      </c>
      <c r="E91" s="455">
        <v>0</v>
      </c>
      <c r="F91" s="455">
        <v>0</v>
      </c>
      <c r="G91" s="455">
        <v>0</v>
      </c>
      <c r="H91" s="1430">
        <v>0</v>
      </c>
      <c r="I91" s="1430">
        <v>0</v>
      </c>
      <c r="J91" s="1430">
        <v>0</v>
      </c>
      <c r="K91" s="1430">
        <v>0</v>
      </c>
      <c r="L91" s="1430">
        <v>0</v>
      </c>
      <c r="M91" s="1430">
        <v>0</v>
      </c>
      <c r="N91" s="1430">
        <v>0</v>
      </c>
      <c r="O91" s="1430">
        <v>0</v>
      </c>
      <c r="P91" s="1430">
        <v>0</v>
      </c>
    </row>
    <row r="92" spans="1:17" ht="51" collapsed="1">
      <c r="A92" s="81" t="s">
        <v>615</v>
      </c>
      <c r="B92" s="78" t="s">
        <v>1071</v>
      </c>
      <c r="C92" s="129" t="s">
        <v>239</v>
      </c>
      <c r="D92" s="456">
        <f>D99</f>
        <v>9875</v>
      </c>
      <c r="E92" s="456">
        <v>8227</v>
      </c>
      <c r="F92" s="456">
        <f aca="true" t="shared" si="10" ref="F92:P92">F99</f>
        <v>6166.118778311599</v>
      </c>
      <c r="G92" s="456">
        <f t="shared" si="10"/>
        <v>4980.624928620453</v>
      </c>
      <c r="H92" s="1431">
        <f t="shared" si="10"/>
        <v>5352.040904366764</v>
      </c>
      <c r="I92" s="1431">
        <f t="shared" si="10"/>
        <v>3173.6023121103744</v>
      </c>
      <c r="J92" s="1431">
        <f t="shared" si="10"/>
        <v>2091.5776727499647</v>
      </c>
      <c r="K92" s="1431">
        <f t="shared" si="10"/>
        <v>5683.867440437504</v>
      </c>
      <c r="L92" s="1431">
        <f t="shared" si="10"/>
        <v>3367.1920531491073</v>
      </c>
      <c r="M92" s="1431">
        <f t="shared" si="10"/>
        <v>2221.255488460463</v>
      </c>
      <c r="N92" s="1431">
        <f>N99</f>
        <v>6036.26722174463</v>
      </c>
      <c r="O92" s="1431">
        <f t="shared" si="10"/>
        <v>3575.957960444352</v>
      </c>
      <c r="P92" s="1431">
        <f t="shared" si="10"/>
        <v>2358.9733287450113</v>
      </c>
      <c r="Q92" s="535"/>
    </row>
    <row r="93" spans="1:16" ht="15">
      <c r="A93" s="79" t="s">
        <v>616</v>
      </c>
      <c r="B93" s="122" t="s">
        <v>1180</v>
      </c>
      <c r="C93" s="34" t="s">
        <v>239</v>
      </c>
      <c r="D93" s="123">
        <v>0</v>
      </c>
      <c r="E93" s="123">
        <v>0</v>
      </c>
      <c r="F93" s="123"/>
      <c r="G93" s="1420"/>
      <c r="H93" s="1432"/>
      <c r="I93" s="1432"/>
      <c r="J93" s="1432"/>
      <c r="K93" s="1432"/>
      <c r="L93" s="1432"/>
      <c r="M93" s="1432"/>
      <c r="N93" s="1432"/>
      <c r="O93" s="1432"/>
      <c r="P93" s="1432"/>
    </row>
    <row r="94" spans="1:16" ht="15">
      <c r="A94" s="79" t="s">
        <v>617</v>
      </c>
      <c r="B94" s="122" t="s">
        <v>1277</v>
      </c>
      <c r="C94" s="34" t="s">
        <v>239</v>
      </c>
      <c r="D94" s="123">
        <v>0</v>
      </c>
      <c r="E94" s="123">
        <v>0</v>
      </c>
      <c r="F94" s="123"/>
      <c r="G94" s="1420"/>
      <c r="H94" s="1432"/>
      <c r="I94" s="1432"/>
      <c r="J94" s="1432"/>
      <c r="K94" s="1432"/>
      <c r="L94" s="1432"/>
      <c r="M94" s="1432"/>
      <c r="N94" s="1432"/>
      <c r="O94" s="1432"/>
      <c r="P94" s="1432"/>
    </row>
    <row r="95" spans="1:16" ht="14.25">
      <c r="A95" s="79" t="s">
        <v>618</v>
      </c>
      <c r="B95" s="122" t="s">
        <v>1193</v>
      </c>
      <c r="C95" s="34" t="s">
        <v>239</v>
      </c>
      <c r="D95" s="123">
        <v>0</v>
      </c>
      <c r="E95" s="123">
        <v>0</v>
      </c>
      <c r="F95" s="123"/>
      <c r="G95" s="1420"/>
      <c r="H95" s="1432"/>
      <c r="I95" s="1432"/>
      <c r="J95" s="1432"/>
      <c r="K95" s="1432"/>
      <c r="L95" s="1432"/>
      <c r="M95" s="1432"/>
      <c r="N95" s="1432"/>
      <c r="O95" s="1432"/>
      <c r="P95" s="1432"/>
    </row>
    <row r="96" spans="1:16" ht="14.25" hidden="1" outlineLevel="1">
      <c r="A96" s="79" t="s">
        <v>619</v>
      </c>
      <c r="B96" s="80" t="s">
        <v>1194</v>
      </c>
      <c r="C96" s="34" t="s">
        <v>239</v>
      </c>
      <c r="D96" s="455">
        <v>0</v>
      </c>
      <c r="E96" s="455">
        <v>0</v>
      </c>
      <c r="F96" s="455">
        <v>0</v>
      </c>
      <c r="G96" s="1421">
        <v>0</v>
      </c>
      <c r="H96" s="1430">
        <v>0</v>
      </c>
      <c r="I96" s="1430">
        <v>0</v>
      </c>
      <c r="J96" s="1430">
        <v>0</v>
      </c>
      <c r="K96" s="1430">
        <v>0</v>
      </c>
      <c r="L96" s="1430">
        <v>0</v>
      </c>
      <c r="M96" s="1430">
        <v>0</v>
      </c>
      <c r="N96" s="1430">
        <v>0</v>
      </c>
      <c r="O96" s="1430">
        <v>0</v>
      </c>
      <c r="P96" s="1430">
        <v>0</v>
      </c>
    </row>
    <row r="97" spans="1:16" ht="14.25" hidden="1" outlineLevel="1">
      <c r="A97" s="79" t="s">
        <v>620</v>
      </c>
      <c r="B97" s="80" t="s">
        <v>1196</v>
      </c>
      <c r="C97" s="34" t="s">
        <v>239</v>
      </c>
      <c r="D97" s="455">
        <v>0</v>
      </c>
      <c r="E97" s="455">
        <v>0</v>
      </c>
      <c r="F97" s="455">
        <v>0</v>
      </c>
      <c r="G97" s="1421">
        <v>0</v>
      </c>
      <c r="H97" s="1430">
        <v>0</v>
      </c>
      <c r="I97" s="1430">
        <v>0</v>
      </c>
      <c r="J97" s="1430">
        <v>0</v>
      </c>
      <c r="K97" s="1430">
        <v>0</v>
      </c>
      <c r="L97" s="1430">
        <v>0</v>
      </c>
      <c r="M97" s="1430">
        <v>0</v>
      </c>
      <c r="N97" s="1430">
        <v>0</v>
      </c>
      <c r="O97" s="1430">
        <v>0</v>
      </c>
      <c r="P97" s="1430">
        <v>0</v>
      </c>
    </row>
    <row r="98" spans="1:16" ht="14.25" hidden="1" outlineLevel="1">
      <c r="A98" s="79" t="s">
        <v>621</v>
      </c>
      <c r="B98" s="80" t="s">
        <v>1195</v>
      </c>
      <c r="C98" s="34" t="s">
        <v>239</v>
      </c>
      <c r="D98" s="455">
        <v>0</v>
      </c>
      <c r="E98" s="455">
        <v>0</v>
      </c>
      <c r="F98" s="455">
        <v>0</v>
      </c>
      <c r="G98" s="1421">
        <v>0</v>
      </c>
      <c r="H98" s="1430">
        <v>0</v>
      </c>
      <c r="I98" s="1430">
        <v>0</v>
      </c>
      <c r="J98" s="1430">
        <v>0</v>
      </c>
      <c r="K98" s="1430">
        <v>0</v>
      </c>
      <c r="L98" s="1430">
        <v>0</v>
      </c>
      <c r="M98" s="1430">
        <v>0</v>
      </c>
      <c r="N98" s="1430">
        <v>0</v>
      </c>
      <c r="O98" s="1430">
        <v>0</v>
      </c>
      <c r="P98" s="1430">
        <v>0</v>
      </c>
    </row>
    <row r="99" spans="1:16" ht="27" collapsed="1">
      <c r="A99" s="79" t="s">
        <v>1096</v>
      </c>
      <c r="B99" s="122" t="s">
        <v>862</v>
      </c>
      <c r="C99" s="34" t="s">
        <v>239</v>
      </c>
      <c r="D99" s="123">
        <v>9875</v>
      </c>
      <c r="E99" s="123">
        <f aca="true" t="shared" si="11" ref="E99:P99">E82*E66</f>
        <v>8226.7748496</v>
      </c>
      <c r="F99" s="123">
        <f t="shared" si="11"/>
        <v>6166.118778311599</v>
      </c>
      <c r="G99" s="1420">
        <f t="shared" si="11"/>
        <v>4980.624928620453</v>
      </c>
      <c r="H99" s="1432">
        <f>H82*H66</f>
        <v>5352.040904366764</v>
      </c>
      <c r="I99" s="1432">
        <f t="shared" si="11"/>
        <v>3173.6023121103744</v>
      </c>
      <c r="J99" s="1432">
        <f t="shared" si="11"/>
        <v>2091.5776727499647</v>
      </c>
      <c r="K99" s="1432">
        <f t="shared" si="11"/>
        <v>5683.867440437504</v>
      </c>
      <c r="L99" s="1432">
        <f t="shared" si="11"/>
        <v>3367.1920531491073</v>
      </c>
      <c r="M99" s="1432">
        <f t="shared" si="11"/>
        <v>2221.255488460463</v>
      </c>
      <c r="N99" s="1432">
        <f>N82*N66</f>
        <v>6036.26722174463</v>
      </c>
      <c r="O99" s="1432">
        <f t="shared" si="11"/>
        <v>3575.957960444352</v>
      </c>
      <c r="P99" s="1432">
        <f t="shared" si="11"/>
        <v>2358.9733287450113</v>
      </c>
    </row>
    <row r="100" spans="1:16" ht="39.75">
      <c r="A100" s="81" t="s">
        <v>622</v>
      </c>
      <c r="B100" s="78" t="s">
        <v>1072</v>
      </c>
      <c r="C100" s="34"/>
      <c r="D100" s="454">
        <f>D107</f>
        <v>1.047</v>
      </c>
      <c r="E100" s="454">
        <f aca="true" t="shared" si="12" ref="E100:P100">E107</f>
        <v>0</v>
      </c>
      <c r="F100" s="454">
        <f t="shared" si="12"/>
        <v>1</v>
      </c>
      <c r="G100" s="1415">
        <f t="shared" si="12"/>
        <v>1.062</v>
      </c>
      <c r="H100" s="1423">
        <f t="shared" si="12"/>
        <v>1.063</v>
      </c>
      <c r="I100" s="1423">
        <f t="shared" si="12"/>
        <v>1.063</v>
      </c>
      <c r="J100" s="1423">
        <f t="shared" si="12"/>
        <v>1.063</v>
      </c>
      <c r="K100" s="1423">
        <f t="shared" si="12"/>
        <v>1.059</v>
      </c>
      <c r="L100" s="1423">
        <f t="shared" si="12"/>
        <v>1.059</v>
      </c>
      <c r="M100" s="1423">
        <f t="shared" si="12"/>
        <v>1.059</v>
      </c>
      <c r="N100" s="1423">
        <f t="shared" si="12"/>
        <v>1.059</v>
      </c>
      <c r="O100" s="1423">
        <f t="shared" si="12"/>
        <v>1.059</v>
      </c>
      <c r="P100" s="1423">
        <f t="shared" si="12"/>
        <v>1.059</v>
      </c>
    </row>
    <row r="101" spans="1:16" ht="14.25">
      <c r="A101" s="79" t="s">
        <v>623</v>
      </c>
      <c r="B101" s="122" t="s">
        <v>1192</v>
      </c>
      <c r="C101" s="34" t="s">
        <v>427</v>
      </c>
      <c r="D101" s="128">
        <v>0</v>
      </c>
      <c r="E101" s="128">
        <v>0</v>
      </c>
      <c r="F101" s="128"/>
      <c r="G101" s="128"/>
      <c r="H101" s="1424"/>
      <c r="I101" s="1424"/>
      <c r="J101" s="1424"/>
      <c r="K101" s="1424"/>
      <c r="L101" s="1424"/>
      <c r="M101" s="1424"/>
      <c r="N101" s="1424"/>
      <c r="O101" s="1424"/>
      <c r="P101" s="1424"/>
    </row>
    <row r="102" spans="1:16" ht="14.25">
      <c r="A102" s="79" t="s">
        <v>624</v>
      </c>
      <c r="B102" s="122" t="s">
        <v>1277</v>
      </c>
      <c r="C102" s="34" t="s">
        <v>427</v>
      </c>
      <c r="D102" s="128">
        <v>0</v>
      </c>
      <c r="E102" s="128">
        <v>0</v>
      </c>
      <c r="F102" s="128"/>
      <c r="G102" s="128"/>
      <c r="H102" s="1424"/>
      <c r="I102" s="1424"/>
      <c r="J102" s="1424"/>
      <c r="K102" s="1424"/>
      <c r="L102" s="1424"/>
      <c r="M102" s="1424"/>
      <c r="N102" s="1424"/>
      <c r="O102" s="1424"/>
      <c r="P102" s="1424"/>
    </row>
    <row r="103" spans="1:16" ht="14.25">
      <c r="A103" s="79" t="s">
        <v>625</v>
      </c>
      <c r="B103" s="122" t="s">
        <v>1193</v>
      </c>
      <c r="C103" s="34" t="s">
        <v>427</v>
      </c>
      <c r="D103" s="128">
        <v>0</v>
      </c>
      <c r="E103" s="128">
        <v>0</v>
      </c>
      <c r="F103" s="128"/>
      <c r="G103" s="128"/>
      <c r="H103" s="1424"/>
      <c r="I103" s="1424"/>
      <c r="J103" s="1424"/>
      <c r="K103" s="1424"/>
      <c r="L103" s="1424"/>
      <c r="M103" s="1424"/>
      <c r="N103" s="1424"/>
      <c r="O103" s="1424"/>
      <c r="P103" s="1424"/>
    </row>
    <row r="104" spans="1:16" ht="14.25" hidden="1" outlineLevel="1">
      <c r="A104" s="79" t="s">
        <v>626</v>
      </c>
      <c r="B104" s="80" t="s">
        <v>1194</v>
      </c>
      <c r="C104" s="34" t="s">
        <v>427</v>
      </c>
      <c r="D104" s="128">
        <v>0</v>
      </c>
      <c r="E104" s="128">
        <v>0</v>
      </c>
      <c r="F104" s="128">
        <v>0</v>
      </c>
      <c r="G104" s="128">
        <v>0</v>
      </c>
      <c r="H104" s="1424">
        <v>0</v>
      </c>
      <c r="I104" s="1424">
        <v>0</v>
      </c>
      <c r="J104" s="1424">
        <v>0</v>
      </c>
      <c r="K104" s="1424">
        <v>0</v>
      </c>
      <c r="L104" s="1424">
        <v>0</v>
      </c>
      <c r="M104" s="1424">
        <v>0</v>
      </c>
      <c r="N104" s="1424">
        <v>0</v>
      </c>
      <c r="O104" s="1424">
        <v>0</v>
      </c>
      <c r="P104" s="1424">
        <v>0</v>
      </c>
    </row>
    <row r="105" spans="1:16" ht="14.25" hidden="1" outlineLevel="1">
      <c r="A105" s="79" t="s">
        <v>627</v>
      </c>
      <c r="B105" s="80" t="s">
        <v>1196</v>
      </c>
      <c r="C105" s="34" t="s">
        <v>427</v>
      </c>
      <c r="D105" s="128">
        <v>0</v>
      </c>
      <c r="E105" s="128">
        <v>0</v>
      </c>
      <c r="F105" s="128">
        <v>0</v>
      </c>
      <c r="G105" s="128">
        <v>0</v>
      </c>
      <c r="H105" s="1424">
        <v>0</v>
      </c>
      <c r="I105" s="1424">
        <v>0</v>
      </c>
      <c r="J105" s="1424">
        <v>0</v>
      </c>
      <c r="K105" s="1424">
        <v>0</v>
      </c>
      <c r="L105" s="1424">
        <v>0</v>
      </c>
      <c r="M105" s="1424">
        <v>0</v>
      </c>
      <c r="N105" s="1424">
        <v>0</v>
      </c>
      <c r="O105" s="1424">
        <v>0</v>
      </c>
      <c r="P105" s="1424">
        <v>0</v>
      </c>
    </row>
    <row r="106" spans="1:16" ht="14.25" hidden="1" outlineLevel="1">
      <c r="A106" s="79" t="s">
        <v>628</v>
      </c>
      <c r="B106" s="80" t="s">
        <v>1195</v>
      </c>
      <c r="C106" s="34" t="s">
        <v>427</v>
      </c>
      <c r="D106" s="128">
        <v>0</v>
      </c>
      <c r="E106" s="128">
        <v>0</v>
      </c>
      <c r="F106" s="128">
        <v>0</v>
      </c>
      <c r="G106" s="128">
        <v>0</v>
      </c>
      <c r="H106" s="1424">
        <v>0</v>
      </c>
      <c r="I106" s="1424">
        <v>0</v>
      </c>
      <c r="J106" s="1424">
        <v>0</v>
      </c>
      <c r="K106" s="1424">
        <v>0</v>
      </c>
      <c r="L106" s="1424">
        <v>0</v>
      </c>
      <c r="M106" s="1424">
        <v>0</v>
      </c>
      <c r="N106" s="1424">
        <v>0</v>
      </c>
      <c r="O106" s="1424">
        <v>0</v>
      </c>
      <c r="P106" s="1424">
        <v>0</v>
      </c>
    </row>
    <row r="107" spans="1:16" ht="27" collapsed="1">
      <c r="A107" s="79" t="s">
        <v>629</v>
      </c>
      <c r="B107" s="122" t="s">
        <v>862</v>
      </c>
      <c r="C107" s="34" t="s">
        <v>427</v>
      </c>
      <c r="D107" s="128">
        <v>1.047</v>
      </c>
      <c r="E107" s="128">
        <v>0</v>
      </c>
      <c r="F107" s="128">
        <v>1</v>
      </c>
      <c r="G107" s="128">
        <v>1.062</v>
      </c>
      <c r="H107" s="1424">
        <v>1.063</v>
      </c>
      <c r="I107" s="1424">
        <v>1.063</v>
      </c>
      <c r="J107" s="1424">
        <v>1.063</v>
      </c>
      <c r="K107" s="1424">
        <v>1.059</v>
      </c>
      <c r="L107" s="1424">
        <v>1.059</v>
      </c>
      <c r="M107" s="1424">
        <v>1.059</v>
      </c>
      <c r="N107" s="1424">
        <v>1.059</v>
      </c>
      <c r="O107" s="1424">
        <v>1.059</v>
      </c>
      <c r="P107" s="1424">
        <v>1.059</v>
      </c>
    </row>
    <row r="108" spans="1:16" ht="27">
      <c r="A108" s="81" t="s">
        <v>630</v>
      </c>
      <c r="B108" s="78" t="s">
        <v>1073</v>
      </c>
      <c r="C108" s="34"/>
      <c r="D108" s="458">
        <f>D115</f>
        <v>0.5235</v>
      </c>
      <c r="E108" s="458">
        <f aca="true" t="shared" si="13" ref="E108:P108">E115</f>
        <v>0</v>
      </c>
      <c r="F108" s="456">
        <f t="shared" si="13"/>
        <v>3687</v>
      </c>
      <c r="G108" s="456">
        <f t="shared" si="13"/>
        <v>3600</v>
      </c>
      <c r="H108" s="1431">
        <f t="shared" si="13"/>
        <v>3919.281</v>
      </c>
      <c r="I108" s="1431">
        <f>I115</f>
        <v>3823</v>
      </c>
      <c r="J108" s="1431">
        <f t="shared" si="13"/>
        <v>4063.8489999999997</v>
      </c>
      <c r="K108" s="1431">
        <f t="shared" si="13"/>
        <v>4150.518579</v>
      </c>
      <c r="L108" s="1431">
        <f t="shared" si="13"/>
        <v>4063.8489999999997</v>
      </c>
      <c r="M108" s="1431">
        <f t="shared" si="13"/>
        <v>4303.616091</v>
      </c>
      <c r="N108" s="1431">
        <f t="shared" si="13"/>
        <v>4395.399175160999</v>
      </c>
      <c r="O108" s="1431">
        <f t="shared" si="13"/>
        <v>4303.616091</v>
      </c>
      <c r="P108" s="1431">
        <f t="shared" si="13"/>
        <v>4557.5294403689995</v>
      </c>
    </row>
    <row r="109" spans="1:16" ht="14.25">
      <c r="A109" s="79" t="s">
        <v>631</v>
      </c>
      <c r="B109" s="122" t="s">
        <v>1180</v>
      </c>
      <c r="C109" s="34" t="s">
        <v>1103</v>
      </c>
      <c r="D109" s="127">
        <v>0</v>
      </c>
      <c r="E109" s="127">
        <v>0</v>
      </c>
      <c r="F109" s="123"/>
      <c r="G109" s="1420"/>
      <c r="H109" s="1430"/>
      <c r="I109" s="1430"/>
      <c r="J109" s="1430"/>
      <c r="K109" s="1430"/>
      <c r="L109" s="1430"/>
      <c r="M109" s="1430"/>
      <c r="N109" s="1430"/>
      <c r="O109" s="1430"/>
      <c r="P109" s="1430"/>
    </row>
    <row r="110" spans="1:16" ht="14.25">
      <c r="A110" s="79" t="s">
        <v>632</v>
      </c>
      <c r="B110" s="122" t="s">
        <v>1277</v>
      </c>
      <c r="C110" s="34" t="s">
        <v>1103</v>
      </c>
      <c r="D110" s="127">
        <v>0</v>
      </c>
      <c r="E110" s="127">
        <v>0</v>
      </c>
      <c r="F110" s="123"/>
      <c r="G110" s="1420"/>
      <c r="H110" s="1430"/>
      <c r="I110" s="1430"/>
      <c r="J110" s="1430"/>
      <c r="K110" s="1430"/>
      <c r="L110" s="1430"/>
      <c r="M110" s="1430"/>
      <c r="N110" s="1430"/>
      <c r="O110" s="1430"/>
      <c r="P110" s="1430"/>
    </row>
    <row r="111" spans="1:16" ht="14.25">
      <c r="A111" s="79" t="s">
        <v>633</v>
      </c>
      <c r="B111" s="122" t="s">
        <v>1193</v>
      </c>
      <c r="C111" s="34" t="s">
        <v>1104</v>
      </c>
      <c r="D111" s="127">
        <v>0</v>
      </c>
      <c r="E111" s="127">
        <v>0</v>
      </c>
      <c r="F111" s="123"/>
      <c r="G111" s="1420"/>
      <c r="H111" s="1430"/>
      <c r="I111" s="1430"/>
      <c r="J111" s="1430"/>
      <c r="K111" s="1430"/>
      <c r="L111" s="1430"/>
      <c r="M111" s="1430"/>
      <c r="N111" s="1430"/>
      <c r="O111" s="1430"/>
      <c r="P111" s="1430"/>
    </row>
    <row r="112" spans="1:16" ht="15.75" customHeight="1" hidden="1" outlineLevel="1">
      <c r="A112" s="79" t="s">
        <v>634</v>
      </c>
      <c r="B112" s="80" t="s">
        <v>1194</v>
      </c>
      <c r="C112" s="34" t="s">
        <v>1104</v>
      </c>
      <c r="D112" s="127">
        <v>0</v>
      </c>
      <c r="E112" s="127">
        <v>0</v>
      </c>
      <c r="F112" s="123">
        <v>0</v>
      </c>
      <c r="G112" s="1420">
        <v>0</v>
      </c>
      <c r="H112" s="1430">
        <v>0</v>
      </c>
      <c r="I112" s="1430">
        <v>0</v>
      </c>
      <c r="J112" s="1430">
        <v>0</v>
      </c>
      <c r="K112" s="1430">
        <v>0</v>
      </c>
      <c r="L112" s="1430">
        <v>0</v>
      </c>
      <c r="M112" s="1430">
        <v>0</v>
      </c>
      <c r="N112" s="1430">
        <v>0</v>
      </c>
      <c r="O112" s="1430">
        <v>0</v>
      </c>
      <c r="P112" s="1430">
        <v>0</v>
      </c>
    </row>
    <row r="113" spans="1:16" ht="14.25" hidden="1" outlineLevel="1">
      <c r="A113" s="79" t="s">
        <v>635</v>
      </c>
      <c r="B113" s="80" t="s">
        <v>1196</v>
      </c>
      <c r="C113" s="34" t="s">
        <v>1104</v>
      </c>
      <c r="D113" s="127">
        <v>0</v>
      </c>
      <c r="E113" s="127">
        <v>0</v>
      </c>
      <c r="F113" s="123">
        <v>0</v>
      </c>
      <c r="G113" s="1420">
        <v>0</v>
      </c>
      <c r="H113" s="1430">
        <v>0</v>
      </c>
      <c r="I113" s="1430">
        <v>0</v>
      </c>
      <c r="J113" s="1430">
        <v>0</v>
      </c>
      <c r="K113" s="1430">
        <v>0</v>
      </c>
      <c r="L113" s="1430">
        <v>0</v>
      </c>
      <c r="M113" s="1430">
        <v>0</v>
      </c>
      <c r="N113" s="1430">
        <v>0</v>
      </c>
      <c r="O113" s="1430">
        <v>0</v>
      </c>
      <c r="P113" s="1430">
        <v>0</v>
      </c>
    </row>
    <row r="114" spans="1:16" ht="14.25" hidden="1" outlineLevel="1">
      <c r="A114" s="79" t="s">
        <v>636</v>
      </c>
      <c r="B114" s="80" t="s">
        <v>1195</v>
      </c>
      <c r="C114" s="34" t="s">
        <v>1104</v>
      </c>
      <c r="D114" s="127">
        <v>0</v>
      </c>
      <c r="E114" s="127">
        <v>0</v>
      </c>
      <c r="F114" s="123">
        <v>0</v>
      </c>
      <c r="G114" s="1420">
        <v>0</v>
      </c>
      <c r="H114" s="1430">
        <v>0</v>
      </c>
      <c r="I114" s="1430">
        <v>0</v>
      </c>
      <c r="J114" s="1430">
        <v>0</v>
      </c>
      <c r="K114" s="1430">
        <v>0</v>
      </c>
      <c r="L114" s="1430">
        <v>0</v>
      </c>
      <c r="M114" s="1430">
        <v>0</v>
      </c>
      <c r="N114" s="1430">
        <v>0</v>
      </c>
      <c r="O114" s="1430">
        <v>0</v>
      </c>
      <c r="P114" s="1430">
        <v>0</v>
      </c>
    </row>
    <row r="115" spans="1:16" ht="27" collapsed="1">
      <c r="A115" s="79" t="s">
        <v>637</v>
      </c>
      <c r="B115" s="122" t="s">
        <v>862</v>
      </c>
      <c r="C115" s="34" t="s">
        <v>1103</v>
      </c>
      <c r="D115" s="457">
        <v>0.5235</v>
      </c>
      <c r="E115" s="127">
        <v>0</v>
      </c>
      <c r="F115" s="123">
        <v>3687</v>
      </c>
      <c r="G115" s="1420">
        <v>3600</v>
      </c>
      <c r="H115" s="1432">
        <f>F115*H107</f>
        <v>3919.281</v>
      </c>
      <c r="I115" s="1432">
        <v>3823</v>
      </c>
      <c r="J115" s="1432">
        <f>I115*J107</f>
        <v>4063.8489999999997</v>
      </c>
      <c r="K115" s="1432">
        <f>H115*K107</f>
        <v>4150.518579</v>
      </c>
      <c r="L115" s="1432">
        <f>J115</f>
        <v>4063.8489999999997</v>
      </c>
      <c r="M115" s="1432">
        <f>L115*M107</f>
        <v>4303.616091</v>
      </c>
      <c r="N115" s="1432">
        <f>K115*N107</f>
        <v>4395.399175160999</v>
      </c>
      <c r="O115" s="1432">
        <f>M115</f>
        <v>4303.616091</v>
      </c>
      <c r="P115" s="1432">
        <f>O115*P107</f>
        <v>4557.5294403689995</v>
      </c>
    </row>
    <row r="116" spans="1:16" ht="14.25" hidden="1" outlineLevel="1">
      <c r="A116" s="81" t="s">
        <v>638</v>
      </c>
      <c r="B116" s="78" t="s">
        <v>1074</v>
      </c>
      <c r="C116" s="34" t="s">
        <v>239</v>
      </c>
      <c r="D116" s="127">
        <v>0</v>
      </c>
      <c r="E116" s="127">
        <v>0</v>
      </c>
      <c r="F116" s="127">
        <v>0</v>
      </c>
      <c r="G116" s="1412">
        <v>0</v>
      </c>
      <c r="H116" s="1254">
        <v>0</v>
      </c>
      <c r="I116" s="1254">
        <v>0</v>
      </c>
      <c r="J116" s="1254">
        <v>0</v>
      </c>
      <c r="K116" s="1254">
        <v>0</v>
      </c>
      <c r="L116" s="1254">
        <v>0</v>
      </c>
      <c r="M116" s="1254">
        <v>0</v>
      </c>
      <c r="N116" s="1254">
        <v>0</v>
      </c>
      <c r="O116" s="1254">
        <v>0</v>
      </c>
      <c r="P116" s="1254">
        <v>0</v>
      </c>
    </row>
    <row r="117" spans="1:16" ht="14.25" hidden="1" outlineLevel="1">
      <c r="A117" s="79" t="s">
        <v>639</v>
      </c>
      <c r="B117" s="122" t="s">
        <v>1192</v>
      </c>
      <c r="C117" s="34" t="s">
        <v>239</v>
      </c>
      <c r="D117" s="127">
        <v>0</v>
      </c>
      <c r="E117" s="127">
        <v>0</v>
      </c>
      <c r="F117" s="127">
        <v>0</v>
      </c>
      <c r="G117" s="1412">
        <v>0</v>
      </c>
      <c r="H117" s="1254">
        <v>0</v>
      </c>
      <c r="I117" s="1254">
        <v>0</v>
      </c>
      <c r="J117" s="1254">
        <v>0</v>
      </c>
      <c r="K117" s="1254">
        <v>0</v>
      </c>
      <c r="L117" s="1254">
        <v>0</v>
      </c>
      <c r="M117" s="1254">
        <v>0</v>
      </c>
      <c r="N117" s="1254">
        <v>0</v>
      </c>
      <c r="O117" s="1254">
        <v>0</v>
      </c>
      <c r="P117" s="1254">
        <v>0</v>
      </c>
    </row>
    <row r="118" spans="1:16" ht="14.25" hidden="1" outlineLevel="1">
      <c r="A118" s="79" t="s">
        <v>640</v>
      </c>
      <c r="B118" s="122" t="s">
        <v>1277</v>
      </c>
      <c r="C118" s="34" t="s">
        <v>239</v>
      </c>
      <c r="D118" s="127">
        <v>0</v>
      </c>
      <c r="E118" s="127">
        <v>0</v>
      </c>
      <c r="F118" s="127">
        <v>0</v>
      </c>
      <c r="G118" s="1412">
        <v>0</v>
      </c>
      <c r="H118" s="1254">
        <v>0</v>
      </c>
      <c r="I118" s="1254">
        <v>0</v>
      </c>
      <c r="J118" s="1254">
        <v>0</v>
      </c>
      <c r="K118" s="1254">
        <v>0</v>
      </c>
      <c r="L118" s="1254">
        <v>0</v>
      </c>
      <c r="M118" s="1254">
        <v>0</v>
      </c>
      <c r="N118" s="1254">
        <v>0</v>
      </c>
      <c r="O118" s="1254">
        <v>0</v>
      </c>
      <c r="P118" s="1254">
        <v>0</v>
      </c>
    </row>
    <row r="119" spans="1:16" ht="14.25" hidden="1" outlineLevel="1">
      <c r="A119" s="79" t="s">
        <v>641</v>
      </c>
      <c r="B119" s="122" t="s">
        <v>1193</v>
      </c>
      <c r="C119" s="34" t="s">
        <v>239</v>
      </c>
      <c r="D119" s="127">
        <v>0</v>
      </c>
      <c r="E119" s="127">
        <v>0</v>
      </c>
      <c r="F119" s="127">
        <v>0</v>
      </c>
      <c r="G119" s="1412">
        <v>0</v>
      </c>
      <c r="H119" s="1254">
        <v>0</v>
      </c>
      <c r="I119" s="1254">
        <v>0</v>
      </c>
      <c r="J119" s="1254">
        <v>0</v>
      </c>
      <c r="K119" s="1254">
        <v>0</v>
      </c>
      <c r="L119" s="1254">
        <v>0</v>
      </c>
      <c r="M119" s="1254">
        <v>0</v>
      </c>
      <c r="N119" s="1254">
        <v>0</v>
      </c>
      <c r="O119" s="1254">
        <v>0</v>
      </c>
      <c r="P119" s="1254">
        <v>0</v>
      </c>
    </row>
    <row r="120" spans="1:16" ht="14.25" hidden="1" outlineLevel="1">
      <c r="A120" s="79" t="s">
        <v>642</v>
      </c>
      <c r="B120" s="80" t="s">
        <v>1194</v>
      </c>
      <c r="C120" s="34" t="s">
        <v>239</v>
      </c>
      <c r="D120" s="127">
        <v>0</v>
      </c>
      <c r="E120" s="127">
        <v>0</v>
      </c>
      <c r="F120" s="127">
        <v>0</v>
      </c>
      <c r="G120" s="1412">
        <v>0</v>
      </c>
      <c r="H120" s="1254">
        <v>0</v>
      </c>
      <c r="I120" s="1254">
        <v>0</v>
      </c>
      <c r="J120" s="1254">
        <v>0</v>
      </c>
      <c r="K120" s="1254">
        <v>0</v>
      </c>
      <c r="L120" s="1254">
        <v>0</v>
      </c>
      <c r="M120" s="1254">
        <v>0</v>
      </c>
      <c r="N120" s="1254">
        <v>0</v>
      </c>
      <c r="O120" s="1254">
        <v>0</v>
      </c>
      <c r="P120" s="1254">
        <v>0</v>
      </c>
    </row>
    <row r="121" spans="1:16" ht="14.25" hidden="1" outlineLevel="1">
      <c r="A121" s="79" t="s">
        <v>643</v>
      </c>
      <c r="B121" s="80" t="s">
        <v>1196</v>
      </c>
      <c r="C121" s="34" t="s">
        <v>239</v>
      </c>
      <c r="D121" s="127">
        <v>0</v>
      </c>
      <c r="E121" s="127">
        <v>0</v>
      </c>
      <c r="F121" s="127">
        <v>0</v>
      </c>
      <c r="G121" s="1412">
        <v>0</v>
      </c>
      <c r="H121" s="1254">
        <v>0</v>
      </c>
      <c r="I121" s="1254">
        <v>0</v>
      </c>
      <c r="J121" s="1254">
        <v>0</v>
      </c>
      <c r="K121" s="1254">
        <v>0</v>
      </c>
      <c r="L121" s="1254">
        <v>0</v>
      </c>
      <c r="M121" s="1254">
        <v>0</v>
      </c>
      <c r="N121" s="1254">
        <v>0</v>
      </c>
      <c r="O121" s="1254">
        <v>0</v>
      </c>
      <c r="P121" s="1254">
        <v>0</v>
      </c>
    </row>
    <row r="122" spans="1:16" ht="14.25" hidden="1" outlineLevel="1">
      <c r="A122" s="79" t="s">
        <v>644</v>
      </c>
      <c r="B122" s="80" t="s">
        <v>1195</v>
      </c>
      <c r="C122" s="34" t="s">
        <v>239</v>
      </c>
      <c r="D122" s="127">
        <v>0</v>
      </c>
      <c r="E122" s="127">
        <v>0</v>
      </c>
      <c r="F122" s="127">
        <v>0</v>
      </c>
      <c r="G122" s="1412">
        <v>0</v>
      </c>
      <c r="H122" s="1254">
        <v>0</v>
      </c>
      <c r="I122" s="1254">
        <v>0</v>
      </c>
      <c r="J122" s="1254">
        <v>0</v>
      </c>
      <c r="K122" s="1254">
        <v>0</v>
      </c>
      <c r="L122" s="1254">
        <v>0</v>
      </c>
      <c r="M122" s="1254">
        <v>0</v>
      </c>
      <c r="N122" s="1254">
        <v>0</v>
      </c>
      <c r="O122" s="1254">
        <v>0</v>
      </c>
      <c r="P122" s="1254">
        <v>0</v>
      </c>
    </row>
    <row r="123" spans="1:16" ht="14.25" hidden="1" outlineLevel="1">
      <c r="A123" s="79" t="s">
        <v>645</v>
      </c>
      <c r="B123" s="122" t="s">
        <v>1197</v>
      </c>
      <c r="C123" s="34" t="s">
        <v>239</v>
      </c>
      <c r="D123" s="127">
        <v>0</v>
      </c>
      <c r="E123" s="127">
        <v>0</v>
      </c>
      <c r="F123" s="127">
        <v>0</v>
      </c>
      <c r="G123" s="1412">
        <v>0</v>
      </c>
      <c r="H123" s="1254">
        <v>0</v>
      </c>
      <c r="I123" s="1254">
        <v>0</v>
      </c>
      <c r="J123" s="1254">
        <v>0</v>
      </c>
      <c r="K123" s="1254">
        <v>0</v>
      </c>
      <c r="L123" s="1254">
        <v>0</v>
      </c>
      <c r="M123" s="1254">
        <v>0</v>
      </c>
      <c r="N123" s="1254">
        <v>0</v>
      </c>
      <c r="O123" s="1254">
        <v>0</v>
      </c>
      <c r="P123" s="1254">
        <v>0</v>
      </c>
    </row>
    <row r="124" spans="1:16" ht="27" hidden="1" outlineLevel="1">
      <c r="A124" s="79" t="s">
        <v>646</v>
      </c>
      <c r="B124" s="122" t="s">
        <v>422</v>
      </c>
      <c r="C124" s="34" t="s">
        <v>239</v>
      </c>
      <c r="D124" s="127">
        <v>0</v>
      </c>
      <c r="E124" s="127">
        <v>0</v>
      </c>
      <c r="F124" s="127">
        <v>0</v>
      </c>
      <c r="G124" s="1412">
        <v>0</v>
      </c>
      <c r="H124" s="1254">
        <v>0</v>
      </c>
      <c r="I124" s="1254">
        <v>0</v>
      </c>
      <c r="J124" s="1254">
        <v>0</v>
      </c>
      <c r="K124" s="1254">
        <v>0</v>
      </c>
      <c r="L124" s="1254">
        <v>0</v>
      </c>
      <c r="M124" s="1254">
        <v>0</v>
      </c>
      <c r="N124" s="1254">
        <v>0</v>
      </c>
      <c r="O124" s="1254">
        <v>0</v>
      </c>
      <c r="P124" s="1254">
        <v>0</v>
      </c>
    </row>
    <row r="125" spans="1:16" ht="39.75" collapsed="1">
      <c r="A125" s="81" t="s">
        <v>647</v>
      </c>
      <c r="B125" s="78" t="s">
        <v>1075</v>
      </c>
      <c r="C125" s="34" t="s">
        <v>239</v>
      </c>
      <c r="D125" s="456">
        <f>D132</f>
        <v>149</v>
      </c>
      <c r="E125" s="456">
        <f aca="true" t="shared" si="14" ref="E125:P125">E132</f>
        <v>0</v>
      </c>
      <c r="F125" s="456">
        <f t="shared" si="14"/>
        <v>552.2098599862732</v>
      </c>
      <c r="G125" s="1422">
        <f t="shared" si="14"/>
        <v>441.08855456417297</v>
      </c>
      <c r="H125" s="1431">
        <f t="shared" si="14"/>
        <v>480.20820381108643</v>
      </c>
      <c r="I125" s="1431">
        <f t="shared" si="14"/>
        <v>288.93528706622754</v>
      </c>
      <c r="J125" s="1431">
        <f t="shared" si="14"/>
        <v>190.78312512654514</v>
      </c>
      <c r="K125" s="1431">
        <f t="shared" si="14"/>
        <v>508.5404878359405</v>
      </c>
      <c r="L125" s="1431">
        <f t="shared" si="14"/>
        <v>307.13821015139985</v>
      </c>
      <c r="M125" s="1431">
        <f t="shared" si="14"/>
        <v>202.0393295090113</v>
      </c>
      <c r="N125" s="1431">
        <f t="shared" si="14"/>
        <v>538.5443766182609</v>
      </c>
      <c r="O125" s="1431">
        <f t="shared" si="14"/>
        <v>325.25936455033246</v>
      </c>
      <c r="P125" s="1431">
        <f t="shared" si="14"/>
        <v>213.95964995004294</v>
      </c>
    </row>
    <row r="126" spans="1:16" ht="14.25">
      <c r="A126" s="79" t="s">
        <v>648</v>
      </c>
      <c r="B126" s="122" t="s">
        <v>1192</v>
      </c>
      <c r="C126" s="34" t="s">
        <v>239</v>
      </c>
      <c r="D126" s="123">
        <v>0</v>
      </c>
      <c r="E126" s="123">
        <v>0</v>
      </c>
      <c r="F126" s="123"/>
      <c r="G126" s="123"/>
      <c r="H126" s="1432"/>
      <c r="I126" s="1432"/>
      <c r="J126" s="1432"/>
      <c r="K126" s="1432"/>
      <c r="L126" s="1432"/>
      <c r="M126" s="1432"/>
      <c r="N126" s="1432"/>
      <c r="O126" s="1432"/>
      <c r="P126" s="1432"/>
    </row>
    <row r="127" spans="1:16" ht="14.25">
      <c r="A127" s="79" t="s">
        <v>1696</v>
      </c>
      <c r="B127" s="122" t="s">
        <v>1277</v>
      </c>
      <c r="C127" s="34" t="s">
        <v>239</v>
      </c>
      <c r="D127" s="123">
        <v>0</v>
      </c>
      <c r="E127" s="123">
        <v>0</v>
      </c>
      <c r="F127" s="123"/>
      <c r="G127" s="123"/>
      <c r="H127" s="1432"/>
      <c r="I127" s="1432"/>
      <c r="J127" s="1432"/>
      <c r="K127" s="1432"/>
      <c r="L127" s="1432"/>
      <c r="M127" s="1432"/>
      <c r="N127" s="1432"/>
      <c r="O127" s="1432"/>
      <c r="P127" s="1432"/>
    </row>
    <row r="128" spans="1:16" ht="14.25">
      <c r="A128" s="79" t="s">
        <v>1697</v>
      </c>
      <c r="B128" s="122" t="s">
        <v>1193</v>
      </c>
      <c r="C128" s="34" t="s">
        <v>239</v>
      </c>
      <c r="D128" s="123">
        <v>0</v>
      </c>
      <c r="E128" s="123">
        <v>0</v>
      </c>
      <c r="F128" s="123"/>
      <c r="G128" s="123"/>
      <c r="H128" s="1432"/>
      <c r="I128" s="1432"/>
      <c r="J128" s="1432"/>
      <c r="K128" s="1432"/>
      <c r="L128" s="1432"/>
      <c r="M128" s="1432"/>
      <c r="N128" s="1432"/>
      <c r="O128" s="1432"/>
      <c r="P128" s="1432"/>
    </row>
    <row r="129" spans="1:16" ht="14.25" hidden="1" outlineLevel="1">
      <c r="A129" s="79" t="s">
        <v>719</v>
      </c>
      <c r="B129" s="80" t="s">
        <v>1194</v>
      </c>
      <c r="C129" s="34" t="s">
        <v>239</v>
      </c>
      <c r="D129" s="123">
        <v>0</v>
      </c>
      <c r="E129" s="123">
        <v>0</v>
      </c>
      <c r="F129" s="123">
        <v>0</v>
      </c>
      <c r="G129" s="123">
        <v>0</v>
      </c>
      <c r="H129" s="1432">
        <v>0</v>
      </c>
      <c r="I129" s="1432">
        <v>0</v>
      </c>
      <c r="J129" s="1432">
        <v>0</v>
      </c>
      <c r="K129" s="1432">
        <v>0</v>
      </c>
      <c r="L129" s="1432">
        <v>0</v>
      </c>
      <c r="M129" s="1432">
        <v>0</v>
      </c>
      <c r="N129" s="1432">
        <v>0</v>
      </c>
      <c r="O129" s="1432">
        <v>0</v>
      </c>
      <c r="P129" s="1432">
        <v>0</v>
      </c>
    </row>
    <row r="130" spans="1:16" ht="14.25" hidden="1" outlineLevel="1">
      <c r="A130" s="79" t="s">
        <v>720</v>
      </c>
      <c r="B130" s="80" t="s">
        <v>1196</v>
      </c>
      <c r="C130" s="34" t="s">
        <v>239</v>
      </c>
      <c r="D130" s="123">
        <v>0</v>
      </c>
      <c r="E130" s="123">
        <v>0</v>
      </c>
      <c r="F130" s="123">
        <v>0</v>
      </c>
      <c r="G130" s="123">
        <v>0</v>
      </c>
      <c r="H130" s="1432">
        <v>0</v>
      </c>
      <c r="I130" s="1432">
        <v>0</v>
      </c>
      <c r="J130" s="1432">
        <v>0</v>
      </c>
      <c r="K130" s="1432">
        <v>0</v>
      </c>
      <c r="L130" s="1432">
        <v>0</v>
      </c>
      <c r="M130" s="1432">
        <v>0</v>
      </c>
      <c r="N130" s="1432">
        <v>0</v>
      </c>
      <c r="O130" s="1432">
        <v>0</v>
      </c>
      <c r="P130" s="1432">
        <v>0</v>
      </c>
    </row>
    <row r="131" spans="1:16" ht="14.25" hidden="1" outlineLevel="1">
      <c r="A131" s="79" t="s">
        <v>721</v>
      </c>
      <c r="B131" s="80" t="s">
        <v>1195</v>
      </c>
      <c r="C131" s="34" t="s">
        <v>239</v>
      </c>
      <c r="D131" s="123">
        <v>0</v>
      </c>
      <c r="E131" s="123">
        <v>0</v>
      </c>
      <c r="F131" s="123">
        <v>0</v>
      </c>
      <c r="G131" s="123">
        <v>0</v>
      </c>
      <c r="H131" s="1432">
        <v>0</v>
      </c>
      <c r="I131" s="1432">
        <v>0</v>
      </c>
      <c r="J131" s="1432">
        <v>0</v>
      </c>
      <c r="K131" s="1432">
        <v>0</v>
      </c>
      <c r="L131" s="1432">
        <v>0</v>
      </c>
      <c r="M131" s="1432">
        <v>0</v>
      </c>
      <c r="N131" s="1432">
        <v>0</v>
      </c>
      <c r="O131" s="1432">
        <v>0</v>
      </c>
      <c r="P131" s="1432">
        <v>0</v>
      </c>
    </row>
    <row r="132" spans="1:16" ht="27" collapsed="1">
      <c r="A132" s="79" t="s">
        <v>722</v>
      </c>
      <c r="B132" s="122" t="s">
        <v>862</v>
      </c>
      <c r="C132" s="34" t="s">
        <v>239</v>
      </c>
      <c r="D132" s="123">
        <v>149</v>
      </c>
      <c r="E132" s="123">
        <v>0</v>
      </c>
      <c r="F132" s="123">
        <f>F115*F66</f>
        <v>552.2098599862732</v>
      </c>
      <c r="G132" s="123">
        <f>G115*G66</f>
        <v>441.08855456417297</v>
      </c>
      <c r="H132" s="1432">
        <f>H66*H115</f>
        <v>480.20820381108643</v>
      </c>
      <c r="I132" s="1432">
        <f aca="true" t="shared" si="15" ref="I132:P132">I66*I115</f>
        <v>288.93528706622754</v>
      </c>
      <c r="J132" s="1432">
        <f t="shared" si="15"/>
        <v>190.78312512654514</v>
      </c>
      <c r="K132" s="1432">
        <f t="shared" si="15"/>
        <v>508.5404878359405</v>
      </c>
      <c r="L132" s="1432">
        <f t="shared" si="15"/>
        <v>307.13821015139985</v>
      </c>
      <c r="M132" s="1432">
        <f t="shared" si="15"/>
        <v>202.0393295090113</v>
      </c>
      <c r="N132" s="1432">
        <f t="shared" si="15"/>
        <v>538.5443766182609</v>
      </c>
      <c r="O132" s="1432">
        <f t="shared" si="15"/>
        <v>325.25936455033246</v>
      </c>
      <c r="P132" s="1432">
        <f t="shared" si="15"/>
        <v>213.95964995004294</v>
      </c>
    </row>
    <row r="133" spans="1:16" ht="27">
      <c r="A133" s="81" t="s">
        <v>723</v>
      </c>
      <c r="B133" s="78" t="s">
        <v>413</v>
      </c>
      <c r="C133" s="34" t="s">
        <v>239</v>
      </c>
      <c r="D133" s="456">
        <f>D140</f>
        <v>10024</v>
      </c>
      <c r="E133" s="456">
        <f>E140</f>
        <v>8227</v>
      </c>
      <c r="F133" s="456">
        <f>F140</f>
        <v>6718.328638297872</v>
      </c>
      <c r="G133" s="456">
        <f aca="true" t="shared" si="16" ref="G133:P133">G140</f>
        <v>5421.713483184626</v>
      </c>
      <c r="H133" s="1431">
        <f t="shared" si="16"/>
        <v>5832.249108177851</v>
      </c>
      <c r="I133" s="1431">
        <f t="shared" si="16"/>
        <v>3462.537599176602</v>
      </c>
      <c r="J133" s="1431">
        <f t="shared" si="16"/>
        <v>2282.36079787651</v>
      </c>
      <c r="K133" s="1431">
        <f t="shared" si="16"/>
        <v>6192.407928273445</v>
      </c>
      <c r="L133" s="1431">
        <f t="shared" si="16"/>
        <v>3674.3302633005073</v>
      </c>
      <c r="M133" s="1431">
        <f t="shared" si="16"/>
        <v>2423.294817969474</v>
      </c>
      <c r="N133" s="1431">
        <f t="shared" si="16"/>
        <v>6574.81159836289</v>
      </c>
      <c r="O133" s="1431">
        <f t="shared" si="16"/>
        <v>3901.2173249946845</v>
      </c>
      <c r="P133" s="1431">
        <f t="shared" si="16"/>
        <v>2572.9329786950543</v>
      </c>
    </row>
    <row r="134" spans="1:16" ht="14.25">
      <c r="A134" s="79" t="s">
        <v>724</v>
      </c>
      <c r="B134" s="122" t="s">
        <v>1180</v>
      </c>
      <c r="C134" s="34" t="s">
        <v>239</v>
      </c>
      <c r="D134" s="123">
        <v>0</v>
      </c>
      <c r="E134" s="123">
        <v>0</v>
      </c>
      <c r="F134" s="123"/>
      <c r="G134" s="1420"/>
      <c r="H134" s="1432"/>
      <c r="I134" s="1432"/>
      <c r="J134" s="1432"/>
      <c r="K134" s="1432"/>
      <c r="L134" s="1432"/>
      <c r="M134" s="1432"/>
      <c r="N134" s="1432"/>
      <c r="O134" s="1432"/>
      <c r="P134" s="1432"/>
    </row>
    <row r="135" spans="1:16" ht="14.25">
      <c r="A135" s="79" t="s">
        <v>725</v>
      </c>
      <c r="B135" s="122" t="s">
        <v>1277</v>
      </c>
      <c r="C135" s="34" t="s">
        <v>239</v>
      </c>
      <c r="D135" s="123">
        <v>0</v>
      </c>
      <c r="E135" s="123">
        <v>0</v>
      </c>
      <c r="F135" s="123"/>
      <c r="G135" s="1420"/>
      <c r="H135" s="1432"/>
      <c r="I135" s="1432"/>
      <c r="J135" s="1432"/>
      <c r="K135" s="1432"/>
      <c r="L135" s="1432"/>
      <c r="M135" s="1432"/>
      <c r="N135" s="1432"/>
      <c r="O135" s="1432"/>
      <c r="P135" s="1432"/>
    </row>
    <row r="136" spans="1:16" ht="14.25">
      <c r="A136" s="79" t="s">
        <v>726</v>
      </c>
      <c r="B136" s="122" t="s">
        <v>1193</v>
      </c>
      <c r="C136" s="34" t="s">
        <v>239</v>
      </c>
      <c r="D136" s="123">
        <v>0</v>
      </c>
      <c r="E136" s="123">
        <v>0</v>
      </c>
      <c r="F136" s="123"/>
      <c r="G136" s="1420"/>
      <c r="H136" s="1432"/>
      <c r="I136" s="1432"/>
      <c r="J136" s="1432"/>
      <c r="K136" s="1432"/>
      <c r="L136" s="1432"/>
      <c r="M136" s="1432"/>
      <c r="N136" s="1432"/>
      <c r="O136" s="1432"/>
      <c r="P136" s="1432"/>
    </row>
    <row r="137" spans="1:16" ht="14.25" hidden="1" outlineLevel="1">
      <c r="A137" s="79" t="s">
        <v>727</v>
      </c>
      <c r="B137" s="80" t="s">
        <v>1194</v>
      </c>
      <c r="C137" s="34" t="s">
        <v>239</v>
      </c>
      <c r="D137" s="123">
        <v>0</v>
      </c>
      <c r="E137" s="123">
        <v>0</v>
      </c>
      <c r="F137" s="123">
        <v>0</v>
      </c>
      <c r="G137" s="1420">
        <v>0</v>
      </c>
      <c r="H137" s="1432">
        <v>0</v>
      </c>
      <c r="I137" s="1432">
        <v>0</v>
      </c>
      <c r="J137" s="1432">
        <v>0</v>
      </c>
      <c r="K137" s="1432">
        <v>0</v>
      </c>
      <c r="L137" s="1432">
        <v>0</v>
      </c>
      <c r="M137" s="1432">
        <v>0</v>
      </c>
      <c r="N137" s="1432">
        <v>0</v>
      </c>
      <c r="O137" s="1432">
        <v>0</v>
      </c>
      <c r="P137" s="1432">
        <v>0</v>
      </c>
    </row>
    <row r="138" spans="1:16" ht="14.25" hidden="1" outlineLevel="1">
      <c r="A138" s="79" t="s">
        <v>728</v>
      </c>
      <c r="B138" s="80" t="s">
        <v>1196</v>
      </c>
      <c r="C138" s="34" t="s">
        <v>239</v>
      </c>
      <c r="D138" s="123">
        <v>0</v>
      </c>
      <c r="E138" s="123">
        <v>0</v>
      </c>
      <c r="F138" s="123">
        <v>0</v>
      </c>
      <c r="G138" s="1420">
        <v>0</v>
      </c>
      <c r="H138" s="1432">
        <v>0</v>
      </c>
      <c r="I138" s="1432">
        <v>0</v>
      </c>
      <c r="J138" s="1432">
        <v>0</v>
      </c>
      <c r="K138" s="1432">
        <v>0</v>
      </c>
      <c r="L138" s="1432">
        <v>0</v>
      </c>
      <c r="M138" s="1432">
        <v>0</v>
      </c>
      <c r="N138" s="1432">
        <v>0</v>
      </c>
      <c r="O138" s="1432">
        <v>0</v>
      </c>
      <c r="P138" s="1432">
        <v>0</v>
      </c>
    </row>
    <row r="139" spans="1:16" ht="14.25" hidden="1" outlineLevel="1">
      <c r="A139" s="79" t="s">
        <v>729</v>
      </c>
      <c r="B139" s="80" t="s">
        <v>1195</v>
      </c>
      <c r="C139" s="34" t="s">
        <v>239</v>
      </c>
      <c r="D139" s="123">
        <v>0</v>
      </c>
      <c r="E139" s="123">
        <v>0</v>
      </c>
      <c r="F139" s="123">
        <v>0</v>
      </c>
      <c r="G139" s="1420">
        <v>0</v>
      </c>
      <c r="H139" s="1432">
        <v>0</v>
      </c>
      <c r="I139" s="1432">
        <v>0</v>
      </c>
      <c r="J139" s="1432">
        <v>0</v>
      </c>
      <c r="K139" s="1432">
        <v>0</v>
      </c>
      <c r="L139" s="1432">
        <v>0</v>
      </c>
      <c r="M139" s="1432">
        <v>0</v>
      </c>
      <c r="N139" s="1432">
        <v>0</v>
      </c>
      <c r="O139" s="1432">
        <v>0</v>
      </c>
      <c r="P139" s="1432">
        <v>0</v>
      </c>
    </row>
    <row r="140" spans="1:16" ht="27" collapsed="1">
      <c r="A140" s="79" t="s">
        <v>730</v>
      </c>
      <c r="B140" s="122" t="s">
        <v>862</v>
      </c>
      <c r="C140" s="34" t="s">
        <v>239</v>
      </c>
      <c r="D140" s="123">
        <f>D132+D99</f>
        <v>10024</v>
      </c>
      <c r="E140" s="123">
        <v>8227</v>
      </c>
      <c r="F140" s="123">
        <f>F132+F99</f>
        <v>6718.328638297872</v>
      </c>
      <c r="G140" s="1420">
        <f>G132+G99</f>
        <v>5421.713483184626</v>
      </c>
      <c r="H140" s="1432">
        <f aca="true" t="shared" si="17" ref="H140:P140">H132+H99</f>
        <v>5832.249108177851</v>
      </c>
      <c r="I140" s="1432">
        <f t="shared" si="17"/>
        <v>3462.537599176602</v>
      </c>
      <c r="J140" s="1432">
        <f t="shared" si="17"/>
        <v>2282.36079787651</v>
      </c>
      <c r="K140" s="1432">
        <f t="shared" si="17"/>
        <v>6192.407928273445</v>
      </c>
      <c r="L140" s="1432">
        <f t="shared" si="17"/>
        <v>3674.3302633005073</v>
      </c>
      <c r="M140" s="1432">
        <f t="shared" si="17"/>
        <v>2423.294817969474</v>
      </c>
      <c r="N140" s="1432">
        <f t="shared" si="17"/>
        <v>6574.81159836289</v>
      </c>
      <c r="O140" s="1432">
        <f t="shared" si="17"/>
        <v>3901.2173249946845</v>
      </c>
      <c r="P140" s="1432">
        <f t="shared" si="17"/>
        <v>2572.9329786950543</v>
      </c>
    </row>
    <row r="141" spans="1:16" ht="27">
      <c r="A141" s="79" t="s">
        <v>731</v>
      </c>
      <c r="B141" s="122" t="s">
        <v>422</v>
      </c>
      <c r="C141" s="34" t="s">
        <v>239</v>
      </c>
      <c r="D141" s="123">
        <f aca="true" t="shared" si="18" ref="D141:P141">D140</f>
        <v>10024</v>
      </c>
      <c r="E141" s="123">
        <v>8227</v>
      </c>
      <c r="F141" s="123">
        <f t="shared" si="18"/>
        <v>6718.328638297872</v>
      </c>
      <c r="G141" s="1420">
        <f t="shared" si="18"/>
        <v>5421.713483184626</v>
      </c>
      <c r="H141" s="1432">
        <f t="shared" si="18"/>
        <v>5832.249108177851</v>
      </c>
      <c r="I141" s="1432">
        <f t="shared" si="18"/>
        <v>3462.537599176602</v>
      </c>
      <c r="J141" s="1432">
        <f t="shared" si="18"/>
        <v>2282.36079787651</v>
      </c>
      <c r="K141" s="1432">
        <f t="shared" si="18"/>
        <v>6192.407928273445</v>
      </c>
      <c r="L141" s="1432">
        <f t="shared" si="18"/>
        <v>3674.3302633005073</v>
      </c>
      <c r="M141" s="1432">
        <f t="shared" si="18"/>
        <v>2423.294817969474</v>
      </c>
      <c r="N141" s="1432">
        <f t="shared" si="18"/>
        <v>6574.81159836289</v>
      </c>
      <c r="O141" s="1432">
        <f t="shared" si="18"/>
        <v>3901.2173249946845</v>
      </c>
      <c r="P141" s="1432">
        <f t="shared" si="18"/>
        <v>2572.9329786950543</v>
      </c>
    </row>
    <row r="142" spans="1:16" ht="27">
      <c r="A142" s="81" t="s">
        <v>732</v>
      </c>
      <c r="B142" s="78" t="s">
        <v>1093</v>
      </c>
      <c r="C142" s="34" t="s">
        <v>1105</v>
      </c>
      <c r="D142" s="456">
        <f>D149</f>
        <v>27844</v>
      </c>
      <c r="E142" s="456">
        <f>E133/E42</f>
        <v>27191.30089899524</v>
      </c>
      <c r="F142" s="456">
        <f>F133/F42</f>
        <v>30787.234042553187</v>
      </c>
      <c r="G142" s="1422">
        <f>G133/G42</f>
        <v>30370.624571036376</v>
      </c>
      <c r="H142" s="1431">
        <f aca="true" t="shared" si="19" ref="H142:P142">H133/H42</f>
        <v>32670.316403568973</v>
      </c>
      <c r="I142" s="1431">
        <f t="shared" si="19"/>
        <v>31444.063143445434</v>
      </c>
      <c r="J142" s="1431">
        <f t="shared" si="19"/>
        <v>33367.39876458476</v>
      </c>
      <c r="K142" s="1431">
        <f t="shared" si="19"/>
        <v>34687.8061214825</v>
      </c>
      <c r="L142" s="1431">
        <f t="shared" si="19"/>
        <v>33367.39876458477</v>
      </c>
      <c r="M142" s="1431">
        <f t="shared" si="19"/>
        <v>35427.80991969801</v>
      </c>
      <c r="N142" s="1431">
        <f t="shared" si="19"/>
        <v>36829.9040778593</v>
      </c>
      <c r="O142" s="1431">
        <f t="shared" si="19"/>
        <v>35427.80991969801</v>
      </c>
      <c r="P142" s="1431">
        <f t="shared" si="19"/>
        <v>37615.472879899105</v>
      </c>
    </row>
    <row r="143" spans="1:16" ht="14.25">
      <c r="A143" s="79" t="s">
        <v>733</v>
      </c>
      <c r="B143" s="122" t="s">
        <v>1180</v>
      </c>
      <c r="C143" s="34" t="s">
        <v>1105</v>
      </c>
      <c r="D143" s="123">
        <v>0</v>
      </c>
      <c r="E143" s="123">
        <v>0</v>
      </c>
      <c r="F143" s="123"/>
      <c r="G143" s="123"/>
      <c r="H143" s="1432"/>
      <c r="I143" s="1432"/>
      <c r="J143" s="1432"/>
      <c r="K143" s="1432"/>
      <c r="L143" s="1432"/>
      <c r="M143" s="1432"/>
      <c r="N143" s="1432"/>
      <c r="O143" s="1432"/>
      <c r="P143" s="1432"/>
    </row>
    <row r="144" spans="1:16" ht="14.25">
      <c r="A144" s="79" t="s">
        <v>734</v>
      </c>
      <c r="B144" s="122" t="s">
        <v>1277</v>
      </c>
      <c r="C144" s="34" t="s">
        <v>1105</v>
      </c>
      <c r="D144" s="123">
        <v>0</v>
      </c>
      <c r="E144" s="123">
        <v>0</v>
      </c>
      <c r="F144" s="123"/>
      <c r="G144" s="123"/>
      <c r="H144" s="1432"/>
      <c r="I144" s="1432"/>
      <c r="J144" s="1432"/>
      <c r="K144" s="1432"/>
      <c r="L144" s="1432"/>
      <c r="M144" s="1432"/>
      <c r="N144" s="1432"/>
      <c r="O144" s="1432"/>
      <c r="P144" s="1432"/>
    </row>
    <row r="145" spans="1:16" ht="14.25">
      <c r="A145" s="79" t="s">
        <v>735</v>
      </c>
      <c r="B145" s="122" t="s">
        <v>1193</v>
      </c>
      <c r="C145" s="34" t="s">
        <v>1105</v>
      </c>
      <c r="D145" s="123">
        <v>0</v>
      </c>
      <c r="E145" s="123">
        <v>0</v>
      </c>
      <c r="F145" s="123"/>
      <c r="G145" s="123"/>
      <c r="H145" s="1432"/>
      <c r="I145" s="1432"/>
      <c r="J145" s="1432"/>
      <c r="K145" s="1432"/>
      <c r="L145" s="1432"/>
      <c r="M145" s="1432"/>
      <c r="N145" s="1432"/>
      <c r="O145" s="1432"/>
      <c r="P145" s="1432"/>
    </row>
    <row r="146" spans="1:16" ht="14.25" hidden="1" outlineLevel="1">
      <c r="A146" s="79" t="s">
        <v>736</v>
      </c>
      <c r="B146" s="80" t="s">
        <v>1194</v>
      </c>
      <c r="C146" s="34" t="s">
        <v>1105</v>
      </c>
      <c r="D146" s="123">
        <v>0</v>
      </c>
      <c r="E146" s="123">
        <v>0</v>
      </c>
      <c r="F146" s="123">
        <v>0</v>
      </c>
      <c r="G146" s="123">
        <v>0</v>
      </c>
      <c r="H146" s="1432">
        <v>0</v>
      </c>
      <c r="I146" s="1432">
        <v>0</v>
      </c>
      <c r="J146" s="1432">
        <v>0</v>
      </c>
      <c r="K146" s="1432">
        <v>0</v>
      </c>
      <c r="L146" s="1432">
        <v>0</v>
      </c>
      <c r="M146" s="1432">
        <v>0</v>
      </c>
      <c r="N146" s="1432">
        <v>0</v>
      </c>
      <c r="O146" s="1432">
        <v>0</v>
      </c>
      <c r="P146" s="1432">
        <v>0</v>
      </c>
    </row>
    <row r="147" spans="1:16" ht="14.25" hidden="1" outlineLevel="1">
      <c r="A147" s="79" t="s">
        <v>737</v>
      </c>
      <c r="B147" s="80" t="s">
        <v>1196</v>
      </c>
      <c r="C147" s="34" t="s">
        <v>1105</v>
      </c>
      <c r="D147" s="123">
        <v>0</v>
      </c>
      <c r="E147" s="123">
        <v>0</v>
      </c>
      <c r="F147" s="123">
        <v>0</v>
      </c>
      <c r="G147" s="123">
        <v>0</v>
      </c>
      <c r="H147" s="1432">
        <v>0</v>
      </c>
      <c r="I147" s="1432">
        <v>0</v>
      </c>
      <c r="J147" s="1432">
        <v>0</v>
      </c>
      <c r="K147" s="1432">
        <v>0</v>
      </c>
      <c r="L147" s="1432">
        <v>0</v>
      </c>
      <c r="M147" s="1432">
        <v>0</v>
      </c>
      <c r="N147" s="1432">
        <v>0</v>
      </c>
      <c r="O147" s="1432">
        <v>0</v>
      </c>
      <c r="P147" s="1432">
        <v>0</v>
      </c>
    </row>
    <row r="148" spans="1:16" ht="14.25" hidden="1" outlineLevel="1">
      <c r="A148" s="79" t="s">
        <v>738</v>
      </c>
      <c r="B148" s="80" t="s">
        <v>1195</v>
      </c>
      <c r="C148" s="34" t="s">
        <v>1105</v>
      </c>
      <c r="D148" s="123">
        <v>0</v>
      </c>
      <c r="E148" s="123">
        <v>0</v>
      </c>
      <c r="F148" s="123">
        <v>0</v>
      </c>
      <c r="G148" s="123">
        <v>0</v>
      </c>
      <c r="H148" s="1432">
        <v>0</v>
      </c>
      <c r="I148" s="1432">
        <v>0</v>
      </c>
      <c r="J148" s="1432">
        <v>0</v>
      </c>
      <c r="K148" s="1432">
        <v>0</v>
      </c>
      <c r="L148" s="1432">
        <v>0</v>
      </c>
      <c r="M148" s="1432">
        <v>0</v>
      </c>
      <c r="N148" s="1432">
        <v>0</v>
      </c>
      <c r="O148" s="1432">
        <v>0</v>
      </c>
      <c r="P148" s="1432">
        <v>0</v>
      </c>
    </row>
    <row r="149" spans="1:16" ht="27" collapsed="1">
      <c r="A149" s="79" t="s">
        <v>739</v>
      </c>
      <c r="B149" s="122" t="s">
        <v>862</v>
      </c>
      <c r="C149" s="34" t="s">
        <v>1105</v>
      </c>
      <c r="D149" s="123">
        <v>27844</v>
      </c>
      <c r="E149" s="123">
        <f>E142</f>
        <v>27191.30089899524</v>
      </c>
      <c r="F149" s="123">
        <f>F142</f>
        <v>30787.234042553187</v>
      </c>
      <c r="G149" s="123">
        <f>G142</f>
        <v>30370.624571036376</v>
      </c>
      <c r="H149" s="1432">
        <f aca="true" t="shared" si="20" ref="H149:P149">H142</f>
        <v>32670.316403568973</v>
      </c>
      <c r="I149" s="1432">
        <f t="shared" si="20"/>
        <v>31444.063143445434</v>
      </c>
      <c r="J149" s="1432">
        <f t="shared" si="20"/>
        <v>33367.39876458476</v>
      </c>
      <c r="K149" s="1432">
        <f t="shared" si="20"/>
        <v>34687.8061214825</v>
      </c>
      <c r="L149" s="1432">
        <f t="shared" si="20"/>
        <v>33367.39876458477</v>
      </c>
      <c r="M149" s="1432">
        <f t="shared" si="20"/>
        <v>35427.80991969801</v>
      </c>
      <c r="N149" s="1432">
        <f t="shared" si="20"/>
        <v>36829.9040778593</v>
      </c>
      <c r="O149" s="1432">
        <f t="shared" si="20"/>
        <v>35427.80991969801</v>
      </c>
      <c r="P149" s="1432">
        <f t="shared" si="20"/>
        <v>37615.472879899105</v>
      </c>
    </row>
    <row r="150" spans="1:16" ht="27">
      <c r="A150" s="79" t="s">
        <v>740</v>
      </c>
      <c r="B150" s="122" t="s">
        <v>422</v>
      </c>
      <c r="C150" s="34" t="s">
        <v>1105</v>
      </c>
      <c r="D150" s="123">
        <f aca="true" t="shared" si="21" ref="D150:P150">D149</f>
        <v>27844</v>
      </c>
      <c r="E150" s="123">
        <f t="shared" si="21"/>
        <v>27191.30089899524</v>
      </c>
      <c r="F150" s="123">
        <f t="shared" si="21"/>
        <v>30787.234042553187</v>
      </c>
      <c r="G150" s="123">
        <f t="shared" si="21"/>
        <v>30370.624571036376</v>
      </c>
      <c r="H150" s="1432">
        <f t="shared" si="21"/>
        <v>32670.316403568973</v>
      </c>
      <c r="I150" s="1432">
        <f t="shared" si="21"/>
        <v>31444.063143445434</v>
      </c>
      <c r="J150" s="1432">
        <f t="shared" si="21"/>
        <v>33367.39876458476</v>
      </c>
      <c r="K150" s="1432">
        <f t="shared" si="21"/>
        <v>34687.8061214825</v>
      </c>
      <c r="L150" s="1432">
        <f t="shared" si="21"/>
        <v>33367.39876458477</v>
      </c>
      <c r="M150" s="1432">
        <f t="shared" si="21"/>
        <v>35427.80991969801</v>
      </c>
      <c r="N150" s="1432">
        <f t="shared" si="21"/>
        <v>36829.9040778593</v>
      </c>
      <c r="O150" s="1432">
        <f t="shared" si="21"/>
        <v>35427.80991969801</v>
      </c>
      <c r="P150" s="1432">
        <f t="shared" si="21"/>
        <v>37615.472879899105</v>
      </c>
    </row>
    <row r="151" spans="1:16" ht="27">
      <c r="A151" s="81" t="s">
        <v>741</v>
      </c>
      <c r="B151" s="78" t="s">
        <v>1094</v>
      </c>
      <c r="C151" s="34"/>
      <c r="D151" s="456">
        <f>D158</f>
        <v>40569</v>
      </c>
      <c r="E151" s="456">
        <f>E158</f>
        <v>39616.56</v>
      </c>
      <c r="F151" s="456">
        <f aca="true" t="shared" si="22" ref="F151:P151">F158</f>
        <v>44857</v>
      </c>
      <c r="G151" s="456">
        <f t="shared" si="22"/>
        <v>44250</v>
      </c>
      <c r="H151" s="1431">
        <f t="shared" si="22"/>
        <v>47600.651</v>
      </c>
      <c r="I151" s="1431">
        <f t="shared" si="22"/>
        <v>45814</v>
      </c>
      <c r="J151" s="1431">
        <f t="shared" si="22"/>
        <v>48616.299999999996</v>
      </c>
      <c r="K151" s="1431">
        <f t="shared" si="22"/>
        <v>50540.133519</v>
      </c>
      <c r="L151" s="1431">
        <f t="shared" si="22"/>
        <v>48616.3</v>
      </c>
      <c r="M151" s="1431">
        <f t="shared" si="22"/>
        <v>51618.319053</v>
      </c>
      <c r="N151" s="1431">
        <f t="shared" si="22"/>
        <v>53661.170241441</v>
      </c>
      <c r="O151" s="1431">
        <f t="shared" si="22"/>
        <v>51618.319053</v>
      </c>
      <c r="P151" s="1431">
        <f t="shared" si="22"/>
        <v>54805.743986013</v>
      </c>
    </row>
    <row r="152" spans="1:16" ht="14.25">
      <c r="A152" s="79" t="s">
        <v>742</v>
      </c>
      <c r="B152" s="122" t="s">
        <v>1180</v>
      </c>
      <c r="C152" s="34" t="s">
        <v>1103</v>
      </c>
      <c r="D152" s="123">
        <v>0</v>
      </c>
      <c r="E152" s="123">
        <v>0</v>
      </c>
      <c r="F152" s="123"/>
      <c r="G152" s="1420"/>
      <c r="H152" s="1432"/>
      <c r="I152" s="1432"/>
      <c r="J152" s="1432"/>
      <c r="K152" s="1432"/>
      <c r="L152" s="1432"/>
      <c r="M152" s="1432"/>
      <c r="N152" s="1432"/>
      <c r="O152" s="1432"/>
      <c r="P152" s="1432"/>
    </row>
    <row r="153" spans="1:16" ht="14.25">
      <c r="A153" s="79" t="s">
        <v>743</v>
      </c>
      <c r="B153" s="122" t="s">
        <v>1277</v>
      </c>
      <c r="C153" s="34" t="s">
        <v>1103</v>
      </c>
      <c r="D153" s="123">
        <v>0</v>
      </c>
      <c r="E153" s="123">
        <v>0</v>
      </c>
      <c r="F153" s="123"/>
      <c r="G153" s="1420"/>
      <c r="H153" s="1432"/>
      <c r="I153" s="1432"/>
      <c r="J153" s="1432"/>
      <c r="K153" s="1432"/>
      <c r="L153" s="1432"/>
      <c r="M153" s="1432"/>
      <c r="N153" s="1432"/>
      <c r="O153" s="1432"/>
      <c r="P153" s="1432"/>
    </row>
    <row r="154" spans="1:16" ht="14.25">
      <c r="A154" s="79" t="s">
        <v>744</v>
      </c>
      <c r="B154" s="122" t="s">
        <v>1193</v>
      </c>
      <c r="C154" s="34" t="s">
        <v>1104</v>
      </c>
      <c r="D154" s="123">
        <v>0</v>
      </c>
      <c r="E154" s="123">
        <v>0</v>
      </c>
      <c r="F154" s="123"/>
      <c r="G154" s="1420"/>
      <c r="H154" s="1432"/>
      <c r="I154" s="1432"/>
      <c r="J154" s="1432"/>
      <c r="K154" s="1432"/>
      <c r="L154" s="1432"/>
      <c r="M154" s="1432"/>
      <c r="N154" s="1432"/>
      <c r="O154" s="1432"/>
      <c r="P154" s="1432"/>
    </row>
    <row r="155" spans="1:16" ht="14.25" hidden="1" outlineLevel="1">
      <c r="A155" s="79" t="s">
        <v>745</v>
      </c>
      <c r="B155" s="80" t="s">
        <v>1194</v>
      </c>
      <c r="C155" s="34" t="s">
        <v>1104</v>
      </c>
      <c r="D155" s="123">
        <v>0</v>
      </c>
      <c r="E155" s="123">
        <v>0</v>
      </c>
      <c r="F155" s="123">
        <v>0</v>
      </c>
      <c r="G155" s="1420">
        <v>0</v>
      </c>
      <c r="H155" s="1432">
        <v>0</v>
      </c>
      <c r="I155" s="1432">
        <v>0</v>
      </c>
      <c r="J155" s="1432">
        <v>0</v>
      </c>
      <c r="K155" s="1432">
        <v>0</v>
      </c>
      <c r="L155" s="1432">
        <v>0</v>
      </c>
      <c r="M155" s="1432">
        <v>0</v>
      </c>
      <c r="N155" s="1432">
        <v>0</v>
      </c>
      <c r="O155" s="1432">
        <v>0</v>
      </c>
      <c r="P155" s="1432">
        <v>0</v>
      </c>
    </row>
    <row r="156" spans="1:16" ht="14.25" hidden="1" outlineLevel="1">
      <c r="A156" s="79" t="s">
        <v>746</v>
      </c>
      <c r="B156" s="80" t="s">
        <v>1196</v>
      </c>
      <c r="C156" s="34" t="s">
        <v>1104</v>
      </c>
      <c r="D156" s="123">
        <v>0</v>
      </c>
      <c r="E156" s="123">
        <v>0</v>
      </c>
      <c r="F156" s="123">
        <v>0</v>
      </c>
      <c r="G156" s="1420">
        <v>0</v>
      </c>
      <c r="H156" s="1432">
        <v>0</v>
      </c>
      <c r="I156" s="1432">
        <v>0</v>
      </c>
      <c r="J156" s="1432">
        <v>0</v>
      </c>
      <c r="K156" s="1432">
        <v>0</v>
      </c>
      <c r="L156" s="1432">
        <v>0</v>
      </c>
      <c r="M156" s="1432">
        <v>0</v>
      </c>
      <c r="N156" s="1432">
        <v>0</v>
      </c>
      <c r="O156" s="1432">
        <v>0</v>
      </c>
      <c r="P156" s="1432">
        <v>0</v>
      </c>
    </row>
    <row r="157" spans="1:16" ht="14.25" hidden="1" outlineLevel="1">
      <c r="A157" s="79" t="s">
        <v>747</v>
      </c>
      <c r="B157" s="80" t="s">
        <v>1195</v>
      </c>
      <c r="C157" s="34" t="s">
        <v>1104</v>
      </c>
      <c r="D157" s="123">
        <v>0</v>
      </c>
      <c r="E157" s="123">
        <v>0</v>
      </c>
      <c r="F157" s="123">
        <v>0</v>
      </c>
      <c r="G157" s="1420">
        <v>0</v>
      </c>
      <c r="H157" s="1432">
        <v>0</v>
      </c>
      <c r="I157" s="1432">
        <v>0</v>
      </c>
      <c r="J157" s="1432">
        <v>0</v>
      </c>
      <c r="K157" s="1432">
        <v>0</v>
      </c>
      <c r="L157" s="1432">
        <v>0</v>
      </c>
      <c r="M157" s="1432">
        <v>0</v>
      </c>
      <c r="N157" s="1432">
        <v>0</v>
      </c>
      <c r="O157" s="1432">
        <v>0</v>
      </c>
      <c r="P157" s="1432">
        <v>0</v>
      </c>
    </row>
    <row r="158" spans="1:16" ht="27" collapsed="1">
      <c r="A158" s="79" t="s">
        <v>748</v>
      </c>
      <c r="B158" s="122" t="s">
        <v>862</v>
      </c>
      <c r="C158" s="34" t="s">
        <v>1103</v>
      </c>
      <c r="D158" s="123">
        <v>40569</v>
      </c>
      <c r="E158" s="123">
        <f>E82</f>
        <v>39616.56</v>
      </c>
      <c r="F158" s="123">
        <f>F133/F66</f>
        <v>44857</v>
      </c>
      <c r="G158" s="1420">
        <f>G133/G66</f>
        <v>44250</v>
      </c>
      <c r="H158" s="1432">
        <f aca="true" t="shared" si="23" ref="H158:P158">H133/H66</f>
        <v>47600.651</v>
      </c>
      <c r="I158" s="1432">
        <f t="shared" si="23"/>
        <v>45814</v>
      </c>
      <c r="J158" s="1432">
        <f t="shared" si="23"/>
        <v>48616.299999999996</v>
      </c>
      <c r="K158" s="1432">
        <f t="shared" si="23"/>
        <v>50540.133519</v>
      </c>
      <c r="L158" s="1432">
        <f t="shared" si="23"/>
        <v>48616.3</v>
      </c>
      <c r="M158" s="1432">
        <f t="shared" si="23"/>
        <v>51618.319053</v>
      </c>
      <c r="N158" s="1432">
        <f>N133/N66</f>
        <v>53661.170241441</v>
      </c>
      <c r="O158" s="1432">
        <f t="shared" si="23"/>
        <v>51618.319053</v>
      </c>
      <c r="P158" s="1432">
        <f t="shared" si="23"/>
        <v>54805.743986013</v>
      </c>
    </row>
    <row r="159" spans="1:16" ht="27">
      <c r="A159" s="81" t="s">
        <v>749</v>
      </c>
      <c r="B159" s="78" t="s">
        <v>1095</v>
      </c>
      <c r="C159" s="34" t="s">
        <v>217</v>
      </c>
      <c r="D159" s="456">
        <v>6213</v>
      </c>
      <c r="E159" s="456">
        <f>E133/'4.1'!L30</f>
        <v>5693.425605536332</v>
      </c>
      <c r="F159" s="456">
        <f>F133/'4.1'!T30</f>
        <v>5742.16122931442</v>
      </c>
      <c r="G159" s="1422">
        <f>G133/'4.1'!AB30</f>
        <v>5695.854983542528</v>
      </c>
      <c r="H159" s="1431">
        <f>H133/'4.1'!AJ30</f>
        <v>6127.150449813067</v>
      </c>
      <c r="I159" s="1431">
        <f>I133/'4.1'!AR30</f>
        <v>5898.294182300827</v>
      </c>
      <c r="J159" s="1431">
        <f>J133/'4.1'!AZ30</f>
        <v>6255.970136924972</v>
      </c>
      <c r="K159" s="1431">
        <f>K133/'4.1'!BM30</f>
        <v>6505.520309471258</v>
      </c>
      <c r="L159" s="1431">
        <f>L133/'4.1'!BU30</f>
        <v>6259.074506809964</v>
      </c>
      <c r="M159" s="1431">
        <f>M133/'4.1'!CC30</f>
        <v>6642.271470964129</v>
      </c>
      <c r="N159" s="1431">
        <f>N133/'4.1'!CP30</f>
        <v>6907.259805802673</v>
      </c>
      <c r="O159" s="1431">
        <f>O133/'4.1'!CX30</f>
        <v>6645.567533296762</v>
      </c>
      <c r="P159" s="1431">
        <f>P133/'4.1'!DF30</f>
        <v>7052.430927661149</v>
      </c>
    </row>
    <row r="160" ht="14.25">
      <c r="A160" s="121"/>
    </row>
    <row r="161" ht="14.25">
      <c r="A161" s="121"/>
    </row>
    <row r="162" spans="1:2" ht="14.25">
      <c r="A162" s="1"/>
      <c r="B162" t="s">
        <v>1569</v>
      </c>
    </row>
    <row r="163" spans="1:10" ht="14.25">
      <c r="A163" s="1"/>
      <c r="B163" s="377"/>
      <c r="C163" s="192"/>
      <c r="D163" s="312"/>
      <c r="E163" s="312"/>
      <c r="F163" s="192"/>
      <c r="G163" s="192"/>
      <c r="H163" s="192"/>
      <c r="I163" s="192"/>
      <c r="J163" s="192"/>
    </row>
    <row r="164" ht="14.25">
      <c r="A164" s="121"/>
    </row>
    <row r="165" ht="14.25">
      <c r="A165" s="121"/>
    </row>
    <row r="166" ht="14.25">
      <c r="A166" s="121"/>
    </row>
    <row r="167" ht="14.25">
      <c r="A167" s="121"/>
    </row>
    <row r="168" ht="14.25">
      <c r="A168" s="121"/>
    </row>
    <row r="169" ht="14.25">
      <c r="A169" s="121"/>
    </row>
    <row r="170" ht="14.25">
      <c r="A170" s="121"/>
    </row>
    <row r="171" ht="14.25">
      <c r="A171" s="121"/>
    </row>
    <row r="172" ht="14.25">
      <c r="A172" s="121"/>
    </row>
    <row r="173" ht="14.25">
      <c r="A173" s="121"/>
    </row>
    <row r="174" ht="14.25">
      <c r="A174" s="121"/>
    </row>
    <row r="175" ht="14.25">
      <c r="A175" s="121"/>
    </row>
    <row r="176" ht="14.25">
      <c r="A176" s="121"/>
    </row>
    <row r="177" ht="14.25">
      <c r="A177" s="121"/>
    </row>
    <row r="178" ht="14.25">
      <c r="A178" s="121"/>
    </row>
    <row r="179" ht="14.25">
      <c r="A179" s="121"/>
    </row>
    <row r="180" ht="14.25">
      <c r="A180" s="121"/>
    </row>
    <row r="181" ht="14.25">
      <c r="A181" s="121"/>
    </row>
    <row r="182" ht="14.25">
      <c r="A182" s="121"/>
    </row>
    <row r="183" ht="14.25">
      <c r="A183" s="121"/>
    </row>
    <row r="184" ht="14.25">
      <c r="A184" s="121"/>
    </row>
    <row r="185" ht="14.25">
      <c r="A185" s="121"/>
    </row>
    <row r="186" ht="14.25">
      <c r="A186" s="121"/>
    </row>
    <row r="187" ht="14.25">
      <c r="A187" s="121"/>
    </row>
    <row r="188" ht="14.25">
      <c r="A188" s="121"/>
    </row>
    <row r="189" ht="14.25">
      <c r="A189" s="121"/>
    </row>
    <row r="190" ht="14.25">
      <c r="A190" s="121"/>
    </row>
    <row r="191" ht="14.25">
      <c r="A191" s="121"/>
    </row>
    <row r="192" ht="14.25">
      <c r="A192" s="121"/>
    </row>
    <row r="193" ht="14.25">
      <c r="A193" s="121"/>
    </row>
    <row r="194" ht="14.25">
      <c r="A194" s="121"/>
    </row>
    <row r="195" ht="14.25">
      <c r="A195" s="121"/>
    </row>
    <row r="196" ht="14.25">
      <c r="A196" s="121"/>
    </row>
    <row r="197" ht="14.25">
      <c r="A197" s="121"/>
    </row>
    <row r="198" ht="14.25">
      <c r="A198" s="121"/>
    </row>
    <row r="199" ht="14.25">
      <c r="A199" s="121"/>
    </row>
    <row r="200" ht="14.25">
      <c r="A200" s="121"/>
    </row>
    <row r="201" ht="14.25">
      <c r="A201" s="121"/>
    </row>
    <row r="202" ht="14.25">
      <c r="A202" s="121"/>
    </row>
    <row r="203" ht="14.25">
      <c r="A203" s="121"/>
    </row>
    <row r="204" ht="14.25">
      <c r="A204" s="121"/>
    </row>
    <row r="205" ht="14.25">
      <c r="A205" s="121"/>
    </row>
    <row r="206" ht="14.25">
      <c r="A206" s="121"/>
    </row>
    <row r="207" ht="14.25">
      <c r="A207" s="121"/>
    </row>
    <row r="208" ht="14.25">
      <c r="A208" s="121"/>
    </row>
    <row r="209" ht="14.25">
      <c r="A209" s="121"/>
    </row>
    <row r="210" ht="14.25">
      <c r="A210" s="121"/>
    </row>
    <row r="211" ht="14.25">
      <c r="A211" s="121"/>
    </row>
    <row r="212" ht="14.25">
      <c r="A212" s="121"/>
    </row>
    <row r="213" ht="14.25">
      <c r="A213" s="121"/>
    </row>
    <row r="214" ht="14.25">
      <c r="A214" s="121"/>
    </row>
    <row r="215" ht="14.25">
      <c r="A215" s="121"/>
    </row>
    <row r="216" ht="14.25">
      <c r="A216" s="121"/>
    </row>
    <row r="217" ht="14.25">
      <c r="A217" s="121"/>
    </row>
    <row r="218" ht="14.25">
      <c r="A218" s="121"/>
    </row>
    <row r="219" ht="14.25">
      <c r="A219" s="121"/>
    </row>
    <row r="220" ht="14.25">
      <c r="A220" s="121"/>
    </row>
    <row r="221" ht="14.25">
      <c r="A221" s="121"/>
    </row>
    <row r="222" ht="14.25">
      <c r="A222" s="121"/>
    </row>
    <row r="223" ht="14.25">
      <c r="A223" s="121"/>
    </row>
    <row r="224" ht="14.25">
      <c r="A224" s="121"/>
    </row>
    <row r="225" ht="14.25">
      <c r="A225" s="121"/>
    </row>
    <row r="226" ht="14.25">
      <c r="A226" s="121"/>
    </row>
    <row r="227" ht="14.25">
      <c r="A227" s="121"/>
    </row>
    <row r="228" ht="14.25">
      <c r="A228" s="121"/>
    </row>
    <row r="229" ht="14.25">
      <c r="A229" s="121"/>
    </row>
    <row r="230" ht="14.25">
      <c r="A230" s="121"/>
    </row>
    <row r="231" ht="14.25">
      <c r="A231" s="121"/>
    </row>
    <row r="232" ht="14.25">
      <c r="A232" s="121"/>
    </row>
    <row r="233" ht="14.25">
      <c r="A233" s="121"/>
    </row>
    <row r="234" ht="14.25">
      <c r="A234" s="121"/>
    </row>
    <row r="235" ht="14.25">
      <c r="A235" s="121"/>
    </row>
    <row r="236" ht="14.25">
      <c r="A236" s="121"/>
    </row>
    <row r="237" ht="14.25">
      <c r="A237" s="121"/>
    </row>
    <row r="238" ht="14.25">
      <c r="A238" s="121"/>
    </row>
    <row r="239" ht="14.25">
      <c r="A239" s="121"/>
    </row>
    <row r="240" ht="14.25">
      <c r="A240" s="121"/>
    </row>
    <row r="241" ht="14.25">
      <c r="A241" s="121"/>
    </row>
    <row r="242" ht="14.25">
      <c r="A242" s="121"/>
    </row>
    <row r="243" ht="14.25">
      <c r="A243" s="121"/>
    </row>
    <row r="244" ht="14.25">
      <c r="A244" s="121"/>
    </row>
    <row r="245" ht="14.25">
      <c r="A245" s="121"/>
    </row>
    <row r="246" ht="14.25">
      <c r="A246" s="121"/>
    </row>
    <row r="247" ht="14.25">
      <c r="A247" s="121"/>
    </row>
    <row r="248" ht="14.25">
      <c r="A248" s="121"/>
    </row>
    <row r="249" ht="14.25">
      <c r="A249" s="121"/>
    </row>
    <row r="250" ht="14.25">
      <c r="A250" s="121"/>
    </row>
    <row r="251" ht="14.25">
      <c r="A251" s="121"/>
    </row>
    <row r="252" ht="14.25">
      <c r="A252" s="121"/>
    </row>
    <row r="253" ht="14.25">
      <c r="A253" s="121"/>
    </row>
    <row r="254" ht="14.25">
      <c r="A254" s="121"/>
    </row>
    <row r="255" ht="14.25">
      <c r="A255" s="121"/>
    </row>
    <row r="256" ht="14.25">
      <c r="A256" s="121"/>
    </row>
    <row r="257" ht="14.25">
      <c r="A257" s="121"/>
    </row>
    <row r="258" ht="14.25">
      <c r="A258" s="121"/>
    </row>
    <row r="259" ht="14.25">
      <c r="A259" s="121"/>
    </row>
    <row r="260" ht="14.25">
      <c r="A260" s="121"/>
    </row>
    <row r="261" ht="14.25">
      <c r="A261" s="121"/>
    </row>
    <row r="262" ht="14.25">
      <c r="A262" s="121"/>
    </row>
    <row r="263" ht="14.25">
      <c r="A263" s="121"/>
    </row>
    <row r="264" ht="14.25">
      <c r="A264" s="121"/>
    </row>
    <row r="265" ht="14.25">
      <c r="A265" s="121"/>
    </row>
    <row r="266" ht="14.25">
      <c r="A266" s="121"/>
    </row>
    <row r="267" ht="14.25">
      <c r="A267" s="121"/>
    </row>
    <row r="268" ht="14.25">
      <c r="A268" s="121"/>
    </row>
    <row r="269" ht="14.25">
      <c r="A269" s="121"/>
    </row>
    <row r="270" ht="14.25">
      <c r="A270" s="121"/>
    </row>
    <row r="271" ht="14.25">
      <c r="A271" s="121"/>
    </row>
    <row r="272" ht="14.25">
      <c r="A272" s="121"/>
    </row>
    <row r="273" ht="14.25">
      <c r="A273" s="121"/>
    </row>
    <row r="274" ht="14.25">
      <c r="A274" s="121"/>
    </row>
    <row r="275" ht="14.25">
      <c r="A275" s="121"/>
    </row>
    <row r="276" ht="14.25">
      <c r="A276" s="121"/>
    </row>
    <row r="277" ht="14.25">
      <c r="A277" s="121"/>
    </row>
    <row r="278" ht="14.25">
      <c r="A278" s="121"/>
    </row>
    <row r="279" ht="14.25">
      <c r="A279" s="121"/>
    </row>
    <row r="280" ht="14.25">
      <c r="A280" s="121"/>
    </row>
    <row r="281" ht="14.25">
      <c r="A281" s="121"/>
    </row>
    <row r="282" ht="14.25">
      <c r="A282" s="121"/>
    </row>
    <row r="283" ht="14.25">
      <c r="A283" s="121"/>
    </row>
    <row r="284" ht="14.25">
      <c r="A284" s="121"/>
    </row>
    <row r="285" ht="14.25">
      <c r="A285" s="121"/>
    </row>
    <row r="286" ht="14.25">
      <c r="A286" s="121"/>
    </row>
    <row r="287" ht="14.25">
      <c r="A287" s="121"/>
    </row>
    <row r="288" ht="14.25">
      <c r="A288" s="121"/>
    </row>
    <row r="289" ht="14.25">
      <c r="A289" s="121"/>
    </row>
    <row r="290" ht="14.25">
      <c r="A290" s="121"/>
    </row>
    <row r="291" ht="14.25">
      <c r="A291" s="121"/>
    </row>
    <row r="292" ht="14.25">
      <c r="A292" s="121"/>
    </row>
    <row r="293" ht="14.25">
      <c r="A293" s="121"/>
    </row>
    <row r="294" ht="14.25">
      <c r="A294" s="121"/>
    </row>
    <row r="295" ht="14.25">
      <c r="A295" s="121"/>
    </row>
    <row r="296" ht="14.25">
      <c r="A296" s="121"/>
    </row>
    <row r="297" ht="14.25">
      <c r="A297" s="121"/>
    </row>
    <row r="298" ht="14.25">
      <c r="A298" s="121"/>
    </row>
    <row r="299" ht="14.25">
      <c r="A299" s="121"/>
    </row>
    <row r="300" ht="14.25">
      <c r="A300" s="121"/>
    </row>
    <row r="301" ht="14.25">
      <c r="A301" s="121"/>
    </row>
    <row r="302" ht="14.25">
      <c r="A302" s="121"/>
    </row>
    <row r="303" ht="14.25">
      <c r="A303" s="121"/>
    </row>
    <row r="304" ht="14.25">
      <c r="A304" s="121"/>
    </row>
    <row r="305" ht="14.25">
      <c r="A305" s="121"/>
    </row>
    <row r="306" ht="14.25">
      <c r="A306" s="121"/>
    </row>
    <row r="307" ht="14.25">
      <c r="A307" s="121"/>
    </row>
    <row r="308" ht="14.25">
      <c r="A308" s="121"/>
    </row>
    <row r="309" ht="14.25">
      <c r="A309" s="121"/>
    </row>
    <row r="310" ht="14.25">
      <c r="A310" s="121"/>
    </row>
    <row r="311" ht="14.25">
      <c r="A311" s="121"/>
    </row>
    <row r="312" ht="14.25">
      <c r="A312" s="121"/>
    </row>
  </sheetData>
  <sheetProtection/>
  <protectedRanges>
    <protectedRange password="CC01" sqref="N1:O1" name="Диапазон1_1"/>
  </protectedRanges>
  <autoFilter ref="A8:J159"/>
  <mergeCells count="14">
    <mergeCell ref="N7:P7"/>
    <mergeCell ref="H6:P6"/>
    <mergeCell ref="L1:M1"/>
    <mergeCell ref="A6:A8"/>
    <mergeCell ref="B6:B8"/>
    <mergeCell ref="C6:C8"/>
    <mergeCell ref="E7:E8"/>
    <mergeCell ref="K7:M7"/>
    <mergeCell ref="F7:F8"/>
    <mergeCell ref="G7:G8"/>
    <mergeCell ref="A4:J4"/>
    <mergeCell ref="H7:J7"/>
    <mergeCell ref="D7:D8"/>
    <mergeCell ref="D6:G6"/>
  </mergeCells>
  <printOptions/>
  <pageMargins left="0.5905511811023623" right="0.35433070866141736" top="0.4330708661417323" bottom="0.5118110236220472" header="0.31496062992125984" footer="0.31496062992125984"/>
  <pageSetup fitToHeight="2" fitToWidth="1" horizontalDpi="600" verticalDpi="600" orientation="portrait" paperSize="9" scale="55" r:id="rId3"/>
  <ignoredErrors>
    <ignoredError sqref="A10:A12 A14 A16:A37 A41:A46 A50:A54 A58:A62 A66:A70 A74:A78 A82:A86 A90:A95 A108:A111 A115:A119 A132:A136 A100" numberStoredAsText="1"/>
    <ignoredError sqref="A13 A15 A38:A40 A47:A49 A55:A57 A63:A65 A71:A73 A79:A81 A87:A89 A96:A97 A106:A107 A112:A114 A120:A131 A137:A159" numberStoredAsText="1" twoDigitTextYear="1"/>
    <ignoredError sqref="A98:A99 A104:A105" twoDigitTextYear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9"/>
  <sheetViews>
    <sheetView zoomScaleSheetLayoutView="100" zoomScalePageLayoutView="0" workbookViewId="0" topLeftCell="A1">
      <pane xSplit="3" ySplit="8" topLeftCell="D9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V37" sqref="V37"/>
    </sheetView>
  </sheetViews>
  <sheetFormatPr defaultColWidth="9.140625" defaultRowHeight="15" outlineLevelRow="1" outlineLevelCol="1"/>
  <cols>
    <col min="1" max="1" width="3.57421875" style="210" hidden="1" customWidth="1"/>
    <col min="2" max="2" width="12.00390625" style="1" customWidth="1"/>
    <col min="3" max="3" width="25.8515625" style="1" customWidth="1"/>
    <col min="4" max="6" width="9.140625" style="1" customWidth="1"/>
    <col min="7" max="7" width="9.28125" style="1" customWidth="1"/>
    <col min="8" max="11" width="9.28125" style="1" hidden="1" customWidth="1" outlineLevel="1"/>
    <col min="12" max="12" width="12.28125" style="1" customWidth="1" collapsed="1"/>
    <col min="13" max="13" width="9.140625" style="1" customWidth="1"/>
    <col min="14" max="14" width="10.140625" style="1" bestFit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1:19" ht="12.75" hidden="1">
      <c r="A1" s="210">
        <v>1</v>
      </c>
      <c r="B1" s="210">
        <v>2</v>
      </c>
      <c r="C1" s="210">
        <v>3</v>
      </c>
      <c r="D1" s="210">
        <v>4</v>
      </c>
      <c r="E1" s="210">
        <v>5</v>
      </c>
      <c r="F1" s="210">
        <v>6</v>
      </c>
      <c r="G1" s="210">
        <v>7</v>
      </c>
      <c r="H1" s="210">
        <v>8</v>
      </c>
      <c r="I1" s="210">
        <v>9</v>
      </c>
      <c r="J1" s="210">
        <v>10</v>
      </c>
      <c r="K1" s="210">
        <v>11</v>
      </c>
      <c r="L1" s="210">
        <v>12</v>
      </c>
      <c r="M1" s="210">
        <v>13</v>
      </c>
      <c r="N1" s="210">
        <v>14</v>
      </c>
      <c r="O1" s="210">
        <v>15</v>
      </c>
      <c r="P1" s="210">
        <v>16</v>
      </c>
      <c r="Q1" s="210">
        <v>17</v>
      </c>
      <c r="R1" s="210">
        <v>18</v>
      </c>
      <c r="S1" s="210">
        <v>19</v>
      </c>
    </row>
    <row r="2" spans="2:19" ht="15.75" customHeight="1">
      <c r="B2" s="52" t="s">
        <v>699</v>
      </c>
      <c r="C2" s="52"/>
      <c r="D2" s="52"/>
      <c r="E2" s="52"/>
      <c r="F2" s="52"/>
      <c r="G2" s="52"/>
      <c r="H2" s="52"/>
      <c r="I2" s="52"/>
      <c r="J2" s="52"/>
      <c r="K2" s="52"/>
      <c r="L2" s="52"/>
      <c r="S2" s="2" t="s">
        <v>1106</v>
      </c>
    </row>
    <row r="3" spans="2:20" ht="15" customHeight="1">
      <c r="B3" s="52" t="s">
        <v>700</v>
      </c>
      <c r="C3" s="52"/>
      <c r="D3" s="52"/>
      <c r="E3" s="52"/>
      <c r="F3" s="52"/>
      <c r="G3" s="52"/>
      <c r="H3" s="52"/>
      <c r="I3" s="52"/>
      <c r="J3" s="52"/>
      <c r="K3" s="52"/>
      <c r="L3" s="52"/>
      <c r="S3" s="514"/>
      <c r="T3" s="513"/>
    </row>
    <row r="5" spans="2:19" ht="16.5">
      <c r="B5" s="2181" t="s">
        <v>693</v>
      </c>
      <c r="C5" s="2181"/>
      <c r="D5" s="2181"/>
      <c r="E5" s="2181"/>
      <c r="F5" s="2181"/>
      <c r="G5" s="2181"/>
      <c r="H5" s="2181"/>
      <c r="I5" s="2181"/>
      <c r="J5" s="2181"/>
      <c r="K5" s="2181"/>
      <c r="L5" s="2181"/>
      <c r="M5" s="2181"/>
      <c r="N5" s="2181"/>
      <c r="O5" s="2181"/>
      <c r="P5" s="2181"/>
      <c r="Q5" s="2181"/>
      <c r="R5" s="2181"/>
      <c r="S5" s="2181"/>
    </row>
    <row r="6" ht="13.5">
      <c r="B6" s="306" t="str">
        <f>'4.1'!B6</f>
        <v>Усть-Камчатское муниципальное образование</v>
      </c>
    </row>
    <row r="7" spans="2:19" ht="24" customHeight="1">
      <c r="B7" s="2182" t="s">
        <v>61</v>
      </c>
      <c r="C7" s="2184" t="s">
        <v>62</v>
      </c>
      <c r="D7" s="2175" t="s">
        <v>694</v>
      </c>
      <c r="E7" s="2176"/>
      <c r="F7" s="2177"/>
      <c r="G7" s="2175" t="s">
        <v>1219</v>
      </c>
      <c r="H7" s="2176"/>
      <c r="I7" s="2176"/>
      <c r="J7" s="2176"/>
      <c r="K7" s="2176"/>
      <c r="L7" s="2176"/>
      <c r="M7" s="2177"/>
      <c r="N7" s="2175" t="s">
        <v>695</v>
      </c>
      <c r="O7" s="2176"/>
      <c r="P7" s="2177"/>
      <c r="Q7" s="2175" t="s">
        <v>696</v>
      </c>
      <c r="R7" s="2176"/>
      <c r="S7" s="2177"/>
    </row>
    <row r="8" spans="2:19" ht="63.75">
      <c r="B8" s="2183"/>
      <c r="C8" s="2185"/>
      <c r="D8" s="169" t="s">
        <v>697</v>
      </c>
      <c r="E8" s="169" t="s">
        <v>698</v>
      </c>
      <c r="F8" s="169" t="s">
        <v>1658</v>
      </c>
      <c r="G8" s="169" t="s">
        <v>1217</v>
      </c>
      <c r="H8" s="169" t="s">
        <v>63</v>
      </c>
      <c r="I8" s="169" t="s">
        <v>64</v>
      </c>
      <c r="J8" s="169" t="s">
        <v>65</v>
      </c>
      <c r="K8" s="169" t="s">
        <v>66</v>
      </c>
      <c r="L8" s="169" t="s">
        <v>67</v>
      </c>
      <c r="M8" s="169" t="s">
        <v>1658</v>
      </c>
      <c r="N8" s="169" t="s">
        <v>1217</v>
      </c>
      <c r="O8" s="169" t="s">
        <v>698</v>
      </c>
      <c r="P8" s="169" t="s">
        <v>1658</v>
      </c>
      <c r="Q8" s="169" t="s">
        <v>697</v>
      </c>
      <c r="R8" s="169" t="s">
        <v>698</v>
      </c>
      <c r="S8" s="169" t="s">
        <v>1658</v>
      </c>
    </row>
    <row r="9" spans="2:19" ht="13.5">
      <c r="B9" s="9">
        <v>1</v>
      </c>
      <c r="C9" s="160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</row>
    <row r="10" spans="2:19" ht="16.5" customHeight="1" hidden="1">
      <c r="B10" s="2178" t="s">
        <v>1659</v>
      </c>
      <c r="C10" s="2179"/>
      <c r="D10" s="2179"/>
      <c r="E10" s="2179"/>
      <c r="F10" s="2179"/>
      <c r="G10" s="2179"/>
      <c r="H10" s="2179"/>
      <c r="I10" s="2179"/>
      <c r="J10" s="2179"/>
      <c r="K10" s="2179"/>
      <c r="L10" s="2179"/>
      <c r="M10" s="2179"/>
      <c r="N10" s="2179"/>
      <c r="O10" s="2179"/>
      <c r="P10" s="2179"/>
      <c r="Q10" s="2179"/>
      <c r="R10" s="2179"/>
      <c r="S10" s="2180"/>
    </row>
    <row r="11" spans="2:19" ht="15" customHeight="1" hidden="1">
      <c r="B11" s="2173" t="s">
        <v>69</v>
      </c>
      <c r="C11" s="2173"/>
      <c r="D11" s="2173"/>
      <c r="E11" s="2173"/>
      <c r="F11" s="2173"/>
      <c r="G11" s="2173"/>
      <c r="H11" s="2173"/>
      <c r="I11" s="2173"/>
      <c r="J11" s="2173"/>
      <c r="K11" s="2173"/>
      <c r="L11" s="2173"/>
      <c r="M11" s="2173"/>
      <c r="N11" s="2173"/>
      <c r="O11" s="2173"/>
      <c r="P11" s="2173"/>
      <c r="Q11" s="2173"/>
      <c r="R11" s="2173"/>
      <c r="S11" s="2174"/>
    </row>
    <row r="12" spans="1:19" ht="13.5" hidden="1">
      <c r="A12" s="210">
        <v>1</v>
      </c>
      <c r="B12" s="9"/>
      <c r="C12" s="171" t="s">
        <v>813</v>
      </c>
      <c r="D12" s="313">
        <v>0</v>
      </c>
      <c r="E12" s="314">
        <v>0</v>
      </c>
      <c r="F12" s="31">
        <f>D12*E12</f>
        <v>0</v>
      </c>
      <c r="G12" s="314">
        <v>247</v>
      </c>
      <c r="H12" s="31"/>
      <c r="I12" s="31"/>
      <c r="J12" s="31"/>
      <c r="K12" s="31"/>
      <c r="L12" s="314">
        <v>40569</v>
      </c>
      <c r="M12" s="31">
        <v>10026</v>
      </c>
      <c r="N12" s="31">
        <v>247</v>
      </c>
      <c r="O12" s="314">
        <v>40569</v>
      </c>
      <c r="P12" s="31">
        <v>10026</v>
      </c>
      <c r="Q12" s="172">
        <f>D12+G12/1000-N12/1000</f>
        <v>0</v>
      </c>
      <c r="R12" s="31">
        <v>0</v>
      </c>
      <c r="S12" s="31">
        <f>F12+M12-P12</f>
        <v>0</v>
      </c>
    </row>
    <row r="13" spans="2:19" ht="13.5" hidden="1">
      <c r="B13" s="170" t="s">
        <v>421</v>
      </c>
      <c r="C13" s="171"/>
      <c r="D13" s="173">
        <f>SUM(D12:D12)</f>
        <v>0</v>
      </c>
      <c r="E13" s="174"/>
      <c r="F13" s="174">
        <f>SUM(F12:F12)</f>
        <v>0</v>
      </c>
      <c r="G13" s="174">
        <f>SUM(G12:G12)</f>
        <v>247</v>
      </c>
      <c r="H13" s="174"/>
      <c r="I13" s="174"/>
      <c r="J13" s="174"/>
      <c r="K13" s="174"/>
      <c r="L13" s="174"/>
      <c r="M13" s="174">
        <f>SUM(M12:M12)</f>
        <v>10026</v>
      </c>
      <c r="N13" s="174">
        <f>SUM(N12:N12)</f>
        <v>247</v>
      </c>
      <c r="O13" s="174"/>
      <c r="P13" s="174">
        <f>SUM(P12:P12)</f>
        <v>10026</v>
      </c>
      <c r="Q13" s="173">
        <f>SUM(Q12:Q12)</f>
        <v>0</v>
      </c>
      <c r="R13" s="174">
        <f>O13</f>
        <v>0</v>
      </c>
      <c r="S13" s="174">
        <f>F13+M13-P13</f>
        <v>0</v>
      </c>
    </row>
    <row r="14" spans="2:19" ht="15" customHeight="1" hidden="1">
      <c r="B14" s="2172" t="s">
        <v>1139</v>
      </c>
      <c r="C14" s="2173"/>
      <c r="D14" s="2173"/>
      <c r="E14" s="2173"/>
      <c r="F14" s="2173"/>
      <c r="G14" s="2173"/>
      <c r="H14" s="2173"/>
      <c r="I14" s="2173"/>
      <c r="J14" s="2173"/>
      <c r="K14" s="2173"/>
      <c r="L14" s="2173"/>
      <c r="M14" s="2173"/>
      <c r="N14" s="2173"/>
      <c r="O14" s="2173"/>
      <c r="P14" s="2173"/>
      <c r="Q14" s="2173"/>
      <c r="R14" s="2173"/>
      <c r="S14" s="2174"/>
    </row>
    <row r="15" spans="1:19" ht="13.5" hidden="1">
      <c r="A15" s="210">
        <v>1</v>
      </c>
      <c r="B15" s="9"/>
      <c r="C15" s="171" t="s">
        <v>813</v>
      </c>
      <c r="D15" s="313">
        <v>0</v>
      </c>
      <c r="E15" s="314">
        <v>0</v>
      </c>
      <c r="F15" s="31">
        <f>D15*E15</f>
        <v>0</v>
      </c>
      <c r="G15" s="314">
        <f>'4.4'!E59*1000</f>
        <v>207.66000000000003</v>
      </c>
      <c r="H15" s="31"/>
      <c r="I15" s="31"/>
      <c r="J15" s="31"/>
      <c r="K15" s="31"/>
      <c r="L15" s="314">
        <f>'4.4'!E158</f>
        <v>39616.56</v>
      </c>
      <c r="M15" s="31">
        <v>8227</v>
      </c>
      <c r="N15" s="31">
        <f>G15</f>
        <v>207.66000000000003</v>
      </c>
      <c r="O15" s="314">
        <f>L15</f>
        <v>39616.56</v>
      </c>
      <c r="P15" s="31">
        <v>8227</v>
      </c>
      <c r="Q15" s="172">
        <f>D15+G15/1000-N15/1000</f>
        <v>0</v>
      </c>
      <c r="R15" s="31">
        <v>0</v>
      </c>
      <c r="S15" s="31">
        <f>F15+M15-P15</f>
        <v>0</v>
      </c>
    </row>
    <row r="16" spans="2:19" ht="13.5" hidden="1">
      <c r="B16" s="170" t="s">
        <v>421</v>
      </c>
      <c r="C16" s="171"/>
      <c r="D16" s="173">
        <f>SUM(D15:D15)</f>
        <v>0</v>
      </c>
      <c r="E16" s="174"/>
      <c r="F16" s="174">
        <f>SUM(F15:F15)</f>
        <v>0</v>
      </c>
      <c r="G16" s="174">
        <f>SUM(G15:G15)</f>
        <v>207.66000000000003</v>
      </c>
      <c r="H16" s="174"/>
      <c r="I16" s="174"/>
      <c r="J16" s="174"/>
      <c r="K16" s="174"/>
      <c r="L16" s="174">
        <v>0</v>
      </c>
      <c r="M16" s="174">
        <f>SUM(M15:M15)</f>
        <v>8227</v>
      </c>
      <c r="N16" s="174">
        <f>SUM(N15:N15)</f>
        <v>207.66000000000003</v>
      </c>
      <c r="O16" s="174">
        <v>0</v>
      </c>
      <c r="P16" s="174">
        <f>SUM(P15:P15)</f>
        <v>8227</v>
      </c>
      <c r="Q16" s="173">
        <f>SUM(Q15:Q15)</f>
        <v>0</v>
      </c>
      <c r="R16" s="174">
        <v>0</v>
      </c>
      <c r="S16" s="174">
        <f>F16+M16-P16</f>
        <v>0</v>
      </c>
    </row>
    <row r="17" spans="2:19" ht="15" customHeight="1" hidden="1">
      <c r="B17" s="2173" t="s">
        <v>1138</v>
      </c>
      <c r="C17" s="2173"/>
      <c r="D17" s="2173"/>
      <c r="E17" s="2173"/>
      <c r="F17" s="2173"/>
      <c r="G17" s="2173"/>
      <c r="H17" s="2173"/>
      <c r="I17" s="2173"/>
      <c r="J17" s="2173"/>
      <c r="K17" s="2173"/>
      <c r="L17" s="2173"/>
      <c r="M17" s="2173"/>
      <c r="N17" s="2173"/>
      <c r="O17" s="2173"/>
      <c r="P17" s="2173"/>
      <c r="Q17" s="2173"/>
      <c r="R17" s="2173"/>
      <c r="S17" s="2174"/>
    </row>
    <row r="18" spans="1:19" ht="15" customHeight="1" hidden="1">
      <c r="A18" s="210">
        <v>2</v>
      </c>
      <c r="B18" s="176"/>
      <c r="C18" s="171" t="s">
        <v>813</v>
      </c>
      <c r="D18" s="313">
        <v>0</v>
      </c>
      <c r="E18" s="314">
        <v>0</v>
      </c>
      <c r="F18" s="31">
        <f>D18*E18</f>
        <v>0</v>
      </c>
      <c r="G18" s="314">
        <v>241</v>
      </c>
      <c r="H18" s="31"/>
      <c r="I18" s="31"/>
      <c r="J18" s="31"/>
      <c r="K18" s="31"/>
      <c r="L18" s="314">
        <v>42374</v>
      </c>
      <c r="M18" s="31">
        <v>10194</v>
      </c>
      <c r="N18" s="459">
        <v>241</v>
      </c>
      <c r="O18" s="460">
        <v>42374</v>
      </c>
      <c r="P18" s="459">
        <v>10194</v>
      </c>
      <c r="Q18" s="459">
        <v>0</v>
      </c>
      <c r="R18" s="459">
        <v>0</v>
      </c>
      <c r="S18" s="459">
        <f>F18+M18-P18</f>
        <v>0</v>
      </c>
    </row>
    <row r="19" spans="2:19" ht="15" customHeight="1" hidden="1">
      <c r="B19" s="175" t="s">
        <v>421</v>
      </c>
      <c r="C19" s="171"/>
      <c r="D19" s="173">
        <f>SUM(D18:D18)</f>
        <v>0</v>
      </c>
      <c r="E19" s="174">
        <v>0</v>
      </c>
      <c r="F19" s="174">
        <f>SUM(F18:F18)</f>
        <v>0</v>
      </c>
      <c r="G19" s="174">
        <f>SUM(G18:G18)</f>
        <v>241</v>
      </c>
      <c r="H19" s="174"/>
      <c r="I19" s="174"/>
      <c r="J19" s="174"/>
      <c r="K19" s="174"/>
      <c r="L19" s="174">
        <v>0</v>
      </c>
      <c r="M19" s="174">
        <f>SUM(M18:M18)</f>
        <v>10194</v>
      </c>
      <c r="N19" s="461">
        <f>N18</f>
        <v>241</v>
      </c>
      <c r="O19" s="461">
        <v>0</v>
      </c>
      <c r="P19" s="461">
        <f>P18</f>
        <v>10194</v>
      </c>
      <c r="Q19" s="461">
        <v>0</v>
      </c>
      <c r="R19" s="461">
        <v>0</v>
      </c>
      <c r="S19" s="461">
        <v>0</v>
      </c>
    </row>
    <row r="20" spans="2:19" ht="15" customHeight="1" hidden="1">
      <c r="B20" s="2172" t="s">
        <v>1140</v>
      </c>
      <c r="C20" s="2173"/>
      <c r="D20" s="2173"/>
      <c r="E20" s="2173"/>
      <c r="F20" s="2173"/>
      <c r="G20" s="2173"/>
      <c r="H20" s="2173"/>
      <c r="I20" s="2173"/>
      <c r="J20" s="2173"/>
      <c r="K20" s="2173"/>
      <c r="L20" s="2173"/>
      <c r="M20" s="2173"/>
      <c r="N20" s="2173"/>
      <c r="O20" s="2173"/>
      <c r="P20" s="2173"/>
      <c r="Q20" s="2173"/>
      <c r="R20" s="2173"/>
      <c r="S20" s="2174"/>
    </row>
    <row r="21" spans="1:20" ht="15" customHeight="1" hidden="1">
      <c r="A21" s="210">
        <v>3</v>
      </c>
      <c r="B21" s="175"/>
      <c r="C21" s="28" t="s">
        <v>814</v>
      </c>
      <c r="D21" s="174">
        <v>0</v>
      </c>
      <c r="E21" s="174">
        <v>0</v>
      </c>
      <c r="F21" s="174">
        <v>0</v>
      </c>
      <c r="G21" s="174">
        <f>'4.4'!G66*1000</f>
        <v>122.52459849004805</v>
      </c>
      <c r="H21" s="174">
        <v>0</v>
      </c>
      <c r="I21" s="174">
        <v>0</v>
      </c>
      <c r="J21" s="174">
        <v>0</v>
      </c>
      <c r="K21" s="174">
        <v>0</v>
      </c>
      <c r="L21" s="174">
        <f>'4.4'!G151</f>
        <v>44250</v>
      </c>
      <c r="M21" s="174">
        <f>'4.4'!G133</f>
        <v>5421.713483184626</v>
      </c>
      <c r="N21" s="174">
        <f>G21</f>
        <v>122.52459849004805</v>
      </c>
      <c r="O21" s="174">
        <f>L21</f>
        <v>44250</v>
      </c>
      <c r="P21" s="174">
        <f>M21</f>
        <v>5421.713483184626</v>
      </c>
      <c r="Q21" s="174">
        <v>0</v>
      </c>
      <c r="R21" s="174">
        <v>0</v>
      </c>
      <c r="S21" s="174">
        <v>0</v>
      </c>
      <c r="T21" s="184"/>
    </row>
    <row r="22" spans="2:19" ht="15" customHeight="1" hidden="1">
      <c r="B22" s="9"/>
      <c r="C22" s="177" t="s">
        <v>271</v>
      </c>
      <c r="D22" s="31">
        <v>0</v>
      </c>
      <c r="E22" s="31">
        <v>0</v>
      </c>
      <c r="F22" s="31">
        <v>0</v>
      </c>
      <c r="G22" s="31">
        <f>G28</f>
        <v>75.57815513110843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f>N28</f>
        <v>75.57815513110843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2:19" ht="13.5" hidden="1">
      <c r="B23" s="9"/>
      <c r="C23" s="178" t="s">
        <v>272</v>
      </c>
      <c r="D23" s="31">
        <v>0</v>
      </c>
      <c r="E23" s="31">
        <v>0</v>
      </c>
      <c r="F23" s="31">
        <v>0</v>
      </c>
      <c r="G23" s="31">
        <f>G29</f>
        <v>46.94641093370968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f>N29</f>
        <v>46.94641093370968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2:19" ht="15" customHeight="1" hidden="1">
      <c r="B24" s="175" t="s">
        <v>421</v>
      </c>
      <c r="C24" s="171"/>
      <c r="D24" s="174">
        <v>0</v>
      </c>
      <c r="E24" s="174">
        <v>0</v>
      </c>
      <c r="F24" s="174">
        <v>0</v>
      </c>
      <c r="G24" s="174">
        <f>G21</f>
        <v>122.52459849004805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f>M21</f>
        <v>5421.713483184626</v>
      </c>
      <c r="N24" s="174">
        <f>N21</f>
        <v>122.52459849004805</v>
      </c>
      <c r="O24" s="174">
        <v>0</v>
      </c>
      <c r="P24" s="174">
        <f>P21</f>
        <v>5421.713483184626</v>
      </c>
      <c r="Q24" s="174">
        <v>0</v>
      </c>
      <c r="R24" s="174">
        <v>0</v>
      </c>
      <c r="S24" s="174">
        <v>0</v>
      </c>
    </row>
    <row r="25" spans="2:19" ht="15.75" customHeight="1">
      <c r="B25" s="2178" t="s">
        <v>1661</v>
      </c>
      <c r="C25" s="2179"/>
      <c r="D25" s="2179"/>
      <c r="E25" s="2179"/>
      <c r="F25" s="2179"/>
      <c r="G25" s="2179"/>
      <c r="H25" s="2179"/>
      <c r="I25" s="2179"/>
      <c r="J25" s="2179"/>
      <c r="K25" s="2179"/>
      <c r="L25" s="2179"/>
      <c r="M25" s="2179"/>
      <c r="N25" s="2179"/>
      <c r="O25" s="2179"/>
      <c r="P25" s="2179"/>
      <c r="Q25" s="2179"/>
      <c r="R25" s="2179"/>
      <c r="S25" s="2180"/>
    </row>
    <row r="26" spans="2:19" ht="15" customHeight="1">
      <c r="B26" s="2172" t="s">
        <v>811</v>
      </c>
      <c r="C26" s="2173"/>
      <c r="D26" s="2173"/>
      <c r="E26" s="2173"/>
      <c r="F26" s="2173"/>
      <c r="G26" s="2173"/>
      <c r="H26" s="2173"/>
      <c r="I26" s="2173"/>
      <c r="J26" s="2173"/>
      <c r="K26" s="2173"/>
      <c r="L26" s="2173"/>
      <c r="M26" s="2173"/>
      <c r="N26" s="2173"/>
      <c r="O26" s="2173"/>
      <c r="P26" s="2173"/>
      <c r="Q26" s="2173"/>
      <c r="R26" s="2173"/>
      <c r="S26" s="2174"/>
    </row>
    <row r="27" spans="1:19" ht="15" customHeight="1">
      <c r="A27" s="210">
        <v>4</v>
      </c>
      <c r="B27" s="9"/>
      <c r="C27" s="28" t="s">
        <v>814</v>
      </c>
      <c r="D27" s="174">
        <v>0</v>
      </c>
      <c r="E27" s="174">
        <v>0</v>
      </c>
      <c r="F27" s="174">
        <v>0</v>
      </c>
      <c r="G27" s="174">
        <f>G28+G29</f>
        <v>122.52456606481812</v>
      </c>
      <c r="H27" s="174">
        <v>0</v>
      </c>
      <c r="I27" s="174">
        <v>0</v>
      </c>
      <c r="J27" s="174">
        <v>0</v>
      </c>
      <c r="K27" s="174">
        <v>0</v>
      </c>
      <c r="L27" s="174">
        <f>'4.4'!H151</f>
        <v>47600.651</v>
      </c>
      <c r="M27" s="174">
        <f>'4.4'!H133</f>
        <v>5832.249108177851</v>
      </c>
      <c r="N27" s="174">
        <f>N28+N29</f>
        <v>122.52456606481812</v>
      </c>
      <c r="O27" s="174">
        <f aca="true" t="shared" si="0" ref="O27:P29">L27</f>
        <v>47600.651</v>
      </c>
      <c r="P27" s="174">
        <f t="shared" si="0"/>
        <v>5832.249108177851</v>
      </c>
      <c r="Q27" s="174">
        <v>0</v>
      </c>
      <c r="R27" s="174">
        <v>0</v>
      </c>
      <c r="S27" s="174">
        <v>0</v>
      </c>
    </row>
    <row r="28" spans="2:19" ht="15" customHeight="1">
      <c r="B28" s="9"/>
      <c r="C28" s="177" t="s">
        <v>271</v>
      </c>
      <c r="D28" s="31">
        <v>0</v>
      </c>
      <c r="E28" s="31">
        <v>0</v>
      </c>
      <c r="F28" s="31">
        <v>0</v>
      </c>
      <c r="G28" s="31">
        <f>'4.4'!I66*1000</f>
        <v>75.57815513110843</v>
      </c>
      <c r="H28" s="31">
        <v>0</v>
      </c>
      <c r="I28" s="31">
        <v>0</v>
      </c>
      <c r="J28" s="31">
        <v>0</v>
      </c>
      <c r="K28" s="31">
        <v>0</v>
      </c>
      <c r="L28" s="31">
        <f>'4.4'!I151</f>
        <v>45814</v>
      </c>
      <c r="M28" s="31">
        <f>'4.4'!I133</f>
        <v>3462.537599176602</v>
      </c>
      <c r="N28" s="31">
        <f>G28</f>
        <v>75.57815513110843</v>
      </c>
      <c r="O28" s="31">
        <f t="shared" si="0"/>
        <v>45814</v>
      </c>
      <c r="P28" s="31">
        <f t="shared" si="0"/>
        <v>3462.537599176602</v>
      </c>
      <c r="Q28" s="31">
        <v>0</v>
      </c>
      <c r="R28" s="31">
        <v>0</v>
      </c>
      <c r="S28" s="31">
        <v>0</v>
      </c>
    </row>
    <row r="29" spans="2:19" ht="15" customHeight="1">
      <c r="B29" s="9"/>
      <c r="C29" s="178" t="s">
        <v>272</v>
      </c>
      <c r="D29" s="31">
        <v>0</v>
      </c>
      <c r="E29" s="31">
        <v>0</v>
      </c>
      <c r="F29" s="31">
        <v>0</v>
      </c>
      <c r="G29" s="31">
        <f>'4.4'!J66*1000</f>
        <v>46.94641093370968</v>
      </c>
      <c r="H29" s="31">
        <v>0</v>
      </c>
      <c r="I29" s="31">
        <v>0</v>
      </c>
      <c r="J29" s="31">
        <v>0</v>
      </c>
      <c r="K29" s="31">
        <v>0</v>
      </c>
      <c r="L29" s="31">
        <f>'4.4'!J151</f>
        <v>48616.299999999996</v>
      </c>
      <c r="M29" s="31">
        <f>'4.4'!J133</f>
        <v>2282.36079787651</v>
      </c>
      <c r="N29" s="31">
        <f>G29</f>
        <v>46.94641093370968</v>
      </c>
      <c r="O29" s="31">
        <f t="shared" si="0"/>
        <v>48616.299999999996</v>
      </c>
      <c r="P29" s="31">
        <f t="shared" si="0"/>
        <v>2282.36079787651</v>
      </c>
      <c r="Q29" s="31">
        <v>0</v>
      </c>
      <c r="R29" s="31">
        <v>0</v>
      </c>
      <c r="S29" s="31">
        <v>0</v>
      </c>
    </row>
    <row r="30" spans="2:19" ht="15" customHeight="1">
      <c r="B30" s="175" t="s">
        <v>421</v>
      </c>
      <c r="C30" s="171"/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</row>
    <row r="31" spans="2:19" ht="13.5">
      <c r="B31" s="2172" t="s">
        <v>812</v>
      </c>
      <c r="C31" s="2173"/>
      <c r="D31" s="2173"/>
      <c r="E31" s="2173"/>
      <c r="F31" s="2173"/>
      <c r="G31" s="2173"/>
      <c r="H31" s="2173"/>
      <c r="I31" s="2173"/>
      <c r="J31" s="2173"/>
      <c r="K31" s="2173"/>
      <c r="L31" s="2173"/>
      <c r="M31" s="2173"/>
      <c r="N31" s="2173"/>
      <c r="O31" s="2173"/>
      <c r="P31" s="2173"/>
      <c r="Q31" s="2173"/>
      <c r="R31" s="2173"/>
      <c r="S31" s="2174"/>
    </row>
    <row r="32" spans="2:19" ht="13.5">
      <c r="B32" s="9"/>
      <c r="C32" s="28" t="s">
        <v>814</v>
      </c>
      <c r="D32" s="174">
        <v>0</v>
      </c>
      <c r="E32" s="174">
        <v>0</v>
      </c>
      <c r="F32" s="174">
        <v>0</v>
      </c>
      <c r="G32" s="174">
        <f>G27</f>
        <v>122.52456606481812</v>
      </c>
      <c r="H32" s="174">
        <v>0</v>
      </c>
      <c r="I32" s="174">
        <v>0</v>
      </c>
      <c r="J32" s="174">
        <v>0</v>
      </c>
      <c r="K32" s="174">
        <v>0</v>
      </c>
      <c r="L32" s="174">
        <f>'4.4'!K151</f>
        <v>50540.133519</v>
      </c>
      <c r="M32" s="174">
        <f>'4.4'!K133</f>
        <v>6192.407928273445</v>
      </c>
      <c r="N32" s="174">
        <f>N27</f>
        <v>122.52456606481812</v>
      </c>
      <c r="O32" s="174">
        <f aca="true" t="shared" si="1" ref="O32:P34">L32</f>
        <v>50540.133519</v>
      </c>
      <c r="P32" s="174">
        <f t="shared" si="1"/>
        <v>6192.407928273445</v>
      </c>
      <c r="Q32" s="174">
        <v>0</v>
      </c>
      <c r="R32" s="174">
        <v>0</v>
      </c>
      <c r="S32" s="174">
        <v>0</v>
      </c>
    </row>
    <row r="33" spans="2:19" ht="13.5">
      <c r="B33" s="9"/>
      <c r="C33" s="177" t="s">
        <v>271</v>
      </c>
      <c r="D33" s="31">
        <v>0</v>
      </c>
      <c r="E33" s="31">
        <v>0</v>
      </c>
      <c r="F33" s="31">
        <v>0</v>
      </c>
      <c r="G33" s="31">
        <f>G28</f>
        <v>75.57815513110843</v>
      </c>
      <c r="H33" s="31">
        <v>0</v>
      </c>
      <c r="I33" s="31">
        <v>0</v>
      </c>
      <c r="J33" s="31">
        <v>0</v>
      </c>
      <c r="K33" s="31">
        <v>0</v>
      </c>
      <c r="L33" s="31">
        <f>'4.4'!L151</f>
        <v>48616.3</v>
      </c>
      <c r="M33" s="31">
        <f>'4.4'!L133</f>
        <v>3674.3302633005073</v>
      </c>
      <c r="N33" s="31">
        <f>N28</f>
        <v>75.57815513110843</v>
      </c>
      <c r="O33" s="31">
        <f t="shared" si="1"/>
        <v>48616.3</v>
      </c>
      <c r="P33" s="31">
        <f t="shared" si="1"/>
        <v>3674.3302633005073</v>
      </c>
      <c r="Q33" s="31">
        <v>0</v>
      </c>
      <c r="R33" s="31">
        <v>0</v>
      </c>
      <c r="S33" s="31">
        <v>0</v>
      </c>
    </row>
    <row r="34" spans="2:19" ht="13.5">
      <c r="B34" s="9"/>
      <c r="C34" s="178" t="s">
        <v>272</v>
      </c>
      <c r="D34" s="31">
        <v>0</v>
      </c>
      <c r="E34" s="31">
        <v>0</v>
      </c>
      <c r="F34" s="31">
        <v>0</v>
      </c>
      <c r="G34" s="31">
        <f>G29</f>
        <v>46.94641093370968</v>
      </c>
      <c r="H34" s="31">
        <v>0</v>
      </c>
      <c r="I34" s="31">
        <v>0</v>
      </c>
      <c r="J34" s="31">
        <v>0</v>
      </c>
      <c r="K34" s="31">
        <v>0</v>
      </c>
      <c r="L34" s="31">
        <f>'4.4'!M151</f>
        <v>51618.319053</v>
      </c>
      <c r="M34" s="31">
        <f>'4.4'!M133</f>
        <v>2423.294817969474</v>
      </c>
      <c r="N34" s="31">
        <f>N29</f>
        <v>46.94641093370968</v>
      </c>
      <c r="O34" s="31">
        <f t="shared" si="1"/>
        <v>51618.319053</v>
      </c>
      <c r="P34" s="31">
        <f t="shared" si="1"/>
        <v>2423.294817969474</v>
      </c>
      <c r="Q34" s="31">
        <v>0</v>
      </c>
      <c r="R34" s="31">
        <v>0</v>
      </c>
      <c r="S34" s="31">
        <v>0</v>
      </c>
    </row>
    <row r="35" spans="2:19" ht="13.5">
      <c r="B35" s="175" t="s">
        <v>421</v>
      </c>
      <c r="C35" s="171"/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</row>
    <row r="36" spans="2:19" ht="13.5">
      <c r="B36" s="2172" t="s">
        <v>256</v>
      </c>
      <c r="C36" s="2173"/>
      <c r="D36" s="2173"/>
      <c r="E36" s="2173"/>
      <c r="F36" s="2173"/>
      <c r="G36" s="2173"/>
      <c r="H36" s="2173"/>
      <c r="I36" s="2173"/>
      <c r="J36" s="2173"/>
      <c r="K36" s="2173"/>
      <c r="L36" s="2173"/>
      <c r="M36" s="2173"/>
      <c r="N36" s="2173"/>
      <c r="O36" s="2173"/>
      <c r="P36" s="2173"/>
      <c r="Q36" s="2173"/>
      <c r="R36" s="2173"/>
      <c r="S36" s="2174"/>
    </row>
    <row r="37" spans="2:19" ht="13.5">
      <c r="B37" s="9"/>
      <c r="C37" s="28" t="s">
        <v>814</v>
      </c>
      <c r="D37" s="174">
        <v>0</v>
      </c>
      <c r="E37" s="174">
        <v>0</v>
      </c>
      <c r="F37" s="174">
        <v>0</v>
      </c>
      <c r="G37" s="174">
        <f>G32</f>
        <v>122.52456606481812</v>
      </c>
      <c r="H37" s="174">
        <v>0</v>
      </c>
      <c r="I37" s="174">
        <v>0</v>
      </c>
      <c r="J37" s="174">
        <v>0</v>
      </c>
      <c r="K37" s="174">
        <v>0</v>
      </c>
      <c r="L37" s="174">
        <f>'4.4'!N151</f>
        <v>53661.170241441</v>
      </c>
      <c r="M37" s="174">
        <f>'4.4'!N133</f>
        <v>6574.81159836289</v>
      </c>
      <c r="N37" s="174">
        <f>N32</f>
        <v>122.52456606481812</v>
      </c>
      <c r="O37" s="174">
        <f aca="true" t="shared" si="2" ref="O37:P39">L37</f>
        <v>53661.170241441</v>
      </c>
      <c r="P37" s="174">
        <f t="shared" si="2"/>
        <v>6574.81159836289</v>
      </c>
      <c r="Q37" s="174">
        <v>0</v>
      </c>
      <c r="R37" s="174">
        <v>0</v>
      </c>
      <c r="S37" s="174">
        <v>0</v>
      </c>
    </row>
    <row r="38" spans="2:19" ht="13.5">
      <c r="B38" s="9"/>
      <c r="C38" s="177" t="s">
        <v>271</v>
      </c>
      <c r="D38" s="31">
        <v>0</v>
      </c>
      <c r="E38" s="31">
        <v>0</v>
      </c>
      <c r="F38" s="31">
        <v>0</v>
      </c>
      <c r="G38" s="31">
        <f>G33</f>
        <v>75.57815513110843</v>
      </c>
      <c r="H38" s="31">
        <v>0</v>
      </c>
      <c r="I38" s="31">
        <v>0</v>
      </c>
      <c r="J38" s="31">
        <v>0</v>
      </c>
      <c r="K38" s="31">
        <v>0</v>
      </c>
      <c r="L38" s="31">
        <f>'4.4'!O151</f>
        <v>51618.319053</v>
      </c>
      <c r="M38" s="31">
        <f>'4.4'!O133</f>
        <v>3901.2173249946845</v>
      </c>
      <c r="N38" s="31">
        <f>N33</f>
        <v>75.57815513110843</v>
      </c>
      <c r="O38" s="31">
        <f t="shared" si="2"/>
        <v>51618.319053</v>
      </c>
      <c r="P38" s="31">
        <f t="shared" si="2"/>
        <v>3901.2173249946845</v>
      </c>
      <c r="Q38" s="31">
        <v>0</v>
      </c>
      <c r="R38" s="31">
        <v>0</v>
      </c>
      <c r="S38" s="31">
        <v>0</v>
      </c>
    </row>
    <row r="39" spans="2:19" ht="13.5">
      <c r="B39" s="9"/>
      <c r="C39" s="178" t="s">
        <v>272</v>
      </c>
      <c r="D39" s="31">
        <v>0</v>
      </c>
      <c r="E39" s="31">
        <v>0</v>
      </c>
      <c r="F39" s="31">
        <v>0</v>
      </c>
      <c r="G39" s="31">
        <f>G34</f>
        <v>46.94641093370968</v>
      </c>
      <c r="H39" s="31">
        <v>0</v>
      </c>
      <c r="I39" s="31">
        <v>0</v>
      </c>
      <c r="J39" s="31">
        <v>0</v>
      </c>
      <c r="K39" s="31">
        <v>0</v>
      </c>
      <c r="L39" s="31">
        <f>'4.4'!P151</f>
        <v>54805.743986013</v>
      </c>
      <c r="M39" s="31">
        <f>'4.4'!P133</f>
        <v>2572.9329786950543</v>
      </c>
      <c r="N39" s="31">
        <f>N34</f>
        <v>46.94641093370968</v>
      </c>
      <c r="O39" s="31">
        <f t="shared" si="2"/>
        <v>54805.743986013</v>
      </c>
      <c r="P39" s="31">
        <f t="shared" si="2"/>
        <v>2572.9329786950543</v>
      </c>
      <c r="Q39" s="31">
        <v>0</v>
      </c>
      <c r="R39" s="31">
        <v>0</v>
      </c>
      <c r="S39" s="31">
        <v>0</v>
      </c>
    </row>
    <row r="40" spans="2:19" ht="13.5">
      <c r="B40" s="175" t="s">
        <v>421</v>
      </c>
      <c r="C40" s="171"/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</row>
    <row r="41" spans="2:19" ht="13.5">
      <c r="B41" s="378"/>
      <c r="C41" s="379"/>
      <c r="D41" s="380"/>
      <c r="E41" s="381"/>
      <c r="F41" s="381"/>
      <c r="G41" s="380"/>
      <c r="H41" s="381"/>
      <c r="I41" s="381"/>
      <c r="J41" s="381"/>
      <c r="K41" s="381"/>
      <c r="L41" s="381"/>
      <c r="M41" s="380"/>
      <c r="N41" s="380"/>
      <c r="O41" s="381"/>
      <c r="P41" s="380"/>
      <c r="Q41" s="380"/>
      <c r="R41" s="381"/>
      <c r="S41" s="381"/>
    </row>
    <row r="42" spans="2:19" ht="16.5" hidden="1" outlineLevel="1">
      <c r="B42" s="113" t="s">
        <v>863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 ht="16.5" hidden="1" outlineLevel="1">
      <c r="B43" s="113" t="s">
        <v>1051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16.5" hidden="1" outlineLevel="1">
      <c r="B44" s="113" t="s">
        <v>1052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ht="16.5" hidden="1" outlineLevel="1">
      <c r="B45" s="113" t="s">
        <v>1053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13.5" hidden="1" outlineLevel="1">
      <c r="B46" s="113" t="s">
        <v>1054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ht="13.5" hidden="1" outlineLevel="1">
      <c r="B47" s="113" t="s">
        <v>1055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ht="12.75" collapsed="1"/>
    <row r="49" ht="12.75">
      <c r="C49" s="1" t="s">
        <v>1078</v>
      </c>
    </row>
  </sheetData>
  <sheetProtection/>
  <protectedRanges>
    <protectedRange password="CC01" sqref="S3:T3" name="Диапазон1_1"/>
  </protectedRanges>
  <mergeCells count="16">
    <mergeCell ref="B36:S36"/>
    <mergeCell ref="B5:S5"/>
    <mergeCell ref="N7:P7"/>
    <mergeCell ref="B25:S25"/>
    <mergeCell ref="B17:S17"/>
    <mergeCell ref="B7:B8"/>
    <mergeCell ref="B20:S20"/>
    <mergeCell ref="D7:F7"/>
    <mergeCell ref="C7:C8"/>
    <mergeCell ref="B11:S11"/>
    <mergeCell ref="B31:S31"/>
    <mergeCell ref="G7:M7"/>
    <mergeCell ref="B14:S14"/>
    <mergeCell ref="B26:S26"/>
    <mergeCell ref="Q7:S7"/>
    <mergeCell ref="B10:S10"/>
  </mergeCells>
  <printOptions horizontalCentered="1"/>
  <pageMargins left="0.5511811023622047" right="0.2362204724409449" top="0.6299212598425197" bottom="0.35433070866141736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V145"/>
  <sheetViews>
    <sheetView zoomScaleSheetLayoutView="100" workbookViewId="0" topLeftCell="A1">
      <pane xSplit="3" ySplit="10" topLeftCell="G11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V37" sqref="V37"/>
    </sheetView>
  </sheetViews>
  <sheetFormatPr defaultColWidth="9.140625" defaultRowHeight="15" outlineLevelRow="2" outlineLevelCol="1"/>
  <cols>
    <col min="1" max="1" width="7.00390625" style="547" customWidth="1"/>
    <col min="2" max="2" width="8.421875" style="1" customWidth="1"/>
    <col min="3" max="3" width="37.421875" style="1" customWidth="1"/>
    <col min="4" max="4" width="11.8515625" style="7" hidden="1" customWidth="1"/>
    <col min="5" max="5" width="10.7109375" style="7" hidden="1" customWidth="1"/>
    <col min="6" max="6" width="12.00390625" style="7" hidden="1" customWidth="1"/>
    <col min="7" max="8" width="11.8515625" style="1" customWidth="1"/>
    <col min="9" max="9" width="11.8515625" style="1" customWidth="1" outlineLevel="1"/>
    <col min="10" max="10" width="10.421875" style="1" customWidth="1" outlineLevel="1"/>
    <col min="11" max="11" width="10.28125" style="1" customWidth="1" outlineLevel="1"/>
    <col min="12" max="12" width="9.140625" style="1" customWidth="1"/>
    <col min="13" max="13" width="10.421875" style="1" customWidth="1"/>
    <col min="14" max="14" width="10.7109375" style="1" customWidth="1"/>
    <col min="15" max="15" width="10.140625" style="1" customWidth="1"/>
    <col min="16" max="16" width="10.28125" style="1" customWidth="1"/>
    <col min="17" max="17" width="11.140625" style="1" customWidth="1"/>
    <col min="18" max="16384" width="9.140625" style="1" customWidth="1"/>
  </cols>
  <sheetData>
    <row r="1" spans="1:14" s="545" customFormat="1" ht="12.75">
      <c r="A1" s="544"/>
      <c r="D1" s="546"/>
      <c r="E1" s="546"/>
      <c r="F1" s="546"/>
      <c r="G1" s="546"/>
      <c r="M1" s="1935"/>
      <c r="N1" s="1" t="s">
        <v>1301</v>
      </c>
    </row>
    <row r="2" spans="2:14" ht="15.75">
      <c r="B2" s="52" t="s">
        <v>701</v>
      </c>
      <c r="C2" s="52"/>
      <c r="D2" s="52"/>
      <c r="E2" s="52"/>
      <c r="F2" s="1"/>
      <c r="K2" s="2" t="s">
        <v>1086</v>
      </c>
      <c r="M2" s="1936"/>
      <c r="N2" s="1" t="s">
        <v>1302</v>
      </c>
    </row>
    <row r="3" spans="2:14" ht="15">
      <c r="B3" s="52" t="s">
        <v>702</v>
      </c>
      <c r="C3" s="52"/>
      <c r="D3" s="52"/>
      <c r="E3" s="52"/>
      <c r="F3" s="1"/>
      <c r="M3" s="1937"/>
      <c r="N3" s="184" t="s">
        <v>1303</v>
      </c>
    </row>
    <row r="4" spans="4:14" ht="15">
      <c r="D4" s="548"/>
      <c r="E4" s="548"/>
      <c r="F4" s="548"/>
      <c r="G4" s="184"/>
      <c r="H4" s="184"/>
      <c r="M4" s="1938"/>
      <c r="N4" s="1" t="s">
        <v>788</v>
      </c>
    </row>
    <row r="5" spans="2:12" ht="16.5">
      <c r="B5" s="2181" t="s">
        <v>1354</v>
      </c>
      <c r="C5" s="2181"/>
      <c r="D5" s="2181"/>
      <c r="E5" s="2181"/>
      <c r="F5" s="2181"/>
      <c r="G5" s="2181"/>
      <c r="H5" s="2181"/>
      <c r="I5" s="2181"/>
      <c r="J5" s="2181"/>
      <c r="K5" s="2181"/>
      <c r="L5" s="549"/>
    </row>
    <row r="6" spans="2:12" ht="14.25">
      <c r="B6" s="550" t="s">
        <v>1087</v>
      </c>
      <c r="D6" s="1"/>
      <c r="E6" s="1"/>
      <c r="F6" s="1"/>
      <c r="L6" s="549"/>
    </row>
    <row r="7" spans="2:17" ht="12.75" customHeight="1">
      <c r="B7" s="2182" t="s">
        <v>1662</v>
      </c>
      <c r="C7" s="2194" t="s">
        <v>1670</v>
      </c>
      <c r="D7" s="2187" t="s">
        <v>1659</v>
      </c>
      <c r="E7" s="2188"/>
      <c r="F7" s="2188"/>
      <c r="G7" s="2188"/>
      <c r="H7" s="2189"/>
      <c r="I7" s="2187" t="s">
        <v>1661</v>
      </c>
      <c r="J7" s="2188"/>
      <c r="K7" s="2188"/>
      <c r="L7" s="2188"/>
      <c r="M7" s="2188"/>
      <c r="N7" s="2188"/>
      <c r="O7" s="2188"/>
      <c r="P7" s="2188"/>
      <c r="Q7" s="2189"/>
    </row>
    <row r="8" spans="2:17" ht="24" customHeight="1">
      <c r="B8" s="2193"/>
      <c r="C8" s="2193"/>
      <c r="D8" s="2195" t="s">
        <v>944</v>
      </c>
      <c r="E8" s="2196" t="s">
        <v>1139</v>
      </c>
      <c r="F8" s="727" t="s">
        <v>270</v>
      </c>
      <c r="G8" s="2190" t="s">
        <v>406</v>
      </c>
      <c r="H8" s="2191" t="s">
        <v>17</v>
      </c>
      <c r="I8" s="2186" t="s">
        <v>1143</v>
      </c>
      <c r="J8" s="2186"/>
      <c r="K8" s="2186"/>
      <c r="L8" s="2186" t="s">
        <v>1148</v>
      </c>
      <c r="M8" s="2186"/>
      <c r="N8" s="2186"/>
      <c r="O8" s="2186" t="s">
        <v>18</v>
      </c>
      <c r="P8" s="2186"/>
      <c r="Q8" s="2186"/>
    </row>
    <row r="9" spans="2:17" ht="39.75" customHeight="1">
      <c r="B9" s="2183"/>
      <c r="C9" s="2183"/>
      <c r="D9" s="2183"/>
      <c r="E9" s="2048"/>
      <c r="F9" s="719"/>
      <c r="G9" s="2185"/>
      <c r="H9" s="2192"/>
      <c r="I9" s="552" t="s">
        <v>421</v>
      </c>
      <c r="J9" s="552" t="s">
        <v>271</v>
      </c>
      <c r="K9" s="552" t="s">
        <v>272</v>
      </c>
      <c r="L9" s="552" t="s">
        <v>421</v>
      </c>
      <c r="M9" s="552" t="s">
        <v>271</v>
      </c>
      <c r="N9" s="552" t="s">
        <v>272</v>
      </c>
      <c r="O9" s="552" t="s">
        <v>421</v>
      </c>
      <c r="P9" s="552" t="s">
        <v>271</v>
      </c>
      <c r="Q9" s="552" t="s">
        <v>272</v>
      </c>
    </row>
    <row r="10" spans="2:17" ht="15">
      <c r="B10" s="9">
        <v>1</v>
      </c>
      <c r="C10" s="160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553">
        <v>9</v>
      </c>
      <c r="J10" s="553">
        <v>10</v>
      </c>
      <c r="K10" s="553">
        <v>11</v>
      </c>
      <c r="L10" s="553">
        <v>9</v>
      </c>
      <c r="M10" s="553">
        <v>10</v>
      </c>
      <c r="N10" s="553">
        <v>11</v>
      </c>
      <c r="O10" s="553">
        <v>9</v>
      </c>
      <c r="P10" s="553">
        <v>10</v>
      </c>
      <c r="Q10" s="553">
        <v>11</v>
      </c>
    </row>
    <row r="11" spans="2:17" ht="42.75">
      <c r="B11" s="161" t="s">
        <v>1088</v>
      </c>
      <c r="C11" s="554" t="s">
        <v>34</v>
      </c>
      <c r="D11" s="163" t="e">
        <f>D12+D20+D21+D22+D24+D25+D26+D33+D49+D80+D81+D84</f>
        <v>#REF!</v>
      </c>
      <c r="E11" s="163" t="e">
        <f>E12+E20+E21+E22+E24+E25+E26+E33+E49+E80+E81+E84</f>
        <v>#REF!</v>
      </c>
      <c r="F11" s="163"/>
      <c r="G11" s="163">
        <f>G12+G20+G21+G22+G24+G25+G26+G33+G49+G80+G81</f>
        <v>15487.935638297873</v>
      </c>
      <c r="H11" s="163">
        <f>H12+H20+H21+H22+H24+H25+H26+H33+H49+H80+H81+H84</f>
        <v>15614.092389954345</v>
      </c>
      <c r="I11" s="163">
        <f aca="true" t="shared" si="0" ref="I11:Q11">I12+I20+I21+I22+I24+I25+I26+I33+I49+I80+I81+I82+I84</f>
        <v>16761.40706371192</v>
      </c>
      <c r="J11" s="163">
        <f t="shared" si="0"/>
        <v>8992.531908794877</v>
      </c>
      <c r="K11" s="163">
        <f t="shared" si="0"/>
        <v>7681.524443792307</v>
      </c>
      <c r="L11" s="163">
        <f t="shared" si="0"/>
        <v>16783.03235594495</v>
      </c>
      <c r="M11" s="163">
        <f t="shared" si="0"/>
        <v>9067.942839558216</v>
      </c>
      <c r="N11" s="163">
        <f t="shared" si="0"/>
        <v>7620.306669383271</v>
      </c>
      <c r="O11" s="163">
        <f t="shared" si="0"/>
        <v>17686.339988370673</v>
      </c>
      <c r="P11" s="163">
        <f t="shared" si="0"/>
        <v>9625.290574407802</v>
      </c>
      <c r="Q11" s="163">
        <f t="shared" si="0"/>
        <v>7960.388119289717</v>
      </c>
    </row>
    <row r="12" spans="1:17" ht="30">
      <c r="A12" s="555"/>
      <c r="B12" s="556" t="s">
        <v>1663</v>
      </c>
      <c r="C12" s="1941" t="s">
        <v>35</v>
      </c>
      <c r="D12" s="558">
        <f>D15+D17</f>
        <v>611</v>
      </c>
      <c r="E12" s="558">
        <f>E15+E17</f>
        <v>427</v>
      </c>
      <c r="F12" s="558"/>
      <c r="G12" s="577">
        <f>G15+G17</f>
        <v>271</v>
      </c>
      <c r="H12" s="558">
        <f>H15+H17</f>
        <v>271</v>
      </c>
      <c r="I12" s="558">
        <f aca="true" t="shared" si="1" ref="I12:Q12">I15+I17</f>
        <v>287.951</v>
      </c>
      <c r="J12" s="558">
        <f t="shared" si="1"/>
        <v>143.9755</v>
      </c>
      <c r="K12" s="558">
        <f t="shared" si="1"/>
        <v>143.9755</v>
      </c>
      <c r="L12" s="558">
        <f t="shared" si="1"/>
        <v>364.438272</v>
      </c>
      <c r="M12" s="558">
        <f t="shared" si="1"/>
        <v>211.87113599999998</v>
      </c>
      <c r="N12" s="558">
        <f t="shared" si="1"/>
        <v>152.567136</v>
      </c>
      <c r="O12" s="558">
        <f t="shared" si="1"/>
        <v>386.14633115399994</v>
      </c>
      <c r="P12" s="558">
        <f t="shared" si="1"/>
        <v>224.47463357699996</v>
      </c>
      <c r="Q12" s="558">
        <f t="shared" si="1"/>
        <v>161.67169757699997</v>
      </c>
    </row>
    <row r="13" spans="1:17" ht="15" outlineLevel="1">
      <c r="A13" s="555"/>
      <c r="B13" s="556"/>
      <c r="C13" s="559" t="s">
        <v>1686</v>
      </c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</row>
    <row r="14" spans="1:17" ht="15" outlineLevel="1">
      <c r="A14" s="562"/>
      <c r="B14" s="556" t="s">
        <v>228</v>
      </c>
      <c r="C14" s="560" t="s">
        <v>36</v>
      </c>
      <c r="D14" s="558"/>
      <c r="E14" s="558"/>
      <c r="F14" s="558"/>
      <c r="G14" s="558"/>
      <c r="H14" s="558"/>
      <c r="I14" s="561"/>
      <c r="J14" s="561"/>
      <c r="K14" s="561"/>
      <c r="L14" s="561"/>
      <c r="M14" s="561"/>
      <c r="N14" s="561"/>
      <c r="O14" s="561"/>
      <c r="P14" s="561"/>
      <c r="Q14" s="561"/>
    </row>
    <row r="15" spans="1:18" ht="15" outlineLevel="1">
      <c r="A15" s="572"/>
      <c r="B15" s="556" t="s">
        <v>227</v>
      </c>
      <c r="C15" s="560" t="s">
        <v>37</v>
      </c>
      <c r="D15" s="558">
        <v>395</v>
      </c>
      <c r="E15" s="558">
        <v>309</v>
      </c>
      <c r="F15" s="558"/>
      <c r="G15" s="558">
        <v>210</v>
      </c>
      <c r="H15" s="558">
        <v>210</v>
      </c>
      <c r="I15" s="558">
        <f>J15+K15</f>
        <v>223.23</v>
      </c>
      <c r="J15" s="558">
        <f>H15*1.063/2</f>
        <v>111.615</v>
      </c>
      <c r="K15" s="558">
        <f>H15*1.063/2</f>
        <v>111.615</v>
      </c>
      <c r="L15" s="558">
        <f>M15+N15</f>
        <v>295.70457</v>
      </c>
      <c r="M15" s="558">
        <f>(J15*1.059+56*1.059)</f>
        <v>177.50428499999998</v>
      </c>
      <c r="N15" s="558">
        <f>K15*1.059</f>
        <v>118.200285</v>
      </c>
      <c r="O15" s="558">
        <f>P15+Q15</f>
        <v>313.15113962999993</v>
      </c>
      <c r="P15" s="558">
        <f>M15*1.059</f>
        <v>187.97703781499996</v>
      </c>
      <c r="Q15" s="558">
        <f>N15*1.059</f>
        <v>125.17410181499999</v>
      </c>
      <c r="R15" s="1" t="s">
        <v>1594</v>
      </c>
    </row>
    <row r="16" spans="1:18" ht="15" outlineLevel="1">
      <c r="A16" s="562"/>
      <c r="B16" s="556" t="s">
        <v>229</v>
      </c>
      <c r="C16" s="560" t="s">
        <v>38</v>
      </c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1" t="s">
        <v>1595</v>
      </c>
    </row>
    <row r="17" spans="1:17" ht="30" outlineLevel="1">
      <c r="A17" s="562"/>
      <c r="B17" s="556" t="s">
        <v>916</v>
      </c>
      <c r="C17" s="560" t="s">
        <v>456</v>
      </c>
      <c r="D17" s="558">
        <v>216</v>
      </c>
      <c r="E17" s="558">
        <v>118</v>
      </c>
      <c r="F17" s="558"/>
      <c r="G17" s="558">
        <v>61</v>
      </c>
      <c r="H17" s="558">
        <v>61</v>
      </c>
      <c r="I17" s="558">
        <f>J17+K17</f>
        <v>64.721</v>
      </c>
      <c r="J17" s="558">
        <f>H17*1.061/2</f>
        <v>32.3605</v>
      </c>
      <c r="K17" s="558">
        <f>H17*1.061/2</f>
        <v>32.3605</v>
      </c>
      <c r="L17" s="558">
        <f>M17+N17</f>
        <v>68.73370200000001</v>
      </c>
      <c r="M17" s="558">
        <f>J17*1.062</f>
        <v>34.366851000000004</v>
      </c>
      <c r="N17" s="558">
        <f>K17*1.062</f>
        <v>34.366851000000004</v>
      </c>
      <c r="O17" s="558">
        <f>P17+Q17</f>
        <v>72.995191524</v>
      </c>
      <c r="P17" s="558">
        <f>M17*1.062</f>
        <v>36.497595762</v>
      </c>
      <c r="Q17" s="558">
        <f>N17*1.062</f>
        <v>36.497595762</v>
      </c>
    </row>
    <row r="18" spans="1:17" ht="15" outlineLevel="1">
      <c r="A18" s="562"/>
      <c r="B18" s="556" t="s">
        <v>524</v>
      </c>
      <c r="C18" s="560" t="s">
        <v>457</v>
      </c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</row>
    <row r="19" spans="1:17" ht="15" outlineLevel="1">
      <c r="A19" s="555"/>
      <c r="B19" s="556"/>
      <c r="C19" s="560" t="s">
        <v>458</v>
      </c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</row>
    <row r="20" spans="1:17" ht="15">
      <c r="A20" s="562"/>
      <c r="B20" s="556" t="s">
        <v>424</v>
      </c>
      <c r="C20" s="1939" t="s">
        <v>459</v>
      </c>
      <c r="D20" s="558">
        <f>'4.4'!D133</f>
        <v>10024</v>
      </c>
      <c r="E20" s="558">
        <f>'4.4'!E133</f>
        <v>8227</v>
      </c>
      <c r="F20" s="558"/>
      <c r="G20" s="577">
        <f>'4.4'!F133</f>
        <v>6718.328638297872</v>
      </c>
      <c r="H20" s="577">
        <f>'4.4'!G133</f>
        <v>5421.713483184626</v>
      </c>
      <c r="I20" s="577">
        <f>'4.4'!H133</f>
        <v>5832.249108177851</v>
      </c>
      <c r="J20" s="577">
        <f>'4.4'!I133</f>
        <v>3462.537599176602</v>
      </c>
      <c r="K20" s="577">
        <f>'4.4'!J133</f>
        <v>2282.36079787651</v>
      </c>
      <c r="L20" s="577">
        <f>'4.4'!K133</f>
        <v>6192.407928273445</v>
      </c>
      <c r="M20" s="577">
        <f>'4.4'!L133</f>
        <v>3674.3302633005073</v>
      </c>
      <c r="N20" s="577">
        <f>'4.4'!M133</f>
        <v>2423.294817969474</v>
      </c>
      <c r="O20" s="577">
        <f>'4.4'!N133</f>
        <v>6574.81159836289</v>
      </c>
      <c r="P20" s="577">
        <f>'4.4'!O133</f>
        <v>3901.2173249946845</v>
      </c>
      <c r="Q20" s="577">
        <f>'4.4'!P133</f>
        <v>2572.9329786950543</v>
      </c>
    </row>
    <row r="21" spans="1:17" ht="30">
      <c r="A21" s="562"/>
      <c r="B21" s="556" t="s">
        <v>425</v>
      </c>
      <c r="C21" s="1939" t="s">
        <v>460</v>
      </c>
      <c r="D21" s="558" t="e">
        <f>#REF!</f>
        <v>#REF!</v>
      </c>
      <c r="E21" s="558" t="e">
        <f>#REF!</f>
        <v>#REF!</v>
      </c>
      <c r="F21" s="558"/>
      <c r="G21" s="577">
        <f>'4.7 '!J44</f>
        <v>335.013</v>
      </c>
      <c r="H21" s="577">
        <f>'4.7 '!J55</f>
        <v>458</v>
      </c>
      <c r="I21" s="577">
        <f>'4.7 '!J67</f>
        <v>528.0647755219202</v>
      </c>
      <c r="J21" s="577">
        <f>'4.7 '!J71</f>
        <v>330.04048470120006</v>
      </c>
      <c r="K21" s="577">
        <f>'4.7 '!J72</f>
        <v>198.02429082072007</v>
      </c>
      <c r="L21" s="577">
        <f>'4.7 '!J78</f>
        <v>571</v>
      </c>
      <c r="M21" s="577">
        <f>'4.7 '!J82</f>
        <v>357</v>
      </c>
      <c r="N21" s="577">
        <f>'4.7 '!J83</f>
        <v>214</v>
      </c>
      <c r="O21" s="577">
        <f>'4.7 '!J86</f>
        <v>619</v>
      </c>
      <c r="P21" s="577">
        <f>'4.7 '!J90</f>
        <v>387</v>
      </c>
      <c r="Q21" s="577">
        <f>'4.7 '!J91</f>
        <v>232</v>
      </c>
    </row>
    <row r="22" spans="1:17" ht="15">
      <c r="A22" s="562"/>
      <c r="B22" s="556" t="s">
        <v>232</v>
      </c>
      <c r="C22" s="1940" t="s">
        <v>461</v>
      </c>
      <c r="D22" s="558">
        <v>5</v>
      </c>
      <c r="E22" s="558" t="e">
        <f>'4.8'!H12</f>
        <v>#REF!</v>
      </c>
      <c r="F22" s="558"/>
      <c r="G22" s="577">
        <f>'4.8'!E25</f>
        <v>216.258</v>
      </c>
      <c r="H22" s="577">
        <f>'4.8'!H25</f>
        <v>113.965791</v>
      </c>
      <c r="I22" s="577">
        <f>'4.8'!E38</f>
        <v>121.92712417799999</v>
      </c>
      <c r="J22" s="577">
        <f>'4.8'!H38</f>
        <v>66.748797</v>
      </c>
      <c r="K22" s="577">
        <f>'4.8'!K38</f>
        <v>55.178327177999996</v>
      </c>
      <c r="L22" s="577">
        <f>'4.8'!E50</f>
        <v>130.04082662361773</v>
      </c>
      <c r="M22" s="577">
        <f>'4.8'!H50</f>
        <v>71.17451173376469</v>
      </c>
      <c r="N22" s="577">
        <f>'4.8'!K50</f>
        <v>58.86631488985306</v>
      </c>
      <c r="O22" s="577">
        <f>'4.8'!E62</f>
        <v>138.75356200740018</v>
      </c>
      <c r="P22" s="577">
        <f>'4.8'!H62</f>
        <v>75.94320401992695</v>
      </c>
      <c r="Q22" s="577">
        <f>'4.8'!K62</f>
        <v>62.81035798747322</v>
      </c>
    </row>
    <row r="23" spans="1:17" ht="15">
      <c r="A23" s="555"/>
      <c r="B23" s="556" t="s">
        <v>233</v>
      </c>
      <c r="C23" s="1940" t="s">
        <v>462</v>
      </c>
      <c r="D23" s="558"/>
      <c r="E23" s="558"/>
      <c r="F23" s="563"/>
      <c r="G23" s="577"/>
      <c r="H23" s="558"/>
      <c r="I23" s="558"/>
      <c r="J23" s="558"/>
      <c r="K23" s="558"/>
      <c r="L23" s="558"/>
      <c r="M23" s="558"/>
      <c r="N23" s="558"/>
      <c r="O23" s="558"/>
      <c r="P23" s="558"/>
      <c r="Q23" s="558"/>
    </row>
    <row r="24" spans="1:18" ht="30">
      <c r="A24" s="562"/>
      <c r="B24" s="556" t="s">
        <v>234</v>
      </c>
      <c r="C24" s="1942" t="s">
        <v>463</v>
      </c>
      <c r="D24" s="558" t="e">
        <f>#REF!</f>
        <v>#REF!</v>
      </c>
      <c r="E24" s="558" t="e">
        <f>#REF!</f>
        <v>#REF!</v>
      </c>
      <c r="F24" s="558"/>
      <c r="G24" s="577">
        <v>371</v>
      </c>
      <c r="H24" s="577">
        <v>624</v>
      </c>
      <c r="I24" s="577">
        <f>Амортизация!S20</f>
        <v>805.1571428571428</v>
      </c>
      <c r="J24" s="577">
        <f>I24/2</f>
        <v>402.5785714285714</v>
      </c>
      <c r="K24" s="577">
        <f>I24-J24</f>
        <v>402.5785714285714</v>
      </c>
      <c r="L24" s="577">
        <f>Амортизация!U20</f>
        <v>544.5571428571429</v>
      </c>
      <c r="M24" s="577">
        <f>L24/2</f>
        <v>272.27857142857147</v>
      </c>
      <c r="N24" s="577">
        <f>L24-M24</f>
        <v>272.27857142857147</v>
      </c>
      <c r="O24" s="577">
        <f>Амортизация!W20</f>
        <v>529.157142857143</v>
      </c>
      <c r="P24" s="577">
        <f>O24/2</f>
        <v>264.5785714285715</v>
      </c>
      <c r="Q24" s="577">
        <f>O24-P24</f>
        <v>264.5785714285715</v>
      </c>
      <c r="R24" s="1" t="s">
        <v>1283</v>
      </c>
    </row>
    <row r="25" spans="1:17" ht="13.5">
      <c r="A25" s="562"/>
      <c r="B25" s="556" t="s">
        <v>235</v>
      </c>
      <c r="C25" s="1941" t="s">
        <v>464</v>
      </c>
      <c r="D25" s="558" t="e">
        <f>#REF!</f>
        <v>#REF!</v>
      </c>
      <c r="E25" s="558" t="e">
        <f>#REF!</f>
        <v>#REF!</v>
      </c>
      <c r="F25" s="558"/>
      <c r="G25" s="577">
        <f>'4.9 '!G49</f>
        <v>5424.336</v>
      </c>
      <c r="H25" s="577">
        <f>'4.9 '!H44</f>
        <v>6127.429428394562</v>
      </c>
      <c r="I25" s="577">
        <f>'4.9 '!I44+'4.9 '!I45</f>
        <v>6097.15202840016</v>
      </c>
      <c r="J25" s="577">
        <f>'4.9 '!J44+'4.9 '!J45</f>
        <v>3007.11901420008</v>
      </c>
      <c r="K25" s="577">
        <f>'4.9 '!K44+'4.9 '!K45</f>
        <v>3090.0330142000803</v>
      </c>
      <c r="L25" s="577">
        <f>'4.9 '!L44+'4.9 '!L45</f>
        <v>6432.827045962169</v>
      </c>
      <c r="M25" s="577">
        <f>'4.9 '!M44+'4.9 '!M45</f>
        <v>3172.5105599810845</v>
      </c>
      <c r="N25" s="577">
        <f>'4.9 '!N44+'4.9 '!N45</f>
        <v>3260.3164859810845</v>
      </c>
      <c r="O25" s="577">
        <f>'4.9 '!O44</f>
        <v>6693.997281560088</v>
      </c>
      <c r="P25" s="577">
        <f>'4.9 '!P44</f>
        <v>3346.998640780044</v>
      </c>
      <c r="Q25" s="577">
        <f>'4.9 '!Q44</f>
        <v>3346.998640780044</v>
      </c>
    </row>
    <row r="26" spans="1:17" ht="13.5">
      <c r="A26" s="562"/>
      <c r="B26" s="556" t="s">
        <v>236</v>
      </c>
      <c r="C26" s="1942" t="s">
        <v>465</v>
      </c>
      <c r="D26" s="558" t="e">
        <f>#REF!</f>
        <v>#REF!</v>
      </c>
      <c r="E26" s="558" t="e">
        <f>#REF!</f>
        <v>#REF!</v>
      </c>
      <c r="F26" s="558"/>
      <c r="G26" s="577">
        <f>'4.9 '!G47</f>
        <v>1587</v>
      </c>
      <c r="H26" s="577">
        <f>'4.9 '!H47</f>
        <v>1850.4836873751576</v>
      </c>
      <c r="I26" s="577">
        <f>'4.9 '!I47</f>
        <v>1816.2998845768484</v>
      </c>
      <c r="J26" s="577">
        <f>'4.9 '!J47</f>
        <v>908.1499422884242</v>
      </c>
      <c r="K26" s="577">
        <f>'4.9 '!K47</f>
        <v>908.1499422884242</v>
      </c>
      <c r="L26" s="577">
        <f>'4.9 '!L47</f>
        <v>1916.196378228575</v>
      </c>
      <c r="M26" s="577">
        <f>'4.9 '!M47</f>
        <v>958.0981891142875</v>
      </c>
      <c r="N26" s="577">
        <f>'4.9 '!N47</f>
        <v>958.0981891142875</v>
      </c>
      <c r="O26" s="577">
        <f>'4.9 '!O47</f>
        <v>2021.5871790311464</v>
      </c>
      <c r="P26" s="577">
        <f>'4.9 '!P47</f>
        <v>1010.7935895155732</v>
      </c>
      <c r="Q26" s="577">
        <f>'4.9 '!Q47</f>
        <v>1010.7935895155732</v>
      </c>
    </row>
    <row r="27" spans="1:17" ht="27">
      <c r="A27" s="562"/>
      <c r="B27" s="167" t="s">
        <v>466</v>
      </c>
      <c r="C27" s="1941" t="s">
        <v>467</v>
      </c>
      <c r="D27" s="565"/>
      <c r="E27" s="565"/>
      <c r="F27" s="565"/>
      <c r="G27" s="565"/>
      <c r="H27" s="565"/>
      <c r="I27" s="558"/>
      <c r="J27" s="558"/>
      <c r="K27" s="558"/>
      <c r="L27" s="558"/>
      <c r="M27" s="558"/>
      <c r="N27" s="558"/>
      <c r="O27" s="558"/>
      <c r="P27" s="558"/>
      <c r="Q27" s="558"/>
    </row>
    <row r="28" spans="1:17" ht="49.5" customHeight="1">
      <c r="A28" s="555"/>
      <c r="B28" s="167" t="s">
        <v>468</v>
      </c>
      <c r="C28" s="1942" t="s">
        <v>469</v>
      </c>
      <c r="D28" s="565"/>
      <c r="E28" s="565"/>
      <c r="F28" s="565"/>
      <c r="G28" s="565"/>
      <c r="H28" s="565"/>
      <c r="I28" s="558"/>
      <c r="J28" s="558"/>
      <c r="K28" s="558"/>
      <c r="L28" s="558"/>
      <c r="M28" s="558"/>
      <c r="N28" s="558"/>
      <c r="O28" s="558"/>
      <c r="P28" s="558"/>
      <c r="Q28" s="558"/>
    </row>
    <row r="29" spans="1:17" ht="13.5" outlineLevel="1">
      <c r="A29" s="555"/>
      <c r="B29" s="167"/>
      <c r="C29" s="566" t="s">
        <v>1686</v>
      </c>
      <c r="D29" s="565"/>
      <c r="E29" s="565"/>
      <c r="F29" s="565"/>
      <c r="G29" s="565"/>
      <c r="H29" s="565"/>
      <c r="I29" s="558"/>
      <c r="J29" s="558"/>
      <c r="K29" s="558"/>
      <c r="L29" s="558"/>
      <c r="M29" s="558"/>
      <c r="N29" s="558"/>
      <c r="O29" s="558"/>
      <c r="P29" s="558"/>
      <c r="Q29" s="558"/>
    </row>
    <row r="30" spans="1:17" ht="13.5" outlineLevel="1">
      <c r="A30" s="555"/>
      <c r="B30" s="167"/>
      <c r="C30" s="567"/>
      <c r="D30" s="565"/>
      <c r="E30" s="565"/>
      <c r="F30" s="565"/>
      <c r="G30" s="565"/>
      <c r="H30" s="565"/>
      <c r="I30" s="558"/>
      <c r="J30" s="558"/>
      <c r="K30" s="558"/>
      <c r="L30" s="558"/>
      <c r="M30" s="558"/>
      <c r="N30" s="558"/>
      <c r="O30" s="558"/>
      <c r="P30" s="558"/>
      <c r="Q30" s="558"/>
    </row>
    <row r="31" spans="1:17" ht="13.5" outlineLevel="1">
      <c r="A31" s="555"/>
      <c r="B31" s="167"/>
      <c r="C31" s="567"/>
      <c r="D31" s="565"/>
      <c r="E31" s="565"/>
      <c r="F31" s="565"/>
      <c r="G31" s="565"/>
      <c r="H31" s="565"/>
      <c r="I31" s="558"/>
      <c r="J31" s="558"/>
      <c r="K31" s="558"/>
      <c r="L31" s="558"/>
      <c r="M31" s="558"/>
      <c r="N31" s="558"/>
      <c r="O31" s="558"/>
      <c r="P31" s="558"/>
      <c r="Q31" s="558"/>
    </row>
    <row r="32" spans="1:17" ht="13.5" outlineLevel="1">
      <c r="A32" s="555"/>
      <c r="B32" s="167"/>
      <c r="C32" s="567"/>
      <c r="D32" s="565"/>
      <c r="E32" s="565"/>
      <c r="F32" s="565"/>
      <c r="G32" s="565"/>
      <c r="H32" s="565"/>
      <c r="I32" s="558"/>
      <c r="J32" s="558"/>
      <c r="K32" s="558"/>
      <c r="L32" s="558"/>
      <c r="M32" s="558"/>
      <c r="N32" s="558"/>
      <c r="O32" s="558"/>
      <c r="P32" s="558"/>
      <c r="Q32" s="558"/>
    </row>
    <row r="33" spans="1:17" ht="76.5" customHeight="1">
      <c r="A33" s="555"/>
      <c r="B33" s="167" t="s">
        <v>470</v>
      </c>
      <c r="C33" s="1941" t="s">
        <v>471</v>
      </c>
      <c r="D33" s="565">
        <f>SUM(D34:D48)</f>
        <v>299</v>
      </c>
      <c r="E33" s="565">
        <f>SUM(E34:E48)</f>
        <v>240</v>
      </c>
      <c r="F33" s="565"/>
      <c r="G33" s="163">
        <f>SUM(G34:G48)</f>
        <v>103</v>
      </c>
      <c r="H33" s="163">
        <f>SUM(H34:H48)</f>
        <v>103</v>
      </c>
      <c r="I33" s="163">
        <f>SUM(I34:I48)</f>
        <v>734.489</v>
      </c>
      <c r="J33" s="565">
        <f>SUM(J34:J48)</f>
        <v>377.343</v>
      </c>
      <c r="K33" s="565">
        <f>SUM(K34:K48)</f>
        <v>357.146</v>
      </c>
      <c r="L33" s="163">
        <f aca="true" t="shared" si="2" ref="L33:Q33">SUM(L34:L48)</f>
        <v>115.94885099999999</v>
      </c>
      <c r="M33" s="565">
        <f t="shared" si="2"/>
        <v>68.668737</v>
      </c>
      <c r="N33" s="565">
        <f t="shared" si="2"/>
        <v>47.280114</v>
      </c>
      <c r="O33" s="163">
        <f t="shared" si="2"/>
        <v>122.789833209</v>
      </c>
      <c r="P33" s="565">
        <f t="shared" si="2"/>
        <v>72.72019248299999</v>
      </c>
      <c r="Q33" s="565">
        <f t="shared" si="2"/>
        <v>50.069640725999996</v>
      </c>
    </row>
    <row r="34" spans="1:17" ht="13.5" outlineLevel="1">
      <c r="A34" s="555"/>
      <c r="B34" s="167"/>
      <c r="C34" s="566" t="s">
        <v>1686</v>
      </c>
      <c r="D34" s="565"/>
      <c r="E34" s="565"/>
      <c r="F34" s="565"/>
      <c r="G34" s="565"/>
      <c r="H34" s="565"/>
      <c r="I34" s="558"/>
      <c r="J34" s="558"/>
      <c r="K34" s="558"/>
      <c r="L34" s="558"/>
      <c r="M34" s="558"/>
      <c r="N34" s="558"/>
      <c r="O34" s="558"/>
      <c r="P34" s="558"/>
      <c r="Q34" s="558"/>
    </row>
    <row r="35" spans="1:17" ht="13.5" outlineLevel="1">
      <c r="A35" s="555"/>
      <c r="B35" s="167" t="s">
        <v>472</v>
      </c>
      <c r="C35" s="1948" t="s">
        <v>807</v>
      </c>
      <c r="D35" s="565">
        <v>141</v>
      </c>
      <c r="E35" s="565">
        <v>94</v>
      </c>
      <c r="F35" s="565"/>
      <c r="G35" s="565"/>
      <c r="H35" s="565"/>
      <c r="I35" s="558"/>
      <c r="J35" s="558"/>
      <c r="K35" s="558">
        <f>G35*1.057/2</f>
        <v>0</v>
      </c>
      <c r="L35" s="558">
        <f>M35+N35</f>
        <v>0</v>
      </c>
      <c r="M35" s="558">
        <f>J35*1.048</f>
        <v>0</v>
      </c>
      <c r="N35" s="558">
        <f>K35*1.048</f>
        <v>0</v>
      </c>
      <c r="O35" s="558">
        <f>P35+Q35</f>
        <v>0</v>
      </c>
      <c r="P35" s="558">
        <f>M35*1.048</f>
        <v>0</v>
      </c>
      <c r="Q35" s="558">
        <f>N35*1.048</f>
        <v>0</v>
      </c>
    </row>
    <row r="36" spans="1:17" ht="13.5" outlineLevel="1">
      <c r="A36" s="562"/>
      <c r="B36" s="167" t="s">
        <v>473</v>
      </c>
      <c r="C36" s="1948" t="s">
        <v>808</v>
      </c>
      <c r="D36" s="565">
        <v>158</v>
      </c>
      <c r="E36" s="565">
        <v>146</v>
      </c>
      <c r="F36" s="565"/>
      <c r="G36" s="565"/>
      <c r="H36" s="565"/>
      <c r="I36" s="558"/>
      <c r="J36" s="558"/>
      <c r="K36" s="558">
        <v>0</v>
      </c>
      <c r="L36" s="558">
        <v>0</v>
      </c>
      <c r="M36" s="558">
        <v>0</v>
      </c>
      <c r="N36" s="558">
        <v>0</v>
      </c>
      <c r="O36" s="558">
        <v>0</v>
      </c>
      <c r="P36" s="558">
        <v>0</v>
      </c>
      <c r="Q36" s="558">
        <v>0</v>
      </c>
    </row>
    <row r="37" spans="1:17" ht="13.5" outlineLevel="1">
      <c r="A37" s="562"/>
      <c r="B37" s="167" t="s">
        <v>474</v>
      </c>
      <c r="C37" s="1948" t="s">
        <v>475</v>
      </c>
      <c r="D37" s="565"/>
      <c r="E37" s="565"/>
      <c r="F37" s="565"/>
      <c r="G37" s="565">
        <v>103</v>
      </c>
      <c r="H37" s="565">
        <v>103</v>
      </c>
      <c r="I37" s="558">
        <f>J37+K37</f>
        <v>109.489</v>
      </c>
      <c r="J37" s="558">
        <f>61*1.063</f>
        <v>64.843</v>
      </c>
      <c r="K37" s="558">
        <f>42*1.063</f>
        <v>44.646</v>
      </c>
      <c r="L37" s="558">
        <f>M37+N37</f>
        <v>115.94885099999999</v>
      </c>
      <c r="M37" s="558">
        <f>J37*1.059</f>
        <v>68.668737</v>
      </c>
      <c r="N37" s="558">
        <f>K37*1.059</f>
        <v>47.280114</v>
      </c>
      <c r="O37" s="558">
        <f>P37+Q37</f>
        <v>122.789833209</v>
      </c>
      <c r="P37" s="558">
        <f>M37*1.059</f>
        <v>72.72019248299999</v>
      </c>
      <c r="Q37" s="558">
        <f>N37*1.059</f>
        <v>50.069640725999996</v>
      </c>
    </row>
    <row r="38" spans="1:17" ht="13.5" outlineLevel="1">
      <c r="A38" s="562"/>
      <c r="B38" s="167" t="s">
        <v>476</v>
      </c>
      <c r="C38" s="1948" t="s">
        <v>489</v>
      </c>
      <c r="D38" s="565"/>
      <c r="E38" s="565"/>
      <c r="F38" s="565"/>
      <c r="G38" s="565"/>
      <c r="H38" s="565"/>
      <c r="I38" s="558">
        <f>J38+K38</f>
        <v>170</v>
      </c>
      <c r="J38" s="558">
        <v>85</v>
      </c>
      <c r="K38" s="558">
        <v>85</v>
      </c>
      <c r="L38" s="558"/>
      <c r="M38" s="558"/>
      <c r="N38" s="558"/>
      <c r="O38" s="558"/>
      <c r="P38" s="558"/>
      <c r="Q38" s="558"/>
    </row>
    <row r="39" spans="1:17" ht="15" customHeight="1" outlineLevel="1">
      <c r="A39" s="562"/>
      <c r="B39" s="167" t="s">
        <v>477</v>
      </c>
      <c r="C39" s="1949" t="s">
        <v>488</v>
      </c>
      <c r="D39" s="565"/>
      <c r="E39" s="565"/>
      <c r="F39" s="565"/>
      <c r="G39" s="565"/>
      <c r="H39" s="565"/>
      <c r="I39" s="558">
        <f>J39+K39</f>
        <v>330</v>
      </c>
      <c r="J39" s="558">
        <v>165</v>
      </c>
      <c r="K39" s="558">
        <v>165</v>
      </c>
      <c r="L39" s="558"/>
      <c r="M39" s="558"/>
      <c r="N39" s="558"/>
      <c r="O39" s="558"/>
      <c r="P39" s="558"/>
      <c r="Q39" s="558"/>
    </row>
    <row r="40" spans="1:17" ht="13.5" outlineLevel="1">
      <c r="A40" s="562"/>
      <c r="B40" s="167" t="s">
        <v>478</v>
      </c>
      <c r="C40" s="1948" t="s">
        <v>1596</v>
      </c>
      <c r="D40" s="565"/>
      <c r="E40" s="565"/>
      <c r="F40" s="565"/>
      <c r="G40" s="565"/>
      <c r="H40" s="565"/>
      <c r="I40" s="558">
        <f>J40+K40</f>
        <v>125</v>
      </c>
      <c r="J40" s="558">
        <v>62.5</v>
      </c>
      <c r="K40" s="558">
        <v>62.5</v>
      </c>
      <c r="L40" s="558"/>
      <c r="M40" s="558"/>
      <c r="N40" s="558"/>
      <c r="O40" s="558"/>
      <c r="P40" s="558"/>
      <c r="Q40" s="558"/>
    </row>
    <row r="41" spans="1:17" ht="28.5" customHeight="1" hidden="1" outlineLevel="1">
      <c r="A41" s="562"/>
      <c r="B41" s="167" t="s">
        <v>479</v>
      </c>
      <c r="C41" s="1949" t="s">
        <v>487</v>
      </c>
      <c r="D41" s="565"/>
      <c r="E41" s="565"/>
      <c r="F41" s="565"/>
      <c r="G41" s="565"/>
      <c r="H41" s="565"/>
      <c r="I41" s="558"/>
      <c r="J41" s="558"/>
      <c r="K41" s="558"/>
      <c r="L41" s="558"/>
      <c r="M41" s="558"/>
      <c r="N41" s="558"/>
      <c r="O41" s="558"/>
      <c r="P41" s="558"/>
      <c r="Q41" s="558"/>
    </row>
    <row r="42" spans="1:17" ht="13.5" hidden="1" outlineLevel="1">
      <c r="A42" s="562"/>
      <c r="B42" s="167" t="s">
        <v>480</v>
      </c>
      <c r="C42" s="1948" t="s">
        <v>483</v>
      </c>
      <c r="D42" s="565"/>
      <c r="E42" s="565"/>
      <c r="F42" s="565"/>
      <c r="G42" s="565"/>
      <c r="H42" s="565"/>
      <c r="I42" s="558"/>
      <c r="J42" s="558"/>
      <c r="K42" s="558"/>
      <c r="L42" s="558"/>
      <c r="M42" s="558"/>
      <c r="N42" s="558"/>
      <c r="O42" s="558"/>
      <c r="P42" s="558"/>
      <c r="Q42" s="558"/>
    </row>
    <row r="43" spans="1:17" ht="13.5" hidden="1" outlineLevel="1">
      <c r="A43" s="562"/>
      <c r="B43" s="167" t="s">
        <v>481</v>
      </c>
      <c r="C43" s="1948" t="s">
        <v>485</v>
      </c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</row>
    <row r="44" spans="1:17" ht="28.5" customHeight="1" hidden="1" outlineLevel="1">
      <c r="A44" s="562"/>
      <c r="B44" s="167" t="s">
        <v>482</v>
      </c>
      <c r="C44" s="1949" t="s">
        <v>487</v>
      </c>
      <c r="D44" s="565"/>
      <c r="E44" s="565"/>
      <c r="F44" s="565"/>
      <c r="G44" s="565"/>
      <c r="H44" s="565"/>
      <c r="I44" s="558"/>
      <c r="J44" s="558"/>
      <c r="K44" s="558"/>
      <c r="L44" s="558"/>
      <c r="M44" s="558"/>
      <c r="N44" s="558"/>
      <c r="O44" s="558"/>
      <c r="P44" s="558"/>
      <c r="Q44" s="558"/>
    </row>
    <row r="45" spans="1:17" ht="13.5" outlineLevel="1">
      <c r="A45" s="562"/>
      <c r="B45" s="167" t="s">
        <v>484</v>
      </c>
      <c r="C45" s="568"/>
      <c r="D45" s="565"/>
      <c r="E45" s="565"/>
      <c r="F45" s="565"/>
      <c r="G45" s="565"/>
      <c r="H45" s="565"/>
      <c r="I45" s="558"/>
      <c r="J45" s="558"/>
      <c r="K45" s="558"/>
      <c r="L45" s="558"/>
      <c r="M45" s="558"/>
      <c r="N45" s="558"/>
      <c r="O45" s="558"/>
      <c r="P45" s="558"/>
      <c r="Q45" s="558"/>
    </row>
    <row r="46" spans="1:17" ht="13.5" outlineLevel="1">
      <c r="A46" s="562"/>
      <c r="B46" s="167" t="s">
        <v>486</v>
      </c>
      <c r="C46" s="569"/>
      <c r="D46" s="565"/>
      <c r="E46" s="565"/>
      <c r="F46" s="565"/>
      <c r="G46" s="565"/>
      <c r="H46" s="565"/>
      <c r="I46" s="558"/>
      <c r="J46" s="558"/>
      <c r="K46" s="558"/>
      <c r="L46" s="558"/>
      <c r="M46" s="558"/>
      <c r="N46" s="558"/>
      <c r="O46" s="558"/>
      <c r="P46" s="558"/>
      <c r="Q46" s="558"/>
    </row>
    <row r="47" spans="1:17" ht="13.5" outlineLevel="1">
      <c r="A47" s="562"/>
      <c r="B47" s="167" t="s">
        <v>474</v>
      </c>
      <c r="C47" s="568"/>
      <c r="D47" s="565"/>
      <c r="E47" s="565"/>
      <c r="F47" s="565"/>
      <c r="G47" s="565"/>
      <c r="H47" s="565"/>
      <c r="I47" s="558"/>
      <c r="J47" s="558"/>
      <c r="K47" s="558"/>
      <c r="L47" s="558"/>
      <c r="M47" s="558"/>
      <c r="N47" s="558"/>
      <c r="O47" s="558"/>
      <c r="P47" s="558"/>
      <c r="Q47" s="558"/>
    </row>
    <row r="48" spans="1:17" ht="16.5" customHeight="1" outlineLevel="1">
      <c r="A48" s="562"/>
      <c r="B48" s="167" t="s">
        <v>476</v>
      </c>
      <c r="C48" s="569"/>
      <c r="D48" s="565"/>
      <c r="E48" s="565"/>
      <c r="F48" s="565"/>
      <c r="G48" s="565"/>
      <c r="H48" s="565"/>
      <c r="I48" s="558"/>
      <c r="J48" s="558"/>
      <c r="K48" s="558"/>
      <c r="L48" s="558"/>
      <c r="M48" s="558"/>
      <c r="N48" s="558"/>
      <c r="O48" s="558"/>
      <c r="P48" s="558"/>
      <c r="Q48" s="558"/>
    </row>
    <row r="49" spans="1:17" ht="110.25" customHeight="1">
      <c r="A49" s="555"/>
      <c r="B49" s="167" t="s">
        <v>490</v>
      </c>
      <c r="C49" s="1941" t="s">
        <v>491</v>
      </c>
      <c r="D49" s="565">
        <f>SUM(D50:D72,D77:D78)</f>
        <v>254</v>
      </c>
      <c r="E49" s="565">
        <f aca="true" t="shared" si="3" ref="E49:K49">SUM(E50:E72,E77:E78)</f>
        <v>282</v>
      </c>
      <c r="F49" s="565"/>
      <c r="G49" s="163">
        <f t="shared" si="3"/>
        <v>203</v>
      </c>
      <c r="H49" s="163">
        <f>SUM(H50:H72,H77:H78)</f>
        <v>247.5</v>
      </c>
      <c r="I49" s="565">
        <f t="shared" si="3"/>
        <v>98.64300000000001</v>
      </c>
      <c r="J49" s="565">
        <f t="shared" si="3"/>
        <v>58.35699999999999</v>
      </c>
      <c r="K49" s="565">
        <f t="shared" si="3"/>
        <v>40.286</v>
      </c>
      <c r="L49" s="565">
        <f aca="true" t="shared" si="4" ref="L49:Q49">SUM(L50:L72,L77:L78)</f>
        <v>63.723944999999986</v>
      </c>
      <c r="M49" s="565">
        <f t="shared" si="4"/>
        <v>39.17913299999999</v>
      </c>
      <c r="N49" s="565">
        <f t="shared" si="4"/>
        <v>24.544811999999997</v>
      </c>
      <c r="O49" s="565">
        <f t="shared" si="4"/>
        <v>135.054468195</v>
      </c>
      <c r="P49" s="565">
        <f t="shared" si="4"/>
        <v>91.16110706699999</v>
      </c>
      <c r="Q49" s="565">
        <f t="shared" si="4"/>
        <v>43.893361127999995</v>
      </c>
    </row>
    <row r="50" spans="1:17" ht="13.5" outlineLevel="1">
      <c r="A50" s="555"/>
      <c r="B50" s="167"/>
      <c r="C50" s="566" t="s">
        <v>1686</v>
      </c>
      <c r="D50" s="565"/>
      <c r="E50" s="565"/>
      <c r="F50" s="565"/>
      <c r="G50" s="565"/>
      <c r="H50" s="565"/>
      <c r="I50" s="558"/>
      <c r="J50" s="558"/>
      <c r="K50" s="558"/>
      <c r="L50" s="558"/>
      <c r="M50" s="558"/>
      <c r="N50" s="558"/>
      <c r="O50" s="558"/>
      <c r="P50" s="558"/>
      <c r="Q50" s="558"/>
    </row>
    <row r="51" spans="1:17" ht="13.5" outlineLevel="1">
      <c r="A51" s="562"/>
      <c r="B51" s="167" t="s">
        <v>492</v>
      </c>
      <c r="C51" s="1947" t="s">
        <v>1014</v>
      </c>
      <c r="D51" s="565">
        <v>18</v>
      </c>
      <c r="E51" s="565">
        <v>56</v>
      </c>
      <c r="F51" s="558"/>
      <c r="G51" s="565">
        <v>23</v>
      </c>
      <c r="H51" s="565">
        <v>23</v>
      </c>
      <c r="I51" s="558">
        <f aca="true" t="shared" si="5" ref="I51:I77">J51+K51</f>
        <v>23.386</v>
      </c>
      <c r="J51" s="558">
        <f>13*1.063</f>
        <v>13.818999999999999</v>
      </c>
      <c r="K51" s="558">
        <f>9*1.063</f>
        <v>9.567</v>
      </c>
      <c r="L51" s="558">
        <f aca="true" t="shared" si="6" ref="L51:L77">M51+N51</f>
        <v>20.262906</v>
      </c>
      <c r="M51" s="558">
        <f>K51*1.059</f>
        <v>10.131453</v>
      </c>
      <c r="N51" s="558">
        <f>K51*1.059</f>
        <v>10.131453</v>
      </c>
      <c r="O51" s="558">
        <f aca="true" t="shared" si="7" ref="O51:O77">P51+Q51</f>
        <v>21.458417454</v>
      </c>
      <c r="P51" s="558">
        <f>M51*1.059</f>
        <v>10.729208727</v>
      </c>
      <c r="Q51" s="558">
        <f>N51*1.059</f>
        <v>10.729208727</v>
      </c>
    </row>
    <row r="52" spans="1:17" ht="13.5" outlineLevel="1">
      <c r="A52" s="562"/>
      <c r="B52" s="167" t="s">
        <v>1015</v>
      </c>
      <c r="C52" s="2014" t="s">
        <v>1016</v>
      </c>
      <c r="D52" s="565">
        <v>45</v>
      </c>
      <c r="E52" s="565">
        <v>30</v>
      </c>
      <c r="F52" s="558"/>
      <c r="G52" s="565">
        <v>32</v>
      </c>
      <c r="H52" s="558"/>
      <c r="I52" s="558">
        <f t="shared" si="5"/>
        <v>34.016</v>
      </c>
      <c r="J52" s="558">
        <f>G52*1.063/2</f>
        <v>17.008</v>
      </c>
      <c r="K52" s="558">
        <f>G52*1.063/2</f>
        <v>17.008</v>
      </c>
      <c r="L52" s="558">
        <f t="shared" si="6"/>
        <v>0</v>
      </c>
      <c r="M52" s="558"/>
      <c r="N52" s="558"/>
      <c r="O52" s="558">
        <f t="shared" si="7"/>
        <v>36.022943999999995</v>
      </c>
      <c r="P52" s="558">
        <f>J52*1.059</f>
        <v>18.011471999999998</v>
      </c>
      <c r="Q52" s="558">
        <f>K52*1.059</f>
        <v>18.011471999999998</v>
      </c>
    </row>
    <row r="53" spans="1:17" ht="13.5" outlineLevel="1">
      <c r="A53" s="562"/>
      <c r="B53" s="167" t="s">
        <v>1017</v>
      </c>
      <c r="C53" s="1947" t="s">
        <v>1018</v>
      </c>
      <c r="D53" s="565">
        <v>5</v>
      </c>
      <c r="E53" s="565">
        <v>8</v>
      </c>
      <c r="F53" s="558"/>
      <c r="G53" s="565">
        <v>12</v>
      </c>
      <c r="H53" s="2016">
        <v>46</v>
      </c>
      <c r="I53" s="558">
        <f t="shared" si="5"/>
        <v>12.54</v>
      </c>
      <c r="J53" s="558">
        <f>G53*1.045/2</f>
        <v>6.27</v>
      </c>
      <c r="K53" s="558">
        <f>G53*1.045/2</f>
        <v>6.27</v>
      </c>
      <c r="L53" s="558">
        <f t="shared" si="6"/>
        <v>13.06668</v>
      </c>
      <c r="M53" s="558">
        <f aca="true" t="shared" si="8" ref="M53:M77">K53*1.042</f>
        <v>6.53334</v>
      </c>
      <c r="N53" s="558">
        <f aca="true" t="shared" si="9" ref="N53:N77">K53*1.042</f>
        <v>6.53334</v>
      </c>
      <c r="O53" s="558">
        <f t="shared" si="7"/>
        <v>13.61548056</v>
      </c>
      <c r="P53" s="558">
        <f aca="true" t="shared" si="10" ref="P53:P77">M53*1.042</f>
        <v>6.80774028</v>
      </c>
      <c r="Q53" s="558">
        <f aca="true" t="shared" si="11" ref="Q53:Q77">N53*1.042</f>
        <v>6.80774028</v>
      </c>
    </row>
    <row r="54" spans="1:17" ht="13.5" outlineLevel="1">
      <c r="A54" s="562"/>
      <c r="B54" s="167" t="s">
        <v>1019</v>
      </c>
      <c r="C54" s="1947" t="s">
        <v>1020</v>
      </c>
      <c r="D54" s="565">
        <v>4</v>
      </c>
      <c r="E54" s="565">
        <v>3</v>
      </c>
      <c r="F54" s="565"/>
      <c r="G54" s="565">
        <v>2</v>
      </c>
      <c r="H54" s="565">
        <v>3.5</v>
      </c>
      <c r="I54" s="558">
        <f t="shared" si="5"/>
        <v>2.126</v>
      </c>
      <c r="J54" s="558">
        <f>G54*1.063/2</f>
        <v>1.063</v>
      </c>
      <c r="K54" s="558">
        <f>G54*1.063/2</f>
        <v>1.063</v>
      </c>
      <c r="L54" s="558">
        <f t="shared" si="6"/>
        <v>2.2514339999999997</v>
      </c>
      <c r="M54" s="558">
        <f>J54*1.059</f>
        <v>1.1257169999999999</v>
      </c>
      <c r="N54" s="558">
        <f>K54*1.059</f>
        <v>1.1257169999999999</v>
      </c>
      <c r="O54" s="558">
        <f t="shared" si="7"/>
        <v>2.3842686059999996</v>
      </c>
      <c r="P54" s="558">
        <f>M54*1.059</f>
        <v>1.1921343029999998</v>
      </c>
      <c r="Q54" s="558">
        <f>N54*1.059</f>
        <v>1.1921343029999998</v>
      </c>
    </row>
    <row r="55" spans="1:17" ht="13.5" outlineLevel="1">
      <c r="A55" s="562"/>
      <c r="B55" s="167" t="s">
        <v>1021</v>
      </c>
      <c r="C55" s="1947" t="s">
        <v>1022</v>
      </c>
      <c r="D55" s="565"/>
      <c r="E55" s="565"/>
      <c r="F55" s="565"/>
      <c r="G55" s="565"/>
      <c r="H55" s="565"/>
      <c r="I55" s="558">
        <f t="shared" si="5"/>
        <v>0</v>
      </c>
      <c r="J55" s="558">
        <f>G55*1.045/2</f>
        <v>0</v>
      </c>
      <c r="K55" s="558">
        <f>G55*1.045/2</f>
        <v>0</v>
      </c>
      <c r="L55" s="558">
        <f t="shared" si="6"/>
        <v>0</v>
      </c>
      <c r="M55" s="558">
        <f t="shared" si="8"/>
        <v>0</v>
      </c>
      <c r="N55" s="558">
        <f t="shared" si="9"/>
        <v>0</v>
      </c>
      <c r="O55" s="558">
        <f t="shared" si="7"/>
        <v>0</v>
      </c>
      <c r="P55" s="558">
        <f t="shared" si="10"/>
        <v>0</v>
      </c>
      <c r="Q55" s="558">
        <f t="shared" si="11"/>
        <v>0</v>
      </c>
    </row>
    <row r="56" spans="1:17" ht="13.5" outlineLevel="1">
      <c r="A56" s="562"/>
      <c r="B56" s="167" t="s">
        <v>1023</v>
      </c>
      <c r="C56" s="1947" t="s">
        <v>1024</v>
      </c>
      <c r="D56" s="565">
        <v>120</v>
      </c>
      <c r="E56" s="565">
        <v>120</v>
      </c>
      <c r="F56" s="565"/>
      <c r="G56" s="565">
        <v>120</v>
      </c>
      <c r="H56" s="565">
        <v>120</v>
      </c>
      <c r="I56" s="558"/>
      <c r="J56" s="558"/>
      <c r="K56" s="558"/>
      <c r="L56" s="558"/>
      <c r="M56" s="558"/>
      <c r="N56" s="558"/>
      <c r="O56" s="558"/>
      <c r="P56" s="558"/>
      <c r="Q56" s="558"/>
    </row>
    <row r="57" spans="1:17" ht="13.5" outlineLevel="1">
      <c r="A57" s="562"/>
      <c r="B57" s="167" t="s">
        <v>1025</v>
      </c>
      <c r="C57" s="1947" t="s">
        <v>1026</v>
      </c>
      <c r="D57" s="565">
        <v>14</v>
      </c>
      <c r="E57" s="565">
        <v>14</v>
      </c>
      <c r="F57" s="565"/>
      <c r="G57" s="565">
        <v>14</v>
      </c>
      <c r="H57" s="565">
        <v>14</v>
      </c>
      <c r="I57" s="558">
        <f t="shared" si="5"/>
        <v>14.882</v>
      </c>
      <c r="J57" s="558">
        <f>8*1.063</f>
        <v>8.504</v>
      </c>
      <c r="K57" s="558">
        <f>6*1.063</f>
        <v>6.378</v>
      </c>
      <c r="L57" s="558">
        <f t="shared" si="6"/>
        <v>15.760037999999998</v>
      </c>
      <c r="M57" s="558">
        <f>J57*1.059</f>
        <v>9.005735999999999</v>
      </c>
      <c r="N57" s="558">
        <f>K57*1.059</f>
        <v>6.754302</v>
      </c>
      <c r="O57" s="558">
        <f t="shared" si="7"/>
        <v>16.689880241999997</v>
      </c>
      <c r="P57" s="558">
        <f>M57*1.059</f>
        <v>9.537074423999998</v>
      </c>
      <c r="Q57" s="558">
        <f>N57*1.059</f>
        <v>7.152805818</v>
      </c>
    </row>
    <row r="58" spans="1:17" ht="13.5" outlineLevel="1">
      <c r="A58" s="562"/>
      <c r="B58" s="167" t="s">
        <v>1027</v>
      </c>
      <c r="C58" s="1947" t="s">
        <v>549</v>
      </c>
      <c r="D58" s="565">
        <v>48</v>
      </c>
      <c r="E58" s="565">
        <v>51</v>
      </c>
      <c r="F58" s="565"/>
      <c r="G58" s="565"/>
      <c r="H58" s="565"/>
      <c r="I58" s="558"/>
      <c r="J58" s="558"/>
      <c r="K58" s="558"/>
      <c r="L58" s="558"/>
      <c r="M58" s="558"/>
      <c r="N58" s="558"/>
      <c r="O58" s="558"/>
      <c r="P58" s="558"/>
      <c r="Q58" s="558"/>
    </row>
    <row r="59" spans="1:17" ht="13.5" outlineLevel="1">
      <c r="A59" s="562"/>
      <c r="B59" s="167" t="s">
        <v>1028</v>
      </c>
      <c r="C59" s="2014" t="s">
        <v>1029</v>
      </c>
      <c r="D59" s="565"/>
      <c r="E59" s="565"/>
      <c r="F59" s="558"/>
      <c r="G59" s="565"/>
      <c r="H59" s="2015"/>
      <c r="I59" s="558"/>
      <c r="J59" s="558"/>
      <c r="K59" s="558"/>
      <c r="L59" s="558"/>
      <c r="M59" s="558"/>
      <c r="N59" s="558"/>
      <c r="O59" s="558"/>
      <c r="P59" s="558"/>
      <c r="Q59" s="558"/>
    </row>
    <row r="60" spans="1:17" ht="27" outlineLevel="1">
      <c r="A60" s="562"/>
      <c r="B60" s="167" t="s">
        <v>1030</v>
      </c>
      <c r="C60" s="2014" t="s">
        <v>1033</v>
      </c>
      <c r="D60" s="565"/>
      <c r="E60" s="565"/>
      <c r="F60" s="565"/>
      <c r="G60" s="565"/>
      <c r="H60" s="565"/>
      <c r="I60" s="558">
        <f t="shared" si="5"/>
        <v>0</v>
      </c>
      <c r="J60" s="558"/>
      <c r="K60" s="558"/>
      <c r="L60" s="558">
        <f t="shared" si="6"/>
        <v>0</v>
      </c>
      <c r="M60" s="558">
        <f t="shared" si="8"/>
        <v>0</v>
      </c>
      <c r="N60" s="558">
        <f t="shared" si="9"/>
        <v>0</v>
      </c>
      <c r="O60" s="558">
        <f t="shared" si="7"/>
        <v>0</v>
      </c>
      <c r="P60" s="558">
        <f t="shared" si="10"/>
        <v>0</v>
      </c>
      <c r="Q60" s="558">
        <f t="shared" si="11"/>
        <v>0</v>
      </c>
    </row>
    <row r="61" spans="1:18" ht="13.5" outlineLevel="1">
      <c r="A61" s="562"/>
      <c r="B61" s="167" t="s">
        <v>1031</v>
      </c>
      <c r="C61" s="1947" t="s">
        <v>1035</v>
      </c>
      <c r="D61" s="565"/>
      <c r="E61" s="565"/>
      <c r="F61" s="565"/>
      <c r="G61" s="565"/>
      <c r="H61" s="565"/>
      <c r="I61" s="558">
        <f t="shared" si="5"/>
        <v>0</v>
      </c>
      <c r="J61" s="558"/>
      <c r="K61" s="558"/>
      <c r="L61" s="558">
        <f t="shared" si="6"/>
        <v>0</v>
      </c>
      <c r="M61" s="558">
        <f t="shared" si="8"/>
        <v>0</v>
      </c>
      <c r="N61" s="558">
        <f t="shared" si="9"/>
        <v>0</v>
      </c>
      <c r="O61" s="558">
        <f t="shared" si="7"/>
        <v>31.77</v>
      </c>
      <c r="P61" s="558">
        <f>30*1.059</f>
        <v>31.77</v>
      </c>
      <c r="Q61" s="558">
        <f t="shared" si="11"/>
        <v>0</v>
      </c>
      <c r="R61" s="1" t="s">
        <v>556</v>
      </c>
    </row>
    <row r="62" spans="1:18" ht="13.5" outlineLevel="1">
      <c r="A62" s="562"/>
      <c r="B62" s="167" t="s">
        <v>1032</v>
      </c>
      <c r="C62" s="2014" t="s">
        <v>547</v>
      </c>
      <c r="D62" s="565"/>
      <c r="E62" s="565"/>
      <c r="F62" s="565"/>
      <c r="G62" s="565"/>
      <c r="H62" s="565">
        <v>11</v>
      </c>
      <c r="I62" s="558">
        <f t="shared" si="5"/>
        <v>11.693</v>
      </c>
      <c r="J62" s="558">
        <f>H62*1.063</f>
        <v>11.693</v>
      </c>
      <c r="K62" s="558">
        <v>0</v>
      </c>
      <c r="L62" s="558">
        <f t="shared" si="6"/>
        <v>12.382886999999998</v>
      </c>
      <c r="M62" s="558">
        <f>J62*1.059</f>
        <v>12.382886999999998</v>
      </c>
      <c r="N62" s="558">
        <f t="shared" si="9"/>
        <v>0</v>
      </c>
      <c r="O62" s="558">
        <f t="shared" si="7"/>
        <v>13.113477332999997</v>
      </c>
      <c r="P62" s="558">
        <f>M62*1.059</f>
        <v>13.113477332999997</v>
      </c>
      <c r="Q62" s="558">
        <f t="shared" si="11"/>
        <v>0</v>
      </c>
      <c r="R62" s="1" t="s">
        <v>1062</v>
      </c>
    </row>
    <row r="63" spans="1:17" ht="13.5" outlineLevel="1">
      <c r="A63" s="562"/>
      <c r="B63" s="167" t="s">
        <v>1034</v>
      </c>
      <c r="C63" s="2014" t="s">
        <v>551</v>
      </c>
      <c r="D63" s="565"/>
      <c r="E63" s="565"/>
      <c r="F63" s="558"/>
      <c r="G63" s="565"/>
      <c r="H63" s="2016">
        <v>30</v>
      </c>
      <c r="I63" s="558">
        <f t="shared" si="5"/>
        <v>0</v>
      </c>
      <c r="J63" s="558"/>
      <c r="K63" s="558"/>
      <c r="L63" s="558">
        <f t="shared" si="6"/>
        <v>0</v>
      </c>
      <c r="M63" s="558">
        <f t="shared" si="8"/>
        <v>0</v>
      </c>
      <c r="N63" s="558">
        <f t="shared" si="9"/>
        <v>0</v>
      </c>
      <c r="O63" s="558">
        <f t="shared" si="7"/>
        <v>0</v>
      </c>
      <c r="P63" s="558">
        <f t="shared" si="10"/>
        <v>0</v>
      </c>
      <c r="Q63" s="558">
        <f t="shared" si="11"/>
        <v>0</v>
      </c>
    </row>
    <row r="64" spans="1:17" ht="13.5" outlineLevel="1">
      <c r="A64" s="562"/>
      <c r="B64" s="167" t="s">
        <v>1036</v>
      </c>
      <c r="C64" s="1947" t="s">
        <v>545</v>
      </c>
      <c r="D64" s="565"/>
      <c r="E64" s="565"/>
      <c r="F64" s="565"/>
      <c r="G64" s="565"/>
      <c r="H64" s="565"/>
      <c r="I64" s="558">
        <f t="shared" si="5"/>
        <v>0</v>
      </c>
      <c r="J64" s="558"/>
      <c r="K64" s="558"/>
      <c r="L64" s="558">
        <f t="shared" si="6"/>
        <v>0</v>
      </c>
      <c r="M64" s="558">
        <f t="shared" si="8"/>
        <v>0</v>
      </c>
      <c r="N64" s="558">
        <f t="shared" si="9"/>
        <v>0</v>
      </c>
      <c r="O64" s="558">
        <f t="shared" si="7"/>
        <v>0</v>
      </c>
      <c r="P64" s="558">
        <f t="shared" si="10"/>
        <v>0</v>
      </c>
      <c r="Q64" s="558">
        <f t="shared" si="11"/>
        <v>0</v>
      </c>
    </row>
    <row r="65" spans="1:17" ht="13.5" outlineLevel="1">
      <c r="A65" s="562"/>
      <c r="B65" s="167" t="s">
        <v>1037</v>
      </c>
      <c r="C65" s="1947" t="s">
        <v>553</v>
      </c>
      <c r="D65" s="565"/>
      <c r="E65" s="565"/>
      <c r="F65" s="565"/>
      <c r="G65" s="565"/>
      <c r="H65" s="565"/>
      <c r="I65" s="558">
        <f t="shared" si="5"/>
        <v>0</v>
      </c>
      <c r="J65" s="558"/>
      <c r="K65" s="558"/>
      <c r="L65" s="558">
        <f t="shared" si="6"/>
        <v>0</v>
      </c>
      <c r="M65" s="558">
        <f t="shared" si="8"/>
        <v>0</v>
      </c>
      <c r="N65" s="558">
        <f t="shared" si="9"/>
        <v>0</v>
      </c>
      <c r="O65" s="558">
        <f t="shared" si="7"/>
        <v>0</v>
      </c>
      <c r="P65" s="558">
        <f t="shared" si="10"/>
        <v>0</v>
      </c>
      <c r="Q65" s="558">
        <f t="shared" si="11"/>
        <v>0</v>
      </c>
    </row>
    <row r="66" spans="1:17" ht="17.25" customHeight="1" hidden="1" outlineLevel="1">
      <c r="A66" s="562"/>
      <c r="B66" s="167" t="s">
        <v>1038</v>
      </c>
      <c r="C66" s="2014"/>
      <c r="D66" s="565"/>
      <c r="E66" s="565"/>
      <c r="F66" s="565"/>
      <c r="G66" s="565"/>
      <c r="H66" s="565"/>
      <c r="I66" s="558">
        <f t="shared" si="5"/>
        <v>0</v>
      </c>
      <c r="J66" s="558"/>
      <c r="K66" s="558"/>
      <c r="L66" s="558">
        <f t="shared" si="6"/>
        <v>0</v>
      </c>
      <c r="M66" s="558">
        <f t="shared" si="8"/>
        <v>0</v>
      </c>
      <c r="N66" s="558">
        <f t="shared" si="9"/>
        <v>0</v>
      </c>
      <c r="O66" s="558">
        <f t="shared" si="7"/>
        <v>0</v>
      </c>
      <c r="P66" s="558">
        <f t="shared" si="10"/>
        <v>0</v>
      </c>
      <c r="Q66" s="558">
        <f t="shared" si="11"/>
        <v>0</v>
      </c>
    </row>
    <row r="67" spans="1:17" ht="13.5" hidden="1" outlineLevel="1">
      <c r="A67" s="562"/>
      <c r="B67" s="167" t="s">
        <v>544</v>
      </c>
      <c r="C67" s="1947"/>
      <c r="D67" s="565"/>
      <c r="E67" s="565"/>
      <c r="F67" s="565"/>
      <c r="G67" s="565"/>
      <c r="H67" s="565"/>
      <c r="I67" s="558">
        <f t="shared" si="5"/>
        <v>0</v>
      </c>
      <c r="J67" s="558"/>
      <c r="K67" s="558"/>
      <c r="L67" s="558">
        <f t="shared" si="6"/>
        <v>0</v>
      </c>
      <c r="M67" s="558">
        <f t="shared" si="8"/>
        <v>0</v>
      </c>
      <c r="N67" s="558">
        <f t="shared" si="9"/>
        <v>0</v>
      </c>
      <c r="O67" s="558">
        <f t="shared" si="7"/>
        <v>0</v>
      </c>
      <c r="P67" s="558">
        <f t="shared" si="10"/>
        <v>0</v>
      </c>
      <c r="Q67" s="558">
        <f t="shared" si="11"/>
        <v>0</v>
      </c>
    </row>
    <row r="68" spans="1:17" ht="13.5" hidden="1" outlineLevel="1">
      <c r="A68" s="562"/>
      <c r="B68" s="167" t="s">
        <v>546</v>
      </c>
      <c r="C68" s="1947"/>
      <c r="D68" s="565"/>
      <c r="E68" s="565"/>
      <c r="F68" s="565"/>
      <c r="G68" s="565"/>
      <c r="H68" s="565"/>
      <c r="I68" s="558">
        <f t="shared" si="5"/>
        <v>0</v>
      </c>
      <c r="J68" s="558"/>
      <c r="K68" s="558"/>
      <c r="L68" s="558">
        <f t="shared" si="6"/>
        <v>0</v>
      </c>
      <c r="M68" s="558">
        <f t="shared" si="8"/>
        <v>0</v>
      </c>
      <c r="N68" s="558">
        <f t="shared" si="9"/>
        <v>0</v>
      </c>
      <c r="O68" s="558">
        <f t="shared" si="7"/>
        <v>0</v>
      </c>
      <c r="P68" s="558">
        <f t="shared" si="10"/>
        <v>0</v>
      </c>
      <c r="Q68" s="558">
        <f t="shared" si="11"/>
        <v>0</v>
      </c>
    </row>
    <row r="69" spans="1:17" ht="13.5" hidden="1" outlineLevel="1">
      <c r="A69" s="562"/>
      <c r="B69" s="167" t="s">
        <v>548</v>
      </c>
      <c r="C69" s="1947"/>
      <c r="D69" s="565"/>
      <c r="E69" s="565"/>
      <c r="F69" s="565"/>
      <c r="G69" s="565"/>
      <c r="H69" s="565"/>
      <c r="I69" s="558">
        <f t="shared" si="5"/>
        <v>0</v>
      </c>
      <c r="J69" s="558"/>
      <c r="K69" s="558"/>
      <c r="L69" s="558">
        <f t="shared" si="6"/>
        <v>0</v>
      </c>
      <c r="M69" s="558">
        <f t="shared" si="8"/>
        <v>0</v>
      </c>
      <c r="N69" s="558">
        <f t="shared" si="9"/>
        <v>0</v>
      </c>
      <c r="O69" s="558">
        <f t="shared" si="7"/>
        <v>0</v>
      </c>
      <c r="P69" s="558">
        <f t="shared" si="10"/>
        <v>0</v>
      </c>
      <c r="Q69" s="558">
        <f t="shared" si="11"/>
        <v>0</v>
      </c>
    </row>
    <row r="70" spans="1:17" ht="13.5" hidden="1" outlineLevel="1">
      <c r="A70" s="562"/>
      <c r="B70" s="167" t="s">
        <v>550</v>
      </c>
      <c r="C70" s="1947"/>
      <c r="D70" s="565"/>
      <c r="E70" s="565"/>
      <c r="F70" s="565"/>
      <c r="G70" s="565"/>
      <c r="H70" s="565"/>
      <c r="I70" s="558">
        <f t="shared" si="5"/>
        <v>0</v>
      </c>
      <c r="J70" s="558"/>
      <c r="K70" s="558"/>
      <c r="L70" s="558">
        <f t="shared" si="6"/>
        <v>0</v>
      </c>
      <c r="M70" s="558">
        <f t="shared" si="8"/>
        <v>0</v>
      </c>
      <c r="N70" s="558">
        <f t="shared" si="9"/>
        <v>0</v>
      </c>
      <c r="O70" s="558">
        <f t="shared" si="7"/>
        <v>0</v>
      </c>
      <c r="P70" s="558">
        <f t="shared" si="10"/>
        <v>0</v>
      </c>
      <c r="Q70" s="558">
        <f t="shared" si="11"/>
        <v>0</v>
      </c>
    </row>
    <row r="71" spans="1:17" ht="13.5" hidden="1" outlineLevel="1">
      <c r="A71" s="562"/>
      <c r="B71" s="167" t="s">
        <v>552</v>
      </c>
      <c r="C71" s="1947"/>
      <c r="D71" s="565"/>
      <c r="E71" s="565"/>
      <c r="F71" s="565"/>
      <c r="G71" s="565"/>
      <c r="H71" s="565"/>
      <c r="I71" s="558">
        <f t="shared" si="5"/>
        <v>0</v>
      </c>
      <c r="J71" s="558"/>
      <c r="K71" s="558"/>
      <c r="L71" s="558">
        <f t="shared" si="6"/>
        <v>0</v>
      </c>
      <c r="M71" s="558">
        <f t="shared" si="8"/>
        <v>0</v>
      </c>
      <c r="N71" s="558">
        <f t="shared" si="9"/>
        <v>0</v>
      </c>
      <c r="O71" s="558">
        <f t="shared" si="7"/>
        <v>0</v>
      </c>
      <c r="P71" s="558">
        <f t="shared" si="10"/>
        <v>0</v>
      </c>
      <c r="Q71" s="558">
        <f t="shared" si="11"/>
        <v>0</v>
      </c>
    </row>
    <row r="72" spans="1:17" ht="18.75" customHeight="1" hidden="1" outlineLevel="1">
      <c r="A72" s="562"/>
      <c r="B72" s="167" t="s">
        <v>554</v>
      </c>
      <c r="C72" s="568" t="s">
        <v>566</v>
      </c>
      <c r="D72" s="565"/>
      <c r="E72" s="565"/>
      <c r="F72" s="565"/>
      <c r="G72" s="565"/>
      <c r="H72" s="565"/>
      <c r="I72" s="558">
        <f t="shared" si="5"/>
        <v>0</v>
      </c>
      <c r="J72" s="558"/>
      <c r="K72" s="558"/>
      <c r="L72" s="558">
        <f t="shared" si="6"/>
        <v>0</v>
      </c>
      <c r="M72" s="558">
        <f t="shared" si="8"/>
        <v>0</v>
      </c>
      <c r="N72" s="558">
        <f t="shared" si="9"/>
        <v>0</v>
      </c>
      <c r="O72" s="558">
        <f t="shared" si="7"/>
        <v>0</v>
      </c>
      <c r="P72" s="558">
        <f t="shared" si="10"/>
        <v>0</v>
      </c>
      <c r="Q72" s="558">
        <f t="shared" si="11"/>
        <v>0</v>
      </c>
    </row>
    <row r="73" spans="1:17" ht="13.5" hidden="1" outlineLevel="2">
      <c r="A73" s="562"/>
      <c r="B73" s="30"/>
      <c r="C73" s="1950" t="s">
        <v>567</v>
      </c>
      <c r="D73" s="570"/>
      <c r="E73" s="570"/>
      <c r="F73" s="570"/>
      <c r="G73" s="570"/>
      <c r="H73" s="570"/>
      <c r="I73" s="558">
        <f t="shared" si="5"/>
        <v>0</v>
      </c>
      <c r="J73" s="571"/>
      <c r="K73" s="571"/>
      <c r="L73" s="558">
        <f t="shared" si="6"/>
        <v>0</v>
      </c>
      <c r="M73" s="558">
        <f t="shared" si="8"/>
        <v>0</v>
      </c>
      <c r="N73" s="558">
        <f t="shared" si="9"/>
        <v>0</v>
      </c>
      <c r="O73" s="558">
        <f t="shared" si="7"/>
        <v>0</v>
      </c>
      <c r="P73" s="558">
        <f t="shared" si="10"/>
        <v>0</v>
      </c>
      <c r="Q73" s="558">
        <f t="shared" si="11"/>
        <v>0</v>
      </c>
    </row>
    <row r="74" spans="1:17" ht="13.5" hidden="1" outlineLevel="2">
      <c r="A74" s="562"/>
      <c r="B74" s="30"/>
      <c r="C74" s="1950" t="s">
        <v>568</v>
      </c>
      <c r="D74" s="570"/>
      <c r="E74" s="570"/>
      <c r="F74" s="570"/>
      <c r="G74" s="570"/>
      <c r="H74" s="570"/>
      <c r="I74" s="558">
        <f t="shared" si="5"/>
        <v>0</v>
      </c>
      <c r="J74" s="571"/>
      <c r="K74" s="571"/>
      <c r="L74" s="558">
        <f t="shared" si="6"/>
        <v>0</v>
      </c>
      <c r="M74" s="558">
        <f t="shared" si="8"/>
        <v>0</v>
      </c>
      <c r="N74" s="558">
        <f t="shared" si="9"/>
        <v>0</v>
      </c>
      <c r="O74" s="558">
        <f t="shared" si="7"/>
        <v>0</v>
      </c>
      <c r="P74" s="558">
        <f t="shared" si="10"/>
        <v>0</v>
      </c>
      <c r="Q74" s="558">
        <f t="shared" si="11"/>
        <v>0</v>
      </c>
    </row>
    <row r="75" spans="1:17" ht="13.5" hidden="1" outlineLevel="2">
      <c r="A75" s="572"/>
      <c r="B75" s="30"/>
      <c r="C75" s="1950" t="s">
        <v>569</v>
      </c>
      <c r="D75" s="570"/>
      <c r="E75" s="570"/>
      <c r="F75" s="570"/>
      <c r="G75" s="570"/>
      <c r="H75" s="570"/>
      <c r="I75" s="558">
        <f t="shared" si="5"/>
        <v>0</v>
      </c>
      <c r="J75" s="571"/>
      <c r="K75" s="571"/>
      <c r="L75" s="558">
        <f t="shared" si="6"/>
        <v>0</v>
      </c>
      <c r="M75" s="558">
        <f t="shared" si="8"/>
        <v>0</v>
      </c>
      <c r="N75" s="558">
        <f t="shared" si="9"/>
        <v>0</v>
      </c>
      <c r="O75" s="558">
        <f t="shared" si="7"/>
        <v>0</v>
      </c>
      <c r="P75" s="558">
        <f t="shared" si="10"/>
        <v>0</v>
      </c>
      <c r="Q75" s="558">
        <f t="shared" si="11"/>
        <v>0</v>
      </c>
    </row>
    <row r="76" spans="1:17" ht="13.5" hidden="1" outlineLevel="2">
      <c r="A76" s="572"/>
      <c r="B76" s="30"/>
      <c r="C76" s="1950" t="s">
        <v>570</v>
      </c>
      <c r="D76" s="570"/>
      <c r="E76" s="570"/>
      <c r="F76" s="570"/>
      <c r="G76" s="570"/>
      <c r="H76" s="570"/>
      <c r="I76" s="558">
        <f t="shared" si="5"/>
        <v>0</v>
      </c>
      <c r="J76" s="571"/>
      <c r="K76" s="571"/>
      <c r="L76" s="558">
        <f t="shared" si="6"/>
        <v>0</v>
      </c>
      <c r="M76" s="558">
        <f t="shared" si="8"/>
        <v>0</v>
      </c>
      <c r="N76" s="558">
        <f t="shared" si="9"/>
        <v>0</v>
      </c>
      <c r="O76" s="558">
        <f t="shared" si="7"/>
        <v>0</v>
      </c>
      <c r="P76" s="558">
        <f t="shared" si="10"/>
        <v>0</v>
      </c>
      <c r="Q76" s="558">
        <f t="shared" si="11"/>
        <v>0</v>
      </c>
    </row>
    <row r="77" spans="1:17" ht="13.5" outlineLevel="1" collapsed="1">
      <c r="A77" s="572"/>
      <c r="B77" s="167" t="s">
        <v>1030</v>
      </c>
      <c r="C77" s="568" t="s">
        <v>571</v>
      </c>
      <c r="D77" s="565"/>
      <c r="E77" s="565"/>
      <c r="F77" s="565"/>
      <c r="G77" s="565"/>
      <c r="H77" s="565"/>
      <c r="I77" s="558">
        <f t="shared" si="5"/>
        <v>0</v>
      </c>
      <c r="J77" s="558"/>
      <c r="K77" s="558"/>
      <c r="L77" s="558">
        <f t="shared" si="6"/>
        <v>0</v>
      </c>
      <c r="M77" s="558">
        <f t="shared" si="8"/>
        <v>0</v>
      </c>
      <c r="N77" s="558">
        <f t="shared" si="9"/>
        <v>0</v>
      </c>
      <c r="O77" s="558">
        <f t="shared" si="7"/>
        <v>0</v>
      </c>
      <c r="P77" s="558">
        <f t="shared" si="10"/>
        <v>0</v>
      </c>
      <c r="Q77" s="558">
        <f t="shared" si="11"/>
        <v>0</v>
      </c>
    </row>
    <row r="78" spans="1:17" ht="13.5" outlineLevel="1">
      <c r="A78" s="562"/>
      <c r="B78" s="167"/>
      <c r="C78" s="568" t="s">
        <v>572</v>
      </c>
      <c r="D78" s="565"/>
      <c r="E78" s="565"/>
      <c r="F78" s="565"/>
      <c r="G78" s="565"/>
      <c r="H78" s="565"/>
      <c r="I78" s="561"/>
      <c r="J78" s="558"/>
      <c r="K78" s="558"/>
      <c r="L78" s="561"/>
      <c r="M78" s="558"/>
      <c r="N78" s="558"/>
      <c r="O78" s="561"/>
      <c r="P78" s="558"/>
      <c r="Q78" s="558"/>
    </row>
    <row r="79" spans="1:17" s="573" customFormat="1" ht="96">
      <c r="A79" s="555"/>
      <c r="B79" s="167" t="s">
        <v>573</v>
      </c>
      <c r="C79" s="1942" t="s">
        <v>574</v>
      </c>
      <c r="D79" s="565"/>
      <c r="E79" s="565"/>
      <c r="F79" s="565"/>
      <c r="G79" s="565"/>
      <c r="H79" s="565"/>
      <c r="I79" s="558"/>
      <c r="J79" s="558"/>
      <c r="K79" s="558"/>
      <c r="L79" s="558"/>
      <c r="M79" s="558"/>
      <c r="N79" s="558"/>
      <c r="O79" s="558"/>
      <c r="P79" s="558"/>
      <c r="Q79" s="558"/>
    </row>
    <row r="80" spans="1:17" ht="27">
      <c r="A80" s="555"/>
      <c r="B80" s="167" t="s">
        <v>575</v>
      </c>
      <c r="C80" s="1942" t="s">
        <v>649</v>
      </c>
      <c r="D80" s="565">
        <v>161</v>
      </c>
      <c r="E80" s="565">
        <v>161</v>
      </c>
      <c r="F80" s="565"/>
      <c r="G80" s="163">
        <v>229</v>
      </c>
      <c r="H80" s="558">
        <v>229</v>
      </c>
      <c r="I80" s="558">
        <v>229</v>
      </c>
      <c r="J80" s="558">
        <f>I80/2</f>
        <v>114.5</v>
      </c>
      <c r="K80" s="558">
        <f>I80/2</f>
        <v>114.5</v>
      </c>
      <c r="L80" s="558">
        <v>229</v>
      </c>
      <c r="M80" s="558">
        <f>L80/2</f>
        <v>114.5</v>
      </c>
      <c r="N80" s="558">
        <f>L80/2</f>
        <v>114.5</v>
      </c>
      <c r="O80" s="558">
        <v>229</v>
      </c>
      <c r="P80" s="558">
        <f>O80/2</f>
        <v>114.5</v>
      </c>
      <c r="Q80" s="558">
        <f>O80/2</f>
        <v>114.5</v>
      </c>
    </row>
    <row r="81" spans="1:17" ht="13.5">
      <c r="A81" s="555"/>
      <c r="B81" s="167" t="s">
        <v>650</v>
      </c>
      <c r="C81" s="1941" t="s">
        <v>651</v>
      </c>
      <c r="D81" s="565"/>
      <c r="E81" s="565"/>
      <c r="F81" s="565"/>
      <c r="G81" s="163">
        <v>30</v>
      </c>
      <c r="H81" s="163">
        <v>168</v>
      </c>
      <c r="I81" s="558">
        <f>J81+K81</f>
        <v>178.584</v>
      </c>
      <c r="J81" s="558">
        <f>H81*1.063/2</f>
        <v>89.292</v>
      </c>
      <c r="K81" s="558">
        <f>H81*1.063/2</f>
        <v>89.292</v>
      </c>
      <c r="L81" s="558">
        <f>M81+N81</f>
        <v>189.120456</v>
      </c>
      <c r="M81" s="558">
        <f>J81*1.059</f>
        <v>94.560228</v>
      </c>
      <c r="N81" s="558">
        <f>K81*1.059</f>
        <v>94.560228</v>
      </c>
      <c r="O81" s="558">
        <f>P81+Q81</f>
        <v>200.27856290399998</v>
      </c>
      <c r="P81" s="558">
        <f>M81*1.059</f>
        <v>100.13928145199999</v>
      </c>
      <c r="Q81" s="558">
        <f>N81*1.059</f>
        <v>100.13928145199999</v>
      </c>
    </row>
    <row r="82" spans="1:18" ht="13.5">
      <c r="A82" s="555"/>
      <c r="B82" s="167" t="s">
        <v>652</v>
      </c>
      <c r="C82" s="1941" t="s">
        <v>653</v>
      </c>
      <c r="D82" s="565"/>
      <c r="E82" s="565"/>
      <c r="F82" s="565"/>
      <c r="G82" s="565"/>
      <c r="H82" s="2016">
        <v>30</v>
      </c>
      <c r="I82" s="558">
        <f>J82+K82</f>
        <v>31.889999999999997</v>
      </c>
      <c r="J82" s="558">
        <f>H82*1.063</f>
        <v>31.889999999999997</v>
      </c>
      <c r="K82" s="558">
        <v>0</v>
      </c>
      <c r="L82" s="558">
        <f>M82+N82</f>
        <v>33.77150999999999</v>
      </c>
      <c r="M82" s="558">
        <f>J82*1.059</f>
        <v>33.77150999999999</v>
      </c>
      <c r="N82" s="558">
        <v>0</v>
      </c>
      <c r="O82" s="558">
        <f>P82+Q82</f>
        <v>35.76402908999999</v>
      </c>
      <c r="P82" s="558">
        <f>M82*1.059</f>
        <v>35.76402908999999</v>
      </c>
      <c r="Q82" s="558">
        <v>0</v>
      </c>
      <c r="R82" s="1" t="s">
        <v>555</v>
      </c>
    </row>
    <row r="83" spans="1:17" s="573" customFormat="1" ht="54.75">
      <c r="A83" s="572"/>
      <c r="B83" s="167" t="s">
        <v>654</v>
      </c>
      <c r="C83" s="1942" t="s">
        <v>655</v>
      </c>
      <c r="D83" s="565"/>
      <c r="E83" s="565"/>
      <c r="F83" s="565"/>
      <c r="G83" s="565"/>
      <c r="H83" s="565"/>
      <c r="I83" s="558"/>
      <c r="J83" s="558"/>
      <c r="K83" s="558"/>
      <c r="L83" s="558"/>
      <c r="M83" s="558"/>
      <c r="N83" s="558"/>
      <c r="O83" s="558"/>
      <c r="P83" s="558"/>
      <c r="Q83" s="558"/>
    </row>
    <row r="84" spans="1:17" ht="41.25">
      <c r="A84" s="562"/>
      <c r="B84" s="167" t="s">
        <v>656</v>
      </c>
      <c r="C84" s="1942" t="s">
        <v>657</v>
      </c>
      <c r="D84" s="565">
        <v>0</v>
      </c>
      <c r="E84" s="565">
        <v>0</v>
      </c>
      <c r="F84" s="565"/>
      <c r="G84" s="565">
        <v>0</v>
      </c>
      <c r="H84" s="565">
        <v>0</v>
      </c>
      <c r="I84" s="558">
        <v>0</v>
      </c>
      <c r="J84" s="558">
        <v>0</v>
      </c>
      <c r="K84" s="558">
        <v>0</v>
      </c>
      <c r="L84" s="558">
        <v>0</v>
      </c>
      <c r="M84" s="558">
        <v>0</v>
      </c>
      <c r="N84" s="558">
        <v>0</v>
      </c>
      <c r="O84" s="558">
        <v>0</v>
      </c>
      <c r="P84" s="558">
        <v>0</v>
      </c>
      <c r="Q84" s="558">
        <v>0</v>
      </c>
    </row>
    <row r="85" spans="1:17" ht="13.5">
      <c r="A85" s="562"/>
      <c r="B85" s="167" t="s">
        <v>658</v>
      </c>
      <c r="C85" s="574" t="s">
        <v>659</v>
      </c>
      <c r="D85" s="565"/>
      <c r="E85" s="565"/>
      <c r="F85" s="565"/>
      <c r="G85" s="565"/>
      <c r="H85" s="565"/>
      <c r="I85" s="558"/>
      <c r="J85" s="558"/>
      <c r="K85" s="558"/>
      <c r="L85" s="558"/>
      <c r="M85" s="558"/>
      <c r="N85" s="558"/>
      <c r="O85" s="558"/>
      <c r="P85" s="558"/>
      <c r="Q85" s="558"/>
    </row>
    <row r="86" spans="1:17" ht="13.5">
      <c r="A86" s="562"/>
      <c r="B86" s="167" t="s">
        <v>660</v>
      </c>
      <c r="C86" s="574" t="s">
        <v>661</v>
      </c>
      <c r="D86" s="565"/>
      <c r="E86" s="565"/>
      <c r="F86" s="565"/>
      <c r="G86" s="565"/>
      <c r="H86" s="565"/>
      <c r="I86" s="558"/>
      <c r="J86" s="558"/>
      <c r="K86" s="558"/>
      <c r="L86" s="558"/>
      <c r="M86" s="558"/>
      <c r="N86" s="558"/>
      <c r="O86" s="558"/>
      <c r="P86" s="558"/>
      <c r="Q86" s="558"/>
    </row>
    <row r="87" spans="1:17" ht="13.5">
      <c r="A87" s="562"/>
      <c r="B87" s="167" t="s">
        <v>662</v>
      </c>
      <c r="C87" s="574" t="s">
        <v>663</v>
      </c>
      <c r="D87" s="565"/>
      <c r="E87" s="565"/>
      <c r="F87" s="565"/>
      <c r="G87" s="565"/>
      <c r="H87" s="565"/>
      <c r="I87" s="558"/>
      <c r="J87" s="558"/>
      <c r="K87" s="558"/>
      <c r="L87" s="558"/>
      <c r="M87" s="558"/>
      <c r="N87" s="558"/>
      <c r="O87" s="558"/>
      <c r="P87" s="558"/>
      <c r="Q87" s="558"/>
    </row>
    <row r="88" spans="1:17" ht="13.5">
      <c r="A88" s="555"/>
      <c r="B88" s="167" t="s">
        <v>664</v>
      </c>
      <c r="C88" s="574" t="s">
        <v>665</v>
      </c>
      <c r="D88" s="565"/>
      <c r="E88" s="565"/>
      <c r="F88" s="565"/>
      <c r="G88" s="565"/>
      <c r="H88" s="565"/>
      <c r="I88" s="558"/>
      <c r="J88" s="558"/>
      <c r="K88" s="558"/>
      <c r="L88" s="558"/>
      <c r="M88" s="558"/>
      <c r="N88" s="558"/>
      <c r="O88" s="558"/>
      <c r="P88" s="558"/>
      <c r="Q88" s="558"/>
    </row>
    <row r="89" spans="1:17" ht="13.5">
      <c r="A89" s="555"/>
      <c r="B89" s="167" t="s">
        <v>666</v>
      </c>
      <c r="C89" s="574" t="s">
        <v>667</v>
      </c>
      <c r="D89" s="565"/>
      <c r="E89" s="565"/>
      <c r="F89" s="565"/>
      <c r="G89" s="565"/>
      <c r="H89" s="565"/>
      <c r="I89" s="558"/>
      <c r="J89" s="558"/>
      <c r="K89" s="558"/>
      <c r="L89" s="558"/>
      <c r="M89" s="558"/>
      <c r="N89" s="558"/>
      <c r="O89" s="558"/>
      <c r="P89" s="558"/>
      <c r="Q89" s="558"/>
    </row>
    <row r="90" spans="1:17" ht="13.5" outlineLevel="1">
      <c r="A90" s="555"/>
      <c r="B90" s="167" t="s">
        <v>668</v>
      </c>
      <c r="C90" s="575"/>
      <c r="D90" s="565"/>
      <c r="E90" s="565"/>
      <c r="F90" s="565"/>
      <c r="G90" s="565"/>
      <c r="H90" s="565"/>
      <c r="I90" s="558"/>
      <c r="J90" s="558"/>
      <c r="K90" s="558"/>
      <c r="L90" s="558"/>
      <c r="M90" s="558"/>
      <c r="N90" s="558"/>
      <c r="O90" s="558"/>
      <c r="P90" s="558"/>
      <c r="Q90" s="558"/>
    </row>
    <row r="91" spans="1:17" ht="13.5" outlineLevel="1">
      <c r="A91" s="555"/>
      <c r="B91" s="167" t="s">
        <v>669</v>
      </c>
      <c r="C91" s="575"/>
      <c r="D91" s="565"/>
      <c r="E91" s="565"/>
      <c r="F91" s="565"/>
      <c r="G91" s="565"/>
      <c r="H91" s="565"/>
      <c r="I91" s="558"/>
      <c r="J91" s="558"/>
      <c r="K91" s="558"/>
      <c r="L91" s="558"/>
      <c r="M91" s="558"/>
      <c r="N91" s="558"/>
      <c r="O91" s="558"/>
      <c r="P91" s="558"/>
      <c r="Q91" s="558"/>
    </row>
    <row r="92" spans="1:17" ht="13.5" outlineLevel="1">
      <c r="A92" s="555"/>
      <c r="B92" s="167" t="s">
        <v>670</v>
      </c>
      <c r="C92" s="575"/>
      <c r="D92" s="565"/>
      <c r="E92" s="565"/>
      <c r="F92" s="565"/>
      <c r="G92" s="565"/>
      <c r="H92" s="565"/>
      <c r="I92" s="558"/>
      <c r="J92" s="558"/>
      <c r="K92" s="558"/>
      <c r="L92" s="558"/>
      <c r="M92" s="558"/>
      <c r="N92" s="558"/>
      <c r="O92" s="558"/>
      <c r="P92" s="558"/>
      <c r="Q92" s="558"/>
    </row>
    <row r="93" spans="1:17" ht="13.5" outlineLevel="1">
      <c r="A93" s="555"/>
      <c r="B93" s="167" t="s">
        <v>671</v>
      </c>
      <c r="C93" s="575"/>
      <c r="D93" s="565"/>
      <c r="E93" s="565"/>
      <c r="F93" s="565"/>
      <c r="G93" s="565"/>
      <c r="H93" s="565"/>
      <c r="I93" s="558"/>
      <c r="J93" s="558"/>
      <c r="K93" s="558"/>
      <c r="L93" s="558"/>
      <c r="M93" s="558"/>
      <c r="N93" s="558"/>
      <c r="O93" s="558"/>
      <c r="P93" s="558"/>
      <c r="Q93" s="558"/>
    </row>
    <row r="94" spans="1:17" ht="13.5" outlineLevel="1">
      <c r="A94" s="555"/>
      <c r="B94" s="167" t="s">
        <v>672</v>
      </c>
      <c r="C94" s="575"/>
      <c r="D94" s="565"/>
      <c r="E94" s="565"/>
      <c r="F94" s="565"/>
      <c r="G94" s="565"/>
      <c r="H94" s="565"/>
      <c r="I94" s="558"/>
      <c r="J94" s="558"/>
      <c r="K94" s="558"/>
      <c r="L94" s="558"/>
      <c r="M94" s="558"/>
      <c r="N94" s="558"/>
      <c r="O94" s="558"/>
      <c r="P94" s="558"/>
      <c r="Q94" s="558"/>
    </row>
    <row r="95" spans="1:17" ht="13.5" outlineLevel="1">
      <c r="A95" s="555"/>
      <c r="B95" s="167" t="s">
        <v>673</v>
      </c>
      <c r="C95" s="575"/>
      <c r="D95" s="565"/>
      <c r="E95" s="565"/>
      <c r="F95" s="565"/>
      <c r="G95" s="565"/>
      <c r="H95" s="565"/>
      <c r="I95" s="558"/>
      <c r="J95" s="558"/>
      <c r="K95" s="558"/>
      <c r="L95" s="558"/>
      <c r="M95" s="558"/>
      <c r="N95" s="558"/>
      <c r="O95" s="558"/>
      <c r="P95" s="558"/>
      <c r="Q95" s="558"/>
    </row>
    <row r="96" spans="1:17" ht="13.5" outlineLevel="1">
      <c r="A96" s="555"/>
      <c r="B96" s="167" t="s">
        <v>674</v>
      </c>
      <c r="C96" s="575"/>
      <c r="D96" s="565"/>
      <c r="E96" s="565"/>
      <c r="F96" s="565"/>
      <c r="G96" s="565"/>
      <c r="H96" s="565"/>
      <c r="I96" s="558"/>
      <c r="J96" s="558"/>
      <c r="K96" s="558"/>
      <c r="L96" s="558"/>
      <c r="M96" s="558"/>
      <c r="N96" s="558"/>
      <c r="O96" s="558"/>
      <c r="P96" s="558"/>
      <c r="Q96" s="558"/>
    </row>
    <row r="97" spans="1:17" ht="13.5" outlineLevel="1">
      <c r="A97" s="555"/>
      <c r="B97" s="167" t="s">
        <v>675</v>
      </c>
      <c r="C97" s="575"/>
      <c r="D97" s="565"/>
      <c r="E97" s="565"/>
      <c r="F97" s="565"/>
      <c r="G97" s="565"/>
      <c r="H97" s="565"/>
      <c r="I97" s="558"/>
      <c r="J97" s="558"/>
      <c r="K97" s="558"/>
      <c r="L97" s="558"/>
      <c r="M97" s="558"/>
      <c r="N97" s="558"/>
      <c r="O97" s="558"/>
      <c r="P97" s="558"/>
      <c r="Q97" s="558"/>
    </row>
    <row r="98" spans="1:17" ht="13.5">
      <c r="A98" s="555"/>
      <c r="B98" s="161" t="s">
        <v>676</v>
      </c>
      <c r="C98" s="576" t="s">
        <v>677</v>
      </c>
      <c r="D98" s="163">
        <f>SUM(D99:D102)</f>
        <v>47</v>
      </c>
      <c r="E98" s="163">
        <f>SUM(E99:E102)</f>
        <v>58</v>
      </c>
      <c r="F98" s="163"/>
      <c r="G98" s="163">
        <f>SUM(G99:G102)</f>
        <v>32</v>
      </c>
      <c r="H98" s="163">
        <f aca="true" t="shared" si="12" ref="H98:Q98">SUM(H99:H102)</f>
        <v>58</v>
      </c>
      <c r="I98" s="163">
        <f t="shared" si="12"/>
        <v>34.016</v>
      </c>
      <c r="J98" s="163">
        <f t="shared" si="12"/>
        <v>17.008</v>
      </c>
      <c r="K98" s="163">
        <f t="shared" si="12"/>
        <v>17.008</v>
      </c>
      <c r="L98" s="163">
        <f t="shared" si="12"/>
        <v>36.022943999999995</v>
      </c>
      <c r="M98" s="163">
        <f t="shared" si="12"/>
        <v>18.011471999999998</v>
      </c>
      <c r="N98" s="163">
        <f t="shared" si="12"/>
        <v>18.011471999999998</v>
      </c>
      <c r="O98" s="163">
        <f t="shared" si="12"/>
        <v>38.14829769599999</v>
      </c>
      <c r="P98" s="163">
        <f t="shared" si="12"/>
        <v>19.074148847999997</v>
      </c>
      <c r="Q98" s="163">
        <f t="shared" si="12"/>
        <v>19.074148847999997</v>
      </c>
    </row>
    <row r="99" spans="1:17" ht="41.25">
      <c r="A99" s="555"/>
      <c r="B99" s="167" t="s">
        <v>1665</v>
      </c>
      <c r="C99" s="1942" t="s">
        <v>678</v>
      </c>
      <c r="D99" s="565"/>
      <c r="E99" s="565"/>
      <c r="F99" s="565"/>
      <c r="G99" s="565"/>
      <c r="H99" s="565"/>
      <c r="I99" s="558"/>
      <c r="J99" s="558"/>
      <c r="K99" s="558"/>
      <c r="L99" s="558"/>
      <c r="M99" s="558"/>
      <c r="N99" s="558"/>
      <c r="O99" s="558"/>
      <c r="P99" s="558"/>
      <c r="Q99" s="558"/>
    </row>
    <row r="100" spans="1:17" ht="13.5">
      <c r="A100" s="555"/>
      <c r="B100" s="167" t="s">
        <v>1695</v>
      </c>
      <c r="C100" s="1942" t="s">
        <v>679</v>
      </c>
      <c r="D100" s="565"/>
      <c r="E100" s="565"/>
      <c r="F100" s="565"/>
      <c r="G100" s="565"/>
      <c r="H100" s="565"/>
      <c r="I100" s="558"/>
      <c r="J100" s="558">
        <f>G100*1.045/2</f>
        <v>0</v>
      </c>
      <c r="K100" s="558">
        <f>H100*1.045/2</f>
        <v>0</v>
      </c>
      <c r="L100" s="558">
        <f>M100+N100</f>
        <v>0</v>
      </c>
      <c r="M100" s="558">
        <f>J100*1.042</f>
        <v>0</v>
      </c>
      <c r="N100" s="558">
        <f>K100*1.042</f>
        <v>0</v>
      </c>
      <c r="O100" s="558">
        <f>P100+Q100</f>
        <v>0</v>
      </c>
      <c r="P100" s="558">
        <f>M100*1.042</f>
        <v>0</v>
      </c>
      <c r="Q100" s="558">
        <f>N100*1.042</f>
        <v>0</v>
      </c>
    </row>
    <row r="101" spans="1:17" ht="69">
      <c r="A101" s="555"/>
      <c r="B101" s="167" t="s">
        <v>1657</v>
      </c>
      <c r="C101" s="1941" t="s">
        <v>680</v>
      </c>
      <c r="D101" s="565"/>
      <c r="E101" s="565"/>
      <c r="F101" s="565"/>
      <c r="G101" s="565"/>
      <c r="H101" s="565"/>
      <c r="I101" s="558"/>
      <c r="J101" s="558"/>
      <c r="K101" s="558"/>
      <c r="L101" s="558"/>
      <c r="M101" s="558"/>
      <c r="N101" s="558"/>
      <c r="O101" s="558"/>
      <c r="P101" s="558"/>
      <c r="Q101" s="558"/>
    </row>
    <row r="102" spans="1:17" ht="27">
      <c r="A102" s="555"/>
      <c r="B102" s="167" t="s">
        <v>79</v>
      </c>
      <c r="C102" s="1942" t="s">
        <v>500</v>
      </c>
      <c r="D102" s="565">
        <f>SUM(D103:D108)</f>
        <v>47</v>
      </c>
      <c r="E102" s="565">
        <f>SUM(E103:E108)</f>
        <v>58</v>
      </c>
      <c r="F102" s="565"/>
      <c r="G102" s="565">
        <f>SUM(G103:G108)</f>
        <v>32</v>
      </c>
      <c r="H102" s="565">
        <f>SUM(H103:H108)</f>
        <v>58</v>
      </c>
      <c r="I102" s="558">
        <f>I103</f>
        <v>34.016</v>
      </c>
      <c r="J102" s="558">
        <f aca="true" t="shared" si="13" ref="J102:Q102">J103</f>
        <v>17.008</v>
      </c>
      <c r="K102" s="558">
        <f t="shared" si="13"/>
        <v>17.008</v>
      </c>
      <c r="L102" s="558">
        <f t="shared" si="13"/>
        <v>36.022943999999995</v>
      </c>
      <c r="M102" s="558">
        <f t="shared" si="13"/>
        <v>18.011471999999998</v>
      </c>
      <c r="N102" s="558">
        <f t="shared" si="13"/>
        <v>18.011471999999998</v>
      </c>
      <c r="O102" s="558">
        <f t="shared" si="13"/>
        <v>38.14829769599999</v>
      </c>
      <c r="P102" s="558">
        <f t="shared" si="13"/>
        <v>19.074148847999997</v>
      </c>
      <c r="Q102" s="558">
        <f t="shared" si="13"/>
        <v>19.074148847999997</v>
      </c>
    </row>
    <row r="103" spans="1:17" ht="13.5">
      <c r="A103" s="555"/>
      <c r="B103" s="167" t="s">
        <v>501</v>
      </c>
      <c r="C103" s="1943" t="s">
        <v>502</v>
      </c>
      <c r="D103" s="565">
        <v>47</v>
      </c>
      <c r="E103" s="565">
        <v>58</v>
      </c>
      <c r="F103" s="565"/>
      <c r="G103" s="565">
        <v>32</v>
      </c>
      <c r="H103" s="565">
        <v>58</v>
      </c>
      <c r="I103" s="558">
        <f>J103+K103</f>
        <v>34.016</v>
      </c>
      <c r="J103" s="558">
        <f>G103*1.063/2</f>
        <v>17.008</v>
      </c>
      <c r="K103" s="558">
        <f>G103*1.063/2</f>
        <v>17.008</v>
      </c>
      <c r="L103" s="558">
        <f>M103+N103</f>
        <v>36.022943999999995</v>
      </c>
      <c r="M103" s="558">
        <f>J103*1.059</f>
        <v>18.011471999999998</v>
      </c>
      <c r="N103" s="558">
        <f>K103*1.059</f>
        <v>18.011471999999998</v>
      </c>
      <c r="O103" s="558">
        <f>P103+Q103</f>
        <v>38.14829769599999</v>
      </c>
      <c r="P103" s="558">
        <f>M103*1.059</f>
        <v>19.074148847999997</v>
      </c>
      <c r="Q103" s="558">
        <f>N103*1.059</f>
        <v>19.074148847999997</v>
      </c>
    </row>
    <row r="104" spans="1:17" ht="13.5">
      <c r="A104" s="555"/>
      <c r="B104" s="167" t="s">
        <v>503</v>
      </c>
      <c r="C104" s="1943" t="s">
        <v>504</v>
      </c>
      <c r="D104" s="565"/>
      <c r="E104" s="565"/>
      <c r="F104" s="565"/>
      <c r="G104" s="565"/>
      <c r="H104" s="565"/>
      <c r="I104" s="558"/>
      <c r="J104" s="558"/>
      <c r="K104" s="558"/>
      <c r="L104" s="558"/>
      <c r="M104" s="558"/>
      <c r="N104" s="558"/>
      <c r="O104" s="558"/>
      <c r="P104" s="558"/>
      <c r="Q104" s="558"/>
    </row>
    <row r="105" spans="1:17" ht="27">
      <c r="A105" s="555"/>
      <c r="B105" s="167" t="s">
        <v>505</v>
      </c>
      <c r="C105" s="1943" t="s">
        <v>506</v>
      </c>
      <c r="D105" s="565"/>
      <c r="E105" s="565"/>
      <c r="F105" s="565"/>
      <c r="G105" s="565"/>
      <c r="H105" s="565"/>
      <c r="I105" s="558"/>
      <c r="J105" s="558"/>
      <c r="K105" s="558"/>
      <c r="L105" s="558"/>
      <c r="M105" s="558"/>
      <c r="N105" s="558"/>
      <c r="O105" s="558"/>
      <c r="P105" s="558"/>
      <c r="Q105" s="558"/>
    </row>
    <row r="106" spans="1:17" ht="27">
      <c r="A106" s="555"/>
      <c r="B106" s="167" t="s">
        <v>507</v>
      </c>
      <c r="C106" s="1943" t="s">
        <v>508</v>
      </c>
      <c r="D106" s="565"/>
      <c r="E106" s="565"/>
      <c r="F106" s="565"/>
      <c r="G106" s="565"/>
      <c r="H106" s="565"/>
      <c r="I106" s="558"/>
      <c r="J106" s="558"/>
      <c r="K106" s="558"/>
      <c r="L106" s="558"/>
      <c r="M106" s="558"/>
      <c r="N106" s="558"/>
      <c r="O106" s="558"/>
      <c r="P106" s="558"/>
      <c r="Q106" s="558"/>
    </row>
    <row r="107" spans="1:17" ht="13.5">
      <c r="A107" s="555"/>
      <c r="B107" s="167" t="s">
        <v>509</v>
      </c>
      <c r="C107" s="1943" t="s">
        <v>510</v>
      </c>
      <c r="D107" s="565"/>
      <c r="E107" s="565"/>
      <c r="F107" s="565"/>
      <c r="G107" s="565"/>
      <c r="H107" s="565"/>
      <c r="I107" s="558"/>
      <c r="J107" s="558"/>
      <c r="K107" s="558"/>
      <c r="L107" s="558"/>
      <c r="M107" s="558"/>
      <c r="N107" s="558"/>
      <c r="O107" s="558"/>
      <c r="P107" s="558"/>
      <c r="Q107" s="558"/>
    </row>
    <row r="108" spans="1:17" ht="13.5">
      <c r="A108" s="555"/>
      <c r="B108" s="167" t="s">
        <v>511</v>
      </c>
      <c r="C108" s="1943" t="s">
        <v>1067</v>
      </c>
      <c r="D108" s="565"/>
      <c r="E108" s="565"/>
      <c r="F108" s="565"/>
      <c r="G108" s="565"/>
      <c r="H108" s="565"/>
      <c r="I108" s="558"/>
      <c r="J108" s="558"/>
      <c r="K108" s="558"/>
      <c r="L108" s="558"/>
      <c r="M108" s="558"/>
      <c r="N108" s="558"/>
      <c r="O108" s="558"/>
      <c r="P108" s="558"/>
      <c r="Q108" s="558"/>
    </row>
    <row r="109" spans="1:17" ht="27">
      <c r="A109" s="555"/>
      <c r="B109" s="161" t="s">
        <v>1068</v>
      </c>
      <c r="C109" s="1944" t="s">
        <v>1558</v>
      </c>
      <c r="D109" s="163"/>
      <c r="E109" s="163"/>
      <c r="F109" s="163"/>
      <c r="G109" s="163">
        <f>SUM(G110:G113)</f>
        <v>0</v>
      </c>
      <c r="H109" s="163">
        <f>SUM(H110:H113)</f>
        <v>0</v>
      </c>
      <c r="I109" s="577">
        <f aca="true" t="shared" si="14" ref="I109:Q109">I110+I111+I112+I113</f>
        <v>0</v>
      </c>
      <c r="J109" s="577">
        <f t="shared" si="14"/>
        <v>0</v>
      </c>
      <c r="K109" s="577">
        <f t="shared" si="14"/>
        <v>0</v>
      </c>
      <c r="L109" s="577">
        <f t="shared" si="14"/>
        <v>0</v>
      </c>
      <c r="M109" s="577">
        <f t="shared" si="14"/>
        <v>0</v>
      </c>
      <c r="N109" s="577">
        <f t="shared" si="14"/>
        <v>0</v>
      </c>
      <c r="O109" s="577">
        <f t="shared" si="14"/>
        <v>0</v>
      </c>
      <c r="P109" s="577">
        <f t="shared" si="14"/>
        <v>0</v>
      </c>
      <c r="Q109" s="577">
        <f t="shared" si="14"/>
        <v>0</v>
      </c>
    </row>
    <row r="110" spans="1:17" ht="27">
      <c r="A110" s="555"/>
      <c r="B110" s="167" t="s">
        <v>1668</v>
      </c>
      <c r="C110" s="1945" t="s">
        <v>1559</v>
      </c>
      <c r="D110" s="565"/>
      <c r="E110" s="565"/>
      <c r="F110" s="565"/>
      <c r="G110" s="565"/>
      <c r="H110" s="565"/>
      <c r="I110" s="558"/>
      <c r="J110" s="558"/>
      <c r="K110" s="558"/>
      <c r="L110" s="558"/>
      <c r="M110" s="558"/>
      <c r="N110" s="558"/>
      <c r="O110" s="558"/>
      <c r="P110" s="558"/>
      <c r="Q110" s="558"/>
    </row>
    <row r="111" spans="1:17" ht="43.5" customHeight="1">
      <c r="A111" s="555"/>
      <c r="B111" s="167" t="s">
        <v>1669</v>
      </c>
      <c r="C111" s="1945" t="s">
        <v>1560</v>
      </c>
      <c r="D111" s="565"/>
      <c r="E111" s="565"/>
      <c r="F111" s="565"/>
      <c r="G111" s="565"/>
      <c r="H111" s="565"/>
      <c r="I111" s="558"/>
      <c r="J111" s="558"/>
      <c r="K111" s="558"/>
      <c r="L111" s="558"/>
      <c r="M111" s="558"/>
      <c r="N111" s="558"/>
      <c r="O111" s="558"/>
      <c r="P111" s="558"/>
      <c r="Q111" s="558"/>
    </row>
    <row r="112" spans="1:17" ht="13.5">
      <c r="A112" s="555"/>
      <c r="B112" s="167" t="s">
        <v>426</v>
      </c>
      <c r="C112" s="1945" t="s">
        <v>1561</v>
      </c>
      <c r="D112" s="565"/>
      <c r="E112" s="565"/>
      <c r="F112" s="565"/>
      <c r="G112" s="565"/>
      <c r="H112" s="565"/>
      <c r="I112" s="558"/>
      <c r="J112" s="558"/>
      <c r="K112" s="558"/>
      <c r="L112" s="558"/>
      <c r="M112" s="558"/>
      <c r="N112" s="558"/>
      <c r="O112" s="558"/>
      <c r="P112" s="558"/>
      <c r="Q112" s="558"/>
    </row>
    <row r="113" spans="1:17" ht="13.5">
      <c r="A113" s="555"/>
      <c r="B113" s="167" t="s">
        <v>237</v>
      </c>
      <c r="C113" s="1945" t="s">
        <v>1562</v>
      </c>
      <c r="D113" s="565"/>
      <c r="E113" s="565"/>
      <c r="F113" s="565"/>
      <c r="G113" s="565"/>
      <c r="H113" s="565"/>
      <c r="I113" s="558"/>
      <c r="J113" s="558"/>
      <c r="K113" s="558"/>
      <c r="L113" s="558"/>
      <c r="M113" s="558"/>
      <c r="N113" s="558"/>
      <c r="O113" s="558"/>
      <c r="P113" s="558"/>
      <c r="Q113" s="558"/>
    </row>
    <row r="114" spans="1:17" s="578" customFormat="1" ht="13.5">
      <c r="A114" s="555"/>
      <c r="B114" s="161" t="s">
        <v>1563</v>
      </c>
      <c r="C114" s="1946" t="s">
        <v>1564</v>
      </c>
      <c r="D114" s="163">
        <v>100</v>
      </c>
      <c r="E114" s="163">
        <v>107</v>
      </c>
      <c r="F114" s="163"/>
      <c r="G114" s="163">
        <v>100</v>
      </c>
      <c r="H114" s="163">
        <v>100</v>
      </c>
      <c r="I114" s="163">
        <f>J114+K114</f>
        <v>100</v>
      </c>
      <c r="J114" s="163">
        <v>50</v>
      </c>
      <c r="K114" s="577">
        <v>50</v>
      </c>
      <c r="L114" s="163">
        <f>M114+N114</f>
        <v>100</v>
      </c>
      <c r="M114" s="163">
        <v>50</v>
      </c>
      <c r="N114" s="577">
        <v>50</v>
      </c>
      <c r="O114" s="163">
        <f>P114+Q114</f>
        <v>100</v>
      </c>
      <c r="P114" s="163">
        <v>50</v>
      </c>
      <c r="Q114" s="577">
        <v>50</v>
      </c>
    </row>
    <row r="115" spans="1:17" ht="27">
      <c r="A115" s="555"/>
      <c r="B115" s="161" t="s">
        <v>1565</v>
      </c>
      <c r="C115" s="1946" t="s">
        <v>1566</v>
      </c>
      <c r="D115" s="565"/>
      <c r="E115" s="565"/>
      <c r="F115" s="565"/>
      <c r="G115" s="565"/>
      <c r="H115" s="565"/>
      <c r="I115" s="558"/>
      <c r="J115" s="558"/>
      <c r="K115" s="558"/>
      <c r="L115" s="558"/>
      <c r="M115" s="558"/>
      <c r="N115" s="558"/>
      <c r="O115" s="558"/>
      <c r="P115" s="558"/>
      <c r="Q115" s="558"/>
    </row>
    <row r="116" spans="1:17" ht="13.5">
      <c r="A116" s="555"/>
      <c r="B116" s="579" t="s">
        <v>1567</v>
      </c>
      <c r="C116" s="580" t="s">
        <v>1568</v>
      </c>
      <c r="D116" s="582" t="e">
        <f>D118+D119</f>
        <v>#REF!</v>
      </c>
      <c r="E116" s="582" t="e">
        <f>E11+E98+E109+E114+E115</f>
        <v>#REF!</v>
      </c>
      <c r="F116" s="581"/>
      <c r="G116" s="2020">
        <f aca="true" t="shared" si="15" ref="G116:Q116">G11+G98+G109+G114+G115</f>
        <v>15619.935638297873</v>
      </c>
      <c r="H116" s="2020">
        <f t="shared" si="15"/>
        <v>15772.092389954345</v>
      </c>
      <c r="I116" s="2020">
        <f t="shared" si="15"/>
        <v>16895.423063711918</v>
      </c>
      <c r="J116" s="2020">
        <f t="shared" si="15"/>
        <v>9059.539908794877</v>
      </c>
      <c r="K116" s="2020">
        <f t="shared" si="15"/>
        <v>7748.532443792306</v>
      </c>
      <c r="L116" s="2020">
        <f t="shared" si="15"/>
        <v>16919.05529994495</v>
      </c>
      <c r="M116" s="2020">
        <f t="shared" si="15"/>
        <v>9135.954311558216</v>
      </c>
      <c r="N116" s="2020">
        <f t="shared" si="15"/>
        <v>7688.318141383271</v>
      </c>
      <c r="O116" s="2020">
        <f t="shared" si="15"/>
        <v>17824.488286066673</v>
      </c>
      <c r="P116" s="2020">
        <f t="shared" si="15"/>
        <v>9694.364723255801</v>
      </c>
      <c r="Q116" s="2020">
        <f t="shared" si="15"/>
        <v>8029.462268137717</v>
      </c>
    </row>
    <row r="117" spans="1:17" ht="15" customHeight="1">
      <c r="A117" s="555"/>
      <c r="B117" s="167" t="s">
        <v>1171</v>
      </c>
      <c r="C117" s="564" t="s">
        <v>70</v>
      </c>
      <c r="D117" s="565"/>
      <c r="E117" s="565"/>
      <c r="F117" s="565"/>
      <c r="G117" s="565"/>
      <c r="H117" s="565"/>
      <c r="I117" s="558"/>
      <c r="J117" s="558"/>
      <c r="K117" s="558"/>
      <c r="L117" s="558"/>
      <c r="M117" s="558"/>
      <c r="N117" s="558"/>
      <c r="O117" s="558"/>
      <c r="P117" s="558"/>
      <c r="Q117" s="558"/>
    </row>
    <row r="118" spans="1:17" ht="13.5">
      <c r="A118" s="555"/>
      <c r="B118" s="167" t="s">
        <v>1172</v>
      </c>
      <c r="C118" s="564" t="s">
        <v>422</v>
      </c>
      <c r="D118" s="558" t="e">
        <f>D11+D98+D114</f>
        <v>#REF!</v>
      </c>
      <c r="E118" s="558" t="e">
        <f>E116-E119</f>
        <v>#REF!</v>
      </c>
      <c r="F118" s="565"/>
      <c r="G118" s="577">
        <f>G116-G119-G120</f>
        <v>15403.935638297873</v>
      </c>
      <c r="H118" s="577">
        <f>H116-H119</f>
        <v>15707.588395454344</v>
      </c>
      <c r="I118" s="577">
        <f aca="true" t="shared" si="16" ref="I118:Q118">I116-I119-I120</f>
        <v>16773.77188169392</v>
      </c>
      <c r="J118" s="577">
        <f t="shared" si="16"/>
        <v>8992.936191794877</v>
      </c>
      <c r="K118" s="577">
        <f t="shared" si="16"/>
        <v>7693.484978774306</v>
      </c>
      <c r="L118" s="577">
        <f t="shared" si="16"/>
        <v>16789.320092448743</v>
      </c>
      <c r="M118" s="577">
        <f t="shared" si="16"/>
        <v>9064.954749236216</v>
      </c>
      <c r="N118" s="577">
        <f t="shared" si="16"/>
        <v>7629.582496209065</v>
      </c>
      <c r="O118" s="577">
        <f t="shared" si="16"/>
        <v>17686.060819668222</v>
      </c>
      <c r="P118" s="577">
        <f t="shared" si="16"/>
        <v>9618.608190258228</v>
      </c>
      <c r="Q118" s="577">
        <f t="shared" si="16"/>
        <v>7966.791334736839</v>
      </c>
    </row>
    <row r="119" spans="1:17" ht="13.5">
      <c r="A119" s="555"/>
      <c r="B119" s="556" t="s">
        <v>1173</v>
      </c>
      <c r="C119" s="557" t="s">
        <v>1108</v>
      </c>
      <c r="D119" s="558">
        <v>104</v>
      </c>
      <c r="E119" s="558" t="e">
        <f>'4.8'!H15</f>
        <v>#REF!</v>
      </c>
      <c r="F119" s="558"/>
      <c r="G119" s="558">
        <f>'4.8'!E28</f>
        <v>129</v>
      </c>
      <c r="H119" s="558">
        <f>'4.8'!H28</f>
        <v>64.50399449999999</v>
      </c>
      <c r="I119" s="558">
        <f>'4.8'!E41</f>
        <v>69.068391282</v>
      </c>
      <c r="J119" s="558">
        <f>'4.8'!H41</f>
        <v>41.152221</v>
      </c>
      <c r="K119" s="558">
        <f>'4.8'!K41</f>
        <v>27.916170281999996</v>
      </c>
      <c r="L119" s="558">
        <f>'4.8'!E53</f>
        <v>73.65482127689398</v>
      </c>
      <c r="M119" s="558">
        <f>'4.8'!H53</f>
        <v>43.86826758599999</v>
      </c>
      <c r="N119" s="558">
        <f>'4.8'!K53</f>
        <v>29.786553690893996</v>
      </c>
      <c r="O119" s="558">
        <f>'4.8'!E65</f>
        <v>78.5896943024459</v>
      </c>
      <c r="P119" s="558">
        <f>'4.8'!H65</f>
        <v>46.807441514262</v>
      </c>
      <c r="Q119" s="558">
        <f>'4.8'!K65</f>
        <v>31.7822527881839</v>
      </c>
    </row>
    <row r="120" spans="1:17" ht="14.25" thickBot="1">
      <c r="A120" s="555"/>
      <c r="B120" s="167" t="s">
        <v>1174</v>
      </c>
      <c r="C120" s="557" t="s">
        <v>809</v>
      </c>
      <c r="D120" s="565"/>
      <c r="E120" s="565"/>
      <c r="F120" s="565"/>
      <c r="G120" s="565">
        <f>'4.8'!E29</f>
        <v>87</v>
      </c>
      <c r="H120" s="565">
        <f>'4.8'!H29</f>
        <v>49.3795512</v>
      </c>
      <c r="I120" s="558">
        <f>'4.8'!E42</f>
        <v>52.58279073600001</v>
      </c>
      <c r="J120" s="558">
        <f>'4.8'!H42</f>
        <v>25.451496000000002</v>
      </c>
      <c r="K120" s="558">
        <f>'4.8'!K42</f>
        <v>27.131294736</v>
      </c>
      <c r="L120" s="558">
        <f>M120+N120</f>
        <v>56.080386219312</v>
      </c>
      <c r="M120" s="558">
        <f>'4.8'!H54</f>
        <v>27.131294735999997</v>
      </c>
      <c r="N120" s="558">
        <f>'4.8'!K54</f>
        <v>28.949091483312</v>
      </c>
      <c r="O120" s="558">
        <f>P120+Q120</f>
        <v>59.837772096005914</v>
      </c>
      <c r="P120" s="558">
        <f>'4.8'!H66</f>
        <v>28.949091483312007</v>
      </c>
      <c r="Q120" s="558">
        <f>'4.8'!K66</f>
        <v>30.888680612693907</v>
      </c>
    </row>
    <row r="121" spans="1:2" ht="14.25" hidden="1" outlineLevel="1" thickBot="1">
      <c r="A121" s="555"/>
      <c r="B121" s="113" t="s">
        <v>304</v>
      </c>
    </row>
    <row r="122" spans="1:100" ht="47.25" customHeight="1" hidden="1" outlineLevel="1">
      <c r="A122" s="555"/>
      <c r="B122" s="116" t="s">
        <v>238</v>
      </c>
      <c r="C122" s="2140" t="s">
        <v>1089</v>
      </c>
      <c r="D122" s="2140"/>
      <c r="E122" s="2140"/>
      <c r="F122" s="2140"/>
      <c r="G122" s="2140"/>
      <c r="H122" s="2140"/>
      <c r="I122" s="2140"/>
      <c r="J122" s="2140"/>
      <c r="K122" s="2140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</row>
    <row r="123" spans="1:100" ht="47.25" customHeight="1" hidden="1" outlineLevel="1">
      <c r="A123" s="555"/>
      <c r="B123" s="116" t="s">
        <v>240</v>
      </c>
      <c r="C123" s="2140" t="s">
        <v>1090</v>
      </c>
      <c r="D123" s="2140"/>
      <c r="E123" s="2140"/>
      <c r="F123" s="2140"/>
      <c r="G123" s="2140"/>
      <c r="H123" s="2140"/>
      <c r="I123" s="2140"/>
      <c r="J123" s="2140"/>
      <c r="K123" s="214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</row>
    <row r="124" spans="1:100" ht="31.5" customHeight="1" hidden="1" outlineLevel="1">
      <c r="A124" s="555"/>
      <c r="B124" s="116" t="s">
        <v>241</v>
      </c>
      <c r="C124" s="2140" t="s">
        <v>42</v>
      </c>
      <c r="D124" s="2140"/>
      <c r="E124" s="2140"/>
      <c r="F124" s="2140"/>
      <c r="G124" s="2140"/>
      <c r="H124" s="2140"/>
      <c r="I124" s="2140"/>
      <c r="J124" s="2140"/>
      <c r="K124" s="214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</row>
    <row r="125" spans="1:17" ht="14.25" collapsed="1" thickBot="1">
      <c r="A125" s="555"/>
      <c r="C125" s="583" t="s">
        <v>43</v>
      </c>
      <c r="D125" s="584">
        <f>'4.1'!D30</f>
        <v>1.613</v>
      </c>
      <c r="E125" s="584">
        <f>'4.1'!L30</f>
        <v>1.445</v>
      </c>
      <c r="F125" s="584"/>
      <c r="G125" s="585">
        <f>'4.1'!T30</f>
        <v>1.1700000000000002</v>
      </c>
      <c r="H125" s="585">
        <f>'4.1'!AB30</f>
        <v>0.95187</v>
      </c>
      <c r="I125" s="586">
        <f>'4.1'!AJ30</f>
        <v>0.95186974042</v>
      </c>
      <c r="J125" s="587">
        <f>'4.1'!AR30</f>
        <v>0.5870405056375</v>
      </c>
      <c r="K125" s="729">
        <f>'4.1'!AZ30</f>
        <v>0.36482923478250007</v>
      </c>
      <c r="L125" s="731">
        <f>'4.1'!BM30</f>
        <v>0.95186974042</v>
      </c>
      <c r="M125" s="732">
        <f>'4.1'!BU30</f>
        <v>0.5870405056375</v>
      </c>
      <c r="N125" s="732">
        <f>'4.1'!CC30</f>
        <v>0.36482923478250007</v>
      </c>
      <c r="O125" s="732">
        <f>'4.1'!CP30</f>
        <v>0.95186974042</v>
      </c>
      <c r="P125" s="732">
        <f>'4.1'!CX30</f>
        <v>0.5870405056375</v>
      </c>
      <c r="Q125" s="733">
        <f>'4.1'!DF30</f>
        <v>0.36482923478250007</v>
      </c>
    </row>
    <row r="126" spans="1:17" ht="14.25" thickBot="1">
      <c r="A126" s="555"/>
      <c r="C126" s="583" t="s">
        <v>44</v>
      </c>
      <c r="D126" s="730">
        <v>11572.77</v>
      </c>
      <c r="E126" s="730" t="e">
        <f>E118/E125</f>
        <v>#REF!</v>
      </c>
      <c r="F126" s="588"/>
      <c r="G126" s="589">
        <f>G118/G125</f>
        <v>13165.756955810146</v>
      </c>
      <c r="H126" s="589">
        <f>H118/H125</f>
        <v>16501.821042216212</v>
      </c>
      <c r="I126" s="589">
        <f>I118/I125</f>
        <v>17621.91943857015</v>
      </c>
      <c r="J126" s="589">
        <f>J118/J125</f>
        <v>15319.10678297905</v>
      </c>
      <c r="K126" s="589">
        <f>K118/K125</f>
        <v>21087.907013156237</v>
      </c>
      <c r="L126" s="589">
        <f aca="true" t="shared" si="17" ref="L126:Q126">L118/L125</f>
        <v>17638.253827714572</v>
      </c>
      <c r="M126" s="589">
        <f t="shared" si="17"/>
        <v>15441.787512417182</v>
      </c>
      <c r="N126" s="589">
        <f t="shared" si="17"/>
        <v>20912.749771156872</v>
      </c>
      <c r="O126" s="589">
        <f t="shared" si="17"/>
        <v>18580.33727583827</v>
      </c>
      <c r="P126" s="589">
        <f t="shared" si="17"/>
        <v>16384.913984449584</v>
      </c>
      <c r="Q126" s="739">
        <f t="shared" si="17"/>
        <v>21837.04203279212</v>
      </c>
    </row>
    <row r="127" ht="13.5">
      <c r="A127" s="555"/>
    </row>
    <row r="128" ht="13.5">
      <c r="A128" s="555"/>
    </row>
    <row r="129" spans="1:3" ht="13.5">
      <c r="A129" s="555"/>
      <c r="C129" s="1" t="str">
        <f>'[1]4.1'!B37</f>
        <v>Генеральный директор ____________________С.Г. Бобряшов</v>
      </c>
    </row>
    <row r="130" spans="1:11" ht="15" customHeight="1">
      <c r="A130" s="555"/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1:11" ht="13.5">
      <c r="A131" s="555"/>
      <c r="D131" s="548"/>
      <c r="E131" s="548"/>
      <c r="F131" s="548"/>
      <c r="G131" s="548"/>
      <c r="H131" s="548"/>
      <c r="I131" s="548"/>
      <c r="J131" s="548"/>
      <c r="K131" s="548"/>
    </row>
    <row r="132" spans="1:11" ht="13.5">
      <c r="A132" s="555"/>
      <c r="D132" s="590"/>
      <c r="E132" s="590"/>
      <c r="F132" s="590"/>
      <c r="G132" s="590"/>
      <c r="H132" s="590"/>
      <c r="I132" s="590"/>
      <c r="J132" s="590"/>
      <c r="K132" s="590"/>
    </row>
    <row r="133" spans="1:11" ht="13.5">
      <c r="A133" s="555"/>
      <c r="D133" s="591"/>
      <c r="E133" s="591"/>
      <c r="F133" s="591"/>
      <c r="G133" s="591"/>
      <c r="H133" s="591"/>
      <c r="I133" s="591"/>
      <c r="J133" s="591"/>
      <c r="K133" s="591"/>
    </row>
    <row r="134" spans="1:11" ht="13.5">
      <c r="A134" s="555"/>
      <c r="D134" s="591"/>
      <c r="E134" s="591"/>
      <c r="F134" s="591"/>
      <c r="G134" s="591"/>
      <c r="H134" s="591"/>
      <c r="I134" s="591"/>
      <c r="J134" s="591"/>
      <c r="K134" s="591"/>
    </row>
    <row r="135" spans="1:11" ht="13.5">
      <c r="A135" s="555"/>
      <c r="C135" s="7"/>
      <c r="D135" s="592"/>
      <c r="E135" s="592"/>
      <c r="F135" s="592"/>
      <c r="G135" s="592"/>
      <c r="H135" s="592"/>
      <c r="I135" s="592"/>
      <c r="J135" s="592"/>
      <c r="K135" s="592"/>
    </row>
    <row r="136" spans="1:11" ht="13.5">
      <c r="A136" s="555"/>
      <c r="D136" s="591"/>
      <c r="E136" s="591"/>
      <c r="F136" s="591"/>
      <c r="G136" s="591"/>
      <c r="H136" s="591"/>
      <c r="I136" s="591"/>
      <c r="J136" s="591"/>
      <c r="K136" s="591"/>
    </row>
    <row r="137" spans="1:11" ht="13.5">
      <c r="A137" s="555"/>
      <c r="D137" s="591"/>
      <c r="E137" s="591"/>
      <c r="F137" s="591"/>
      <c r="G137" s="591"/>
      <c r="H137" s="591"/>
      <c r="I137" s="591"/>
      <c r="J137" s="591"/>
      <c r="K137" s="591"/>
    </row>
    <row r="138" ht="13.5">
      <c r="A138" s="555"/>
    </row>
    <row r="139" ht="13.5">
      <c r="A139" s="555"/>
    </row>
    <row r="140" spans="1:11" ht="13.5">
      <c r="A140" s="555"/>
      <c r="C140" s="593"/>
      <c r="D140" s="594"/>
      <c r="E140" s="594"/>
      <c r="F140" s="594"/>
      <c r="G140" s="594"/>
      <c r="H140" s="594"/>
      <c r="I140" s="594"/>
      <c r="J140" s="594"/>
      <c r="K140" s="594"/>
    </row>
    <row r="141" spans="1:11" ht="13.5">
      <c r="A141" s="555"/>
      <c r="C141" s="549"/>
      <c r="D141" s="593"/>
      <c r="E141" s="593"/>
      <c r="F141" s="593"/>
      <c r="G141" s="549"/>
      <c r="H141" s="549"/>
      <c r="I141" s="549"/>
      <c r="J141" s="549"/>
      <c r="K141" s="549"/>
    </row>
    <row r="142" spans="1:14" ht="13.5">
      <c r="A142" s="555"/>
      <c r="D142" s="548"/>
      <c r="E142" s="548"/>
      <c r="F142" s="548"/>
      <c r="G142" s="548"/>
      <c r="H142" s="548"/>
      <c r="I142" s="548"/>
      <c r="J142" s="548"/>
      <c r="K142" s="548"/>
      <c r="N142" s="184"/>
    </row>
    <row r="143" ht="13.5">
      <c r="A143" s="555"/>
    </row>
    <row r="144" spans="1:9" ht="13.5">
      <c r="A144" s="555"/>
      <c r="I144" s="184"/>
    </row>
    <row r="145" ht="13.5">
      <c r="A145" s="555"/>
    </row>
  </sheetData>
  <sheetProtection/>
  <autoFilter ref="A10:K120"/>
  <mergeCells count="15">
    <mergeCell ref="C123:K123"/>
    <mergeCell ref="C124:K124"/>
    <mergeCell ref="B7:B9"/>
    <mergeCell ref="C7:C9"/>
    <mergeCell ref="D8:D9"/>
    <mergeCell ref="E8:E9"/>
    <mergeCell ref="C122:K122"/>
    <mergeCell ref="L8:N8"/>
    <mergeCell ref="O8:Q8"/>
    <mergeCell ref="I7:Q7"/>
    <mergeCell ref="B5:K5"/>
    <mergeCell ref="I8:K8"/>
    <mergeCell ref="G8:G9"/>
    <mergeCell ref="H8:H9"/>
    <mergeCell ref="D7:H7"/>
  </mergeCells>
  <printOptions/>
  <pageMargins left="0.7874015748031497" right="0.1968503937007874" top="0.3937007874015748" bottom="0.4330708661417323" header="0.31496062992125984" footer="0.31496062992125984"/>
  <pageSetup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EryshevaIV</dc:creator>
  <cp:keywords/>
  <dc:description/>
  <cp:lastModifiedBy>1</cp:lastModifiedBy>
  <cp:lastPrinted>2016-05-15T22:17:22Z</cp:lastPrinted>
  <dcterms:created xsi:type="dcterms:W3CDTF">2010-08-04T06:03:56Z</dcterms:created>
  <dcterms:modified xsi:type="dcterms:W3CDTF">2016-05-15T22:51:45Z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