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472" windowHeight="5640" activeTab="6"/>
  </bookViews>
  <sheets>
    <sheet name="1.1.2" sheetId="11" r:id="rId1"/>
    <sheet name="1.2.2" sheetId="10" r:id="rId2"/>
    <sheet name="1.3" sheetId="13" r:id="rId3"/>
    <sheet name="1.4" sheetId="14" r:id="rId4"/>
    <sheet name="1.5" sheetId="15" r:id="rId5"/>
    <sheet name="1.6" sheetId="12" r:id="rId6"/>
    <sheet name="1.15передача и сбыт" sheetId="3" r:id="rId7"/>
    <sheet name="1.16передача и сбыт" sheetId="4" r:id="rId8"/>
    <sheet name="1.17передача и сбыт" sheetId="5" r:id="rId9"/>
    <sheet name="1.21передача и сбыт" sheetId="7" r:id="rId10"/>
    <sheet name="1.24" sheetId="16" r:id="rId11"/>
    <sheet name="1.25" sheetId="17" r:id="rId12"/>
    <sheet name="1.15передача" sheetId="18" r:id="rId13"/>
    <sheet name="1.16передача" sheetId="19" r:id="rId14"/>
    <sheet name="1.17передача" sheetId="20" r:id="rId15"/>
    <sheet name="1.21передача" sheetId="21" r:id="rId16"/>
    <sheet name="1.15сбыт" sheetId="22" r:id="rId17"/>
    <sheet name="1.16сбыт" sheetId="23" r:id="rId18"/>
    <sheet name="1.17сбыт" sheetId="24" r:id="rId19"/>
    <sheet name="1.21сбыт" sheetId="25" r:id="rId20"/>
  </sheets>
  <externalReferences>
    <externalReference r:id="rId21"/>
    <externalReference r:id="rId22"/>
    <externalReference r:id="rId23"/>
    <externalReference r:id="rId24"/>
  </externalReferences>
  <definedNames>
    <definedName name="_xlnm.Print_Titles" localSheetId="6">'1.15передача и сбыт'!$5:$6</definedName>
    <definedName name="_xlnm.Print_Area" localSheetId="0">'1.1.2'!$A$1:$O$24</definedName>
    <definedName name="_xlnm.Print_Area" localSheetId="6">'1.15передача и сбыт'!$A$1:$Q$83</definedName>
    <definedName name="_xlnm.Print_Area" localSheetId="7">'1.16передача и сбыт'!$A$1:$T$53</definedName>
    <definedName name="_xlnm.Print_Area" localSheetId="1">'1.2.2'!$A$1:$O$33</definedName>
    <definedName name="_xlnm.Print_Area" localSheetId="10">'1.24'!$A$1:$W$47</definedName>
    <definedName name="_xlnm.Print_Area" localSheetId="11">'1.25'!$A$1:$M$50</definedName>
    <definedName name="_xlnm.Print_Area" localSheetId="2">'1.3'!$A$1:$AV$42</definedName>
    <definedName name="_xlnm.Print_Area" localSheetId="3">'1.4'!$A$1:$BY$37</definedName>
    <definedName name="_xlnm.Print_Area" localSheetId="4">'1.5'!$A$1:$BE$33</definedName>
    <definedName name="_xlnm.Print_Area" localSheetId="5">'1.6'!$A$1:$R$108</definedName>
  </definedNames>
  <calcPr calcId="124519"/>
</workbook>
</file>

<file path=xl/calcChain.xml><?xml version="1.0" encoding="utf-8"?>
<calcChain xmlns="http://schemas.openxmlformats.org/spreadsheetml/2006/main">
  <c r="K42" i="3"/>
  <c r="K49"/>
  <c r="O10" l="1"/>
  <c r="O51" l="1"/>
  <c r="O52"/>
  <c r="O55"/>
  <c r="M55" s="1"/>
  <c r="K55"/>
  <c r="O42"/>
  <c r="L36"/>
  <c r="M36"/>
  <c r="O36"/>
  <c r="K36"/>
  <c r="G24"/>
  <c r="K12"/>
  <c r="M14" i="22"/>
  <c r="O14" s="1"/>
  <c r="L14"/>
  <c r="K14"/>
  <c r="O8"/>
  <c r="M8" s="1"/>
  <c r="L8"/>
  <c r="K8"/>
  <c r="G14"/>
  <c r="G8"/>
  <c r="L55" i="3" l="1"/>
  <c r="M33" i="23"/>
  <c r="M14"/>
  <c r="R14"/>
  <c r="L45"/>
  <c r="L33"/>
  <c r="L22"/>
  <c r="L14"/>
  <c r="I45"/>
  <c r="I33"/>
  <c r="I22"/>
  <c r="I14"/>
  <c r="J14" i="24"/>
  <c r="J12"/>
  <c r="I12"/>
  <c r="I14"/>
  <c r="H14"/>
  <c r="H12"/>
  <c r="J11"/>
  <c r="I11"/>
  <c r="H11"/>
  <c r="I8"/>
  <c r="J8"/>
  <c r="H8"/>
  <c r="G14"/>
  <c r="G12"/>
  <c r="G11"/>
  <c r="G8"/>
  <c r="D14"/>
  <c r="D12"/>
  <c r="D11"/>
  <c r="D9"/>
  <c r="D8"/>
  <c r="C14"/>
  <c r="C12"/>
  <c r="C8"/>
  <c r="M14" i="18"/>
  <c r="O14" s="1"/>
  <c r="L14"/>
  <c r="K14"/>
  <c r="J14" i="20"/>
  <c r="J12"/>
  <c r="J8"/>
  <c r="I14"/>
  <c r="I12"/>
  <c r="I8"/>
  <c r="H14"/>
  <c r="H12"/>
  <c r="H8"/>
  <c r="G14"/>
  <c r="G12"/>
  <c r="G11"/>
  <c r="G10"/>
  <c r="G8"/>
  <c r="D14"/>
  <c r="G24" i="18" s="1"/>
  <c r="D12" i="20"/>
  <c r="D11"/>
  <c r="D10"/>
  <c r="D9"/>
  <c r="D8"/>
  <c r="R14" i="19"/>
  <c r="M33"/>
  <c r="M14"/>
  <c r="L45"/>
  <c r="L33"/>
  <c r="L22"/>
  <c r="L14"/>
  <c r="I45"/>
  <c r="I33"/>
  <c r="I22"/>
  <c r="I14"/>
  <c r="L6" i="17"/>
  <c r="K6"/>
  <c r="I6"/>
  <c r="H6"/>
  <c r="F6"/>
  <c r="K37" i="16"/>
  <c r="K32"/>
  <c r="K31"/>
  <c r="K26"/>
  <c r="K25"/>
  <c r="K11"/>
  <c r="J11"/>
  <c r="K6"/>
  <c r="E37"/>
  <c r="E32"/>
  <c r="E31"/>
  <c r="D31"/>
  <c r="E26"/>
  <c r="E25"/>
  <c r="E20"/>
  <c r="E19"/>
  <c r="E18"/>
  <c r="E13"/>
  <c r="E11"/>
  <c r="E6"/>
  <c r="R45" i="4"/>
  <c r="R14"/>
  <c r="M33"/>
  <c r="M14"/>
  <c r="L45"/>
  <c r="L22"/>
  <c r="L14"/>
  <c r="I45"/>
  <c r="I33"/>
  <c r="I22"/>
  <c r="I14"/>
  <c r="G14" i="18"/>
  <c r="G12"/>
  <c r="G11"/>
  <c r="G10"/>
  <c r="F46"/>
  <c r="F40" s="1"/>
  <c r="F34" s="1"/>
  <c r="F38"/>
  <c r="F37"/>
  <c r="F36"/>
  <c r="F39"/>
  <c r="G8"/>
  <c r="F8"/>
  <c r="O8"/>
  <c r="M8" s="1"/>
  <c r="L8"/>
  <c r="K8"/>
  <c r="O8" i="3"/>
  <c r="M8" s="1"/>
  <c r="S35" i="18" l="1"/>
  <c r="L8" i="3"/>
  <c r="O49" l="1"/>
  <c r="O37"/>
  <c r="M14"/>
  <c r="L14"/>
  <c r="O12"/>
  <c r="D13" i="5" l="1"/>
  <c r="C19" i="12"/>
  <c r="C15"/>
  <c r="O14" i="3" l="1"/>
  <c r="K14"/>
  <c r="G14"/>
  <c r="G5" i="11" l="1"/>
  <c r="V8" i="13"/>
  <c r="V36" s="1"/>
  <c r="W36" s="1"/>
  <c r="U36"/>
  <c r="F30"/>
  <c r="G30" s="1"/>
  <c r="H30" s="1"/>
  <c r="G21" i="10"/>
  <c r="BA5" i="14"/>
  <c r="AV5"/>
  <c r="AQ5"/>
  <c r="AL5"/>
  <c r="AG5"/>
  <c r="AB5"/>
  <c r="W5"/>
  <c r="R5"/>
  <c r="M5"/>
  <c r="H5"/>
  <c r="AW5" i="13"/>
  <c r="AR5"/>
  <c r="AM5"/>
  <c r="AH5"/>
  <c r="AC5"/>
  <c r="X5"/>
  <c r="S5"/>
  <c r="N5"/>
  <c r="I5"/>
  <c r="D5"/>
  <c r="L5" i="11"/>
  <c r="K5"/>
  <c r="E5"/>
  <c r="F5"/>
  <c r="H5"/>
  <c r="I5"/>
  <c r="J5"/>
  <c r="D5"/>
  <c r="L43" i="12"/>
  <c r="H43" s="1"/>
  <c r="G48"/>
  <c r="L48" s="1"/>
  <c r="L42"/>
  <c r="L45" s="1"/>
  <c r="L36"/>
  <c r="I42"/>
  <c r="I45" s="1"/>
  <c r="G45"/>
  <c r="D45"/>
  <c r="C43"/>
  <c r="C42"/>
  <c r="R39"/>
  <c r="G39"/>
  <c r="I36"/>
  <c r="I39" s="1"/>
  <c r="D39"/>
  <c r="L37"/>
  <c r="H37" s="1"/>
  <c r="C37"/>
  <c r="C36"/>
  <c r="L30"/>
  <c r="H30" s="1"/>
  <c r="H33" s="1"/>
  <c r="G33"/>
  <c r="C30"/>
  <c r="C33"/>
  <c r="R27"/>
  <c r="L23"/>
  <c r="L25"/>
  <c r="H25" s="1"/>
  <c r="L27"/>
  <c r="I23"/>
  <c r="H23" s="1"/>
  <c r="G27"/>
  <c r="D27"/>
  <c r="C23"/>
  <c r="C27" s="1"/>
  <c r="C25"/>
  <c r="R21"/>
  <c r="G21"/>
  <c r="L21" s="1"/>
  <c r="I18"/>
  <c r="I21" s="1"/>
  <c r="D21"/>
  <c r="L19"/>
  <c r="H19" s="1"/>
  <c r="L18"/>
  <c r="C18"/>
  <c r="R15"/>
  <c r="N15"/>
  <c r="L11"/>
  <c r="H11" s="1"/>
  <c r="C11"/>
  <c r="AC16" i="14"/>
  <c r="AE8" s="1"/>
  <c r="AE17"/>
  <c r="AH16"/>
  <c r="AJ8" s="1"/>
  <c r="AJ17"/>
  <c r="AJ18" s="1"/>
  <c r="Z17" i="15"/>
  <c r="AE17"/>
  <c r="I9" i="10"/>
  <c r="J7" i="11" s="1"/>
  <c r="R17" i="15"/>
  <c r="I7" i="11"/>
  <c r="AC16" i="15" s="1"/>
  <c r="AC8" s="1"/>
  <c r="AE8" s="1"/>
  <c r="H7" i="11"/>
  <c r="W16" i="15" s="1"/>
  <c r="W8" s="1"/>
  <c r="G7" i="11"/>
  <c r="S16" i="15" s="1"/>
  <c r="V16"/>
  <c r="V23" s="1"/>
  <c r="R23" s="1"/>
  <c r="R22" s="1"/>
  <c r="R16"/>
  <c r="R8" s="1"/>
  <c r="F7" i="11"/>
  <c r="N16" i="15" s="1"/>
  <c r="P17"/>
  <c r="Q8" i="13"/>
  <c r="Q17" i="15"/>
  <c r="M16"/>
  <c r="M8" s="1"/>
  <c r="M25"/>
  <c r="M22"/>
  <c r="L8" i="13"/>
  <c r="L17" i="15" s="1"/>
  <c r="K17"/>
  <c r="E7" i="11"/>
  <c r="I16" i="15" s="1"/>
  <c r="G8" i="13"/>
  <c r="G17" i="15" s="1"/>
  <c r="F17"/>
  <c r="D7" i="11"/>
  <c r="D16" i="15" s="1"/>
  <c r="C16"/>
  <c r="C8" s="1"/>
  <c r="X16" i="14"/>
  <c r="Z8" s="1"/>
  <c r="S16"/>
  <c r="U8" s="1"/>
  <c r="U11" s="1"/>
  <c r="U16" s="1"/>
  <c r="N16"/>
  <c r="AG16"/>
  <c r="AG8" s="1"/>
  <c r="AB16"/>
  <c r="AA17"/>
  <c r="Z17"/>
  <c r="W16"/>
  <c r="X8"/>
  <c r="V17"/>
  <c r="U17"/>
  <c r="R16"/>
  <c r="R8" s="1"/>
  <c r="Q17"/>
  <c r="P17"/>
  <c r="K17"/>
  <c r="K11" s="1"/>
  <c r="K16" s="1"/>
  <c r="M16"/>
  <c r="M8" s="1"/>
  <c r="F11" i="17" s="1"/>
  <c r="P8" i="14"/>
  <c r="H16"/>
  <c r="H8" s="1"/>
  <c r="I8"/>
  <c r="AC30" i="13"/>
  <c r="AE30" s="1"/>
  <c r="AF30" s="1"/>
  <c r="AG30" s="1"/>
  <c r="X30"/>
  <c r="Z30" s="1"/>
  <c r="AJ8"/>
  <c r="AJ36" s="1"/>
  <c r="AK9"/>
  <c r="AK8" s="1"/>
  <c r="AL12"/>
  <c r="AE36"/>
  <c r="AF36"/>
  <c r="AK17" i="14"/>
  <c r="AA36" i="13"/>
  <c r="Z36"/>
  <c r="AB8"/>
  <c r="U30"/>
  <c r="V30" s="1"/>
  <c r="W30" s="1"/>
  <c r="W8"/>
  <c r="R9"/>
  <c r="R8" s="1"/>
  <c r="R36" s="1"/>
  <c r="Q36"/>
  <c r="P36"/>
  <c r="P30"/>
  <c r="Q30" s="1"/>
  <c r="R30" s="1"/>
  <c r="L36"/>
  <c r="M36" s="1"/>
  <c r="K36"/>
  <c r="K30"/>
  <c r="L30"/>
  <c r="M30" s="1"/>
  <c r="M8"/>
  <c r="G36"/>
  <c r="F36"/>
  <c r="E11" i="11"/>
  <c r="E13"/>
  <c r="F11"/>
  <c r="F15" s="1"/>
  <c r="F17" s="1"/>
  <c r="F13"/>
  <c r="G11"/>
  <c r="G13"/>
  <c r="H13"/>
  <c r="I13"/>
  <c r="I13" i="10"/>
  <c r="D13" i="11"/>
  <c r="I24" i="10"/>
  <c r="I23"/>
  <c r="H21"/>
  <c r="F21"/>
  <c r="K69" i="3" s="1"/>
  <c r="E21" i="10"/>
  <c r="D21"/>
  <c r="G68" i="22" s="1"/>
  <c r="C21" i="10"/>
  <c r="G12"/>
  <c r="G14" s="1"/>
  <c r="I17" i="17" s="1"/>
  <c r="H12" i="10"/>
  <c r="H14" s="1"/>
  <c r="K17" i="17" s="1"/>
  <c r="F12" i="10"/>
  <c r="F14" s="1"/>
  <c r="H17" i="17" s="1"/>
  <c r="E12" i="10"/>
  <c r="E14" s="1"/>
  <c r="D12"/>
  <c r="D14" s="1"/>
  <c r="F17" i="17" s="1"/>
  <c r="C12" i="10"/>
  <c r="C14" s="1"/>
  <c r="K11" i="22"/>
  <c r="K10" s="1"/>
  <c r="L36"/>
  <c r="K52"/>
  <c r="K51"/>
  <c r="I44" i="23"/>
  <c r="G19" i="22"/>
  <c r="I20" i="23"/>
  <c r="I27"/>
  <c r="I44" i="4"/>
  <c r="O53" i="3"/>
  <c r="O53" i="18" s="1"/>
  <c r="K53" i="22"/>
  <c r="I44" i="19"/>
  <c r="G58" i="22"/>
  <c r="G55"/>
  <c r="G54"/>
  <c r="G53"/>
  <c r="G52"/>
  <c r="G51"/>
  <c r="G50"/>
  <c r="G49"/>
  <c r="G48"/>
  <c r="G47"/>
  <c r="G46"/>
  <c r="G45"/>
  <c r="G44"/>
  <c r="G43"/>
  <c r="G42"/>
  <c r="G39"/>
  <c r="G38"/>
  <c r="G37"/>
  <c r="G36"/>
  <c r="G21"/>
  <c r="G20"/>
  <c r="G12"/>
  <c r="G11"/>
  <c r="G7"/>
  <c r="I24"/>
  <c r="I19"/>
  <c r="I16"/>
  <c r="F13"/>
  <c r="F75" s="1"/>
  <c r="F74"/>
  <c r="F63"/>
  <c r="F66" s="1"/>
  <c r="F69" s="1"/>
  <c r="F31"/>
  <c r="F21"/>
  <c r="F20"/>
  <c r="K58" i="18"/>
  <c r="M58" s="1"/>
  <c r="K54"/>
  <c r="K52"/>
  <c r="K51"/>
  <c r="K50"/>
  <c r="K11"/>
  <c r="K10" s="1"/>
  <c r="G56"/>
  <c r="G55"/>
  <c r="G54"/>
  <c r="G53"/>
  <c r="G50"/>
  <c r="G49"/>
  <c r="G48"/>
  <c r="G47"/>
  <c r="G46"/>
  <c r="G45"/>
  <c r="G44"/>
  <c r="G43"/>
  <c r="G42"/>
  <c r="G39"/>
  <c r="G38"/>
  <c r="G37"/>
  <c r="G36"/>
  <c r="G21"/>
  <c r="G20"/>
  <c r="R44" i="23"/>
  <c r="N45"/>
  <c r="N44" s="1"/>
  <c r="N33"/>
  <c r="R33" s="1"/>
  <c r="M20"/>
  <c r="L44"/>
  <c r="L20"/>
  <c r="L27" s="1"/>
  <c r="L28" s="1"/>
  <c r="G19" i="18"/>
  <c r="I13" i="19"/>
  <c r="I12"/>
  <c r="I43" i="23"/>
  <c r="U43" s="1"/>
  <c r="K47"/>
  <c r="G15"/>
  <c r="N45" i="19"/>
  <c r="N44" s="1"/>
  <c r="N33"/>
  <c r="R33" s="1"/>
  <c r="O19" i="18" s="1"/>
  <c r="L44" i="19"/>
  <c r="R15"/>
  <c r="L15"/>
  <c r="N14"/>
  <c r="I15"/>
  <c r="I40" i="18"/>
  <c r="I34" s="1"/>
  <c r="F20"/>
  <c r="F21"/>
  <c r="K56"/>
  <c r="K56" i="22"/>
  <c r="G56"/>
  <c r="K7"/>
  <c r="R44" i="4"/>
  <c r="R20"/>
  <c r="N15"/>
  <c r="M44"/>
  <c r="N33"/>
  <c r="M20"/>
  <c r="M15"/>
  <c r="M43"/>
  <c r="L44"/>
  <c r="L20"/>
  <c r="L27" s="1"/>
  <c r="L15"/>
  <c r="L43"/>
  <c r="I20"/>
  <c r="I15"/>
  <c r="K11" i="17"/>
  <c r="K30" s="1"/>
  <c r="K23"/>
  <c r="M52" i="18"/>
  <c r="L52" i="22"/>
  <c r="K10" i="3"/>
  <c r="K19"/>
  <c r="O24" i="22"/>
  <c r="M24"/>
  <c r="L24"/>
  <c r="K24"/>
  <c r="G13" i="24"/>
  <c r="E11"/>
  <c r="G24" i="22"/>
  <c r="M24" i="18"/>
  <c r="I13" i="20"/>
  <c r="L24" i="18"/>
  <c r="H13" i="20"/>
  <c r="H11"/>
  <c r="G13"/>
  <c r="D13"/>
  <c r="K38" i="3"/>
  <c r="K38" i="22" s="1"/>
  <c r="J13" i="5"/>
  <c r="K56" i="3"/>
  <c r="G49" i="12"/>
  <c r="L49" s="1"/>
  <c r="C49"/>
  <c r="K49" i="22"/>
  <c r="K45" i="3"/>
  <c r="O45" s="1"/>
  <c r="N45" i="4"/>
  <c r="N44" s="1"/>
  <c r="N43"/>
  <c r="E24" i="25"/>
  <c r="I43" i="4"/>
  <c r="K13" i="24"/>
  <c r="J13"/>
  <c r="I13"/>
  <c r="C11"/>
  <c r="N13" i="23"/>
  <c r="R13" s="1"/>
  <c r="L12"/>
  <c r="L43" s="1"/>
  <c r="Y14"/>
  <c r="U16"/>
  <c r="Y16" s="1"/>
  <c r="U21"/>
  <c r="Y21" s="1"/>
  <c r="U26"/>
  <c r="Y26" s="1"/>
  <c r="Y44"/>
  <c r="Y46"/>
  <c r="Y43"/>
  <c r="X14"/>
  <c r="X16"/>
  <c r="X17"/>
  <c r="X21"/>
  <c r="X22" s="1"/>
  <c r="X26"/>
  <c r="V44"/>
  <c r="X44" s="1"/>
  <c r="X46" s="1"/>
  <c r="X43"/>
  <c r="W14"/>
  <c r="W16"/>
  <c r="W21"/>
  <c r="W26"/>
  <c r="W44"/>
  <c r="W46" s="1"/>
  <c r="W43"/>
  <c r="V14"/>
  <c r="V16"/>
  <c r="V46"/>
  <c r="V43"/>
  <c r="U14"/>
  <c r="U46"/>
  <c r="R20"/>
  <c r="N15"/>
  <c r="M15"/>
  <c r="M44"/>
  <c r="E17"/>
  <c r="E22"/>
  <c r="E27" s="1"/>
  <c r="E28" s="1"/>
  <c r="E29" s="1"/>
  <c r="K15"/>
  <c r="K29"/>
  <c r="I18" i="22" s="1"/>
  <c r="I22" s="1"/>
  <c r="D29" i="23"/>
  <c r="D47" s="1"/>
  <c r="U44"/>
  <c r="Y33"/>
  <c r="W33" s="1"/>
  <c r="U33"/>
  <c r="V33" s="1"/>
  <c r="D35"/>
  <c r="Y13"/>
  <c r="V13"/>
  <c r="U13"/>
  <c r="U10"/>
  <c r="V10" s="1"/>
  <c r="M36" i="22"/>
  <c r="K19"/>
  <c r="N12" i="19"/>
  <c r="N43" s="1"/>
  <c r="N46" s="1"/>
  <c r="M15"/>
  <c r="M20"/>
  <c r="M44"/>
  <c r="Q14" i="22"/>
  <c r="Q15"/>
  <c r="Q68"/>
  <c r="Q72" s="1"/>
  <c r="N68"/>
  <c r="M15"/>
  <c r="M13" s="1"/>
  <c r="M68"/>
  <c r="L13"/>
  <c r="L68"/>
  <c r="K13"/>
  <c r="K75" s="1"/>
  <c r="G13"/>
  <c r="G75" s="1"/>
  <c r="D14"/>
  <c r="D13" s="1"/>
  <c r="D15"/>
  <c r="D68"/>
  <c r="I13"/>
  <c r="I75" s="1"/>
  <c r="L20"/>
  <c r="L21"/>
  <c r="L31"/>
  <c r="M26"/>
  <c r="M27"/>
  <c r="M28"/>
  <c r="M29"/>
  <c r="M30"/>
  <c r="K31"/>
  <c r="M31" s="1"/>
  <c r="M54"/>
  <c r="M57"/>
  <c r="N25"/>
  <c r="K20"/>
  <c r="K21"/>
  <c r="G10"/>
  <c r="G31"/>
  <c r="D16"/>
  <c r="D34"/>
  <c r="D25" s="1"/>
  <c r="C71"/>
  <c r="C73"/>
  <c r="C74" s="1"/>
  <c r="C72"/>
  <c r="I20"/>
  <c r="I21"/>
  <c r="I31"/>
  <c r="I63"/>
  <c r="I66" s="1"/>
  <c r="G29" i="4"/>
  <c r="G35" s="1"/>
  <c r="Q18" i="22"/>
  <c r="Q16" s="1"/>
  <c r="Q19"/>
  <c r="Q34"/>
  <c r="Q25" s="1"/>
  <c r="N33"/>
  <c r="M33"/>
  <c r="M32"/>
  <c r="O30"/>
  <c r="O29"/>
  <c r="O28"/>
  <c r="O27"/>
  <c r="O26"/>
  <c r="O23"/>
  <c r="D19"/>
  <c r="O17"/>
  <c r="Q11"/>
  <c r="Q9"/>
  <c r="N9"/>
  <c r="M9"/>
  <c r="H4"/>
  <c r="K13" i="20"/>
  <c r="J11"/>
  <c r="I11"/>
  <c r="C11"/>
  <c r="Y14" i="19"/>
  <c r="U16"/>
  <c r="Y16" s="1"/>
  <c r="U21"/>
  <c r="V21" s="1"/>
  <c r="U26"/>
  <c r="V26" s="1"/>
  <c r="Y44"/>
  <c r="Y43"/>
  <c r="Y46" s="1"/>
  <c r="X14"/>
  <c r="X16"/>
  <c r="X17"/>
  <c r="X21"/>
  <c r="X26"/>
  <c r="V44"/>
  <c r="X44"/>
  <c r="X46"/>
  <c r="X43"/>
  <c r="W14"/>
  <c r="W16"/>
  <c r="W17"/>
  <c r="W27" s="1"/>
  <c r="W21"/>
  <c r="W22" s="1"/>
  <c r="W26"/>
  <c r="W44"/>
  <c r="W43"/>
  <c r="V14"/>
  <c r="V46"/>
  <c r="V43"/>
  <c r="U14"/>
  <c r="U22" s="1"/>
  <c r="U46"/>
  <c r="U43"/>
  <c r="R44"/>
  <c r="N15"/>
  <c r="L20"/>
  <c r="L43"/>
  <c r="I20"/>
  <c r="I27" s="1"/>
  <c r="G15"/>
  <c r="G28" s="1"/>
  <c r="G29" s="1"/>
  <c r="C24" i="21"/>
  <c r="C28" s="1"/>
  <c r="E17" i="19"/>
  <c r="E22"/>
  <c r="K15"/>
  <c r="K29"/>
  <c r="K46"/>
  <c r="D29"/>
  <c r="D35" s="1"/>
  <c r="U44"/>
  <c r="Y33"/>
  <c r="U33"/>
  <c r="Y13"/>
  <c r="V13"/>
  <c r="U13"/>
  <c r="U10"/>
  <c r="V10" s="1"/>
  <c r="L19" i="18"/>
  <c r="K19"/>
  <c r="Q14"/>
  <c r="Q13" s="1"/>
  <c r="Q76" s="1"/>
  <c r="Q15"/>
  <c r="Q68"/>
  <c r="Q72" s="1"/>
  <c r="N68"/>
  <c r="N19" s="1"/>
  <c r="M15"/>
  <c r="M13" s="1"/>
  <c r="M68"/>
  <c r="L13"/>
  <c r="L68"/>
  <c r="K13"/>
  <c r="K75" s="1"/>
  <c r="K68"/>
  <c r="G13"/>
  <c r="G75" s="1"/>
  <c r="D14"/>
  <c r="D13" s="1"/>
  <c r="D15"/>
  <c r="D68"/>
  <c r="I75"/>
  <c r="F13"/>
  <c r="F75" s="1"/>
  <c r="L20"/>
  <c r="L21"/>
  <c r="L31"/>
  <c r="L44"/>
  <c r="M26"/>
  <c r="M27"/>
  <c r="M28"/>
  <c r="M29"/>
  <c r="M30"/>
  <c r="K31"/>
  <c r="M44"/>
  <c r="M54"/>
  <c r="M57"/>
  <c r="K20"/>
  <c r="K21"/>
  <c r="I68"/>
  <c r="I74" s="1"/>
  <c r="G31"/>
  <c r="D16"/>
  <c r="D34"/>
  <c r="D25" s="1"/>
  <c r="C71"/>
  <c r="C72" s="1"/>
  <c r="I20"/>
  <c r="I21"/>
  <c r="I31"/>
  <c r="I25" s="1"/>
  <c r="I63"/>
  <c r="I71" s="1"/>
  <c r="F31"/>
  <c r="F71"/>
  <c r="Q18"/>
  <c r="Q19"/>
  <c r="Q34"/>
  <c r="Q25"/>
  <c r="M33"/>
  <c r="M32"/>
  <c r="O30"/>
  <c r="O29"/>
  <c r="O28"/>
  <c r="O27"/>
  <c r="O26"/>
  <c r="O23"/>
  <c r="D19"/>
  <c r="O17"/>
  <c r="Q11"/>
  <c r="Q9"/>
  <c r="M9"/>
  <c r="H4"/>
  <c r="L16" i="17"/>
  <c r="I23"/>
  <c r="H12"/>
  <c r="F23"/>
  <c r="F15"/>
  <c r="F13" s="1"/>
  <c r="F12"/>
  <c r="L20" i="3"/>
  <c r="L21"/>
  <c r="L24"/>
  <c r="K43"/>
  <c r="K44"/>
  <c r="K44" i="18" s="1"/>
  <c r="K47" i="3"/>
  <c r="O47" s="1"/>
  <c r="K48"/>
  <c r="O48" s="1"/>
  <c r="K37"/>
  <c r="K37" i="18" s="1"/>
  <c r="K39" i="3"/>
  <c r="M19"/>
  <c r="M24"/>
  <c r="M54"/>
  <c r="M58"/>
  <c r="G20"/>
  <c r="G21"/>
  <c r="G40"/>
  <c r="G34" s="1"/>
  <c r="G10"/>
  <c r="K20"/>
  <c r="K21"/>
  <c r="K24"/>
  <c r="K46"/>
  <c r="L21" i="16"/>
  <c r="L8"/>
  <c r="M5"/>
  <c r="O24" i="3"/>
  <c r="H13" i="5"/>
  <c r="R43" i="4"/>
  <c r="G15"/>
  <c r="G13" i="5"/>
  <c r="G13" i="3"/>
  <c r="G76" s="1"/>
  <c r="G69"/>
  <c r="M69"/>
  <c r="L69"/>
  <c r="F40"/>
  <c r="F34" s="1"/>
  <c r="F20"/>
  <c r="F21"/>
  <c r="F13"/>
  <c r="I20"/>
  <c r="I21"/>
  <c r="I40"/>
  <c r="I34" s="1"/>
  <c r="I13" i="5"/>
  <c r="F76" i="3"/>
  <c r="F31"/>
  <c r="L31"/>
  <c r="L13"/>
  <c r="M26"/>
  <c r="M27"/>
  <c r="M28"/>
  <c r="M29"/>
  <c r="M30"/>
  <c r="K31"/>
  <c r="G43" i="4"/>
  <c r="C12" i="7"/>
  <c r="C24"/>
  <c r="G31" i="3"/>
  <c r="D21" i="16"/>
  <c r="O36" i="18"/>
  <c r="L36" s="1"/>
  <c r="AO17" i="14"/>
  <c r="K13" i="5"/>
  <c r="Q69" i="3"/>
  <c r="N69"/>
  <c r="Q9"/>
  <c r="Q11"/>
  <c r="Q14"/>
  <c r="Q15"/>
  <c r="Q18"/>
  <c r="Q19"/>
  <c r="O17"/>
  <c r="O23"/>
  <c r="Q34"/>
  <c r="Q25" s="1"/>
  <c r="O26"/>
  <c r="O27"/>
  <c r="O28"/>
  <c r="O29"/>
  <c r="O30"/>
  <c r="Y14" i="4"/>
  <c r="U16"/>
  <c r="V16" s="1"/>
  <c r="Y16"/>
  <c r="Y17" s="1"/>
  <c r="U21"/>
  <c r="V21" s="1"/>
  <c r="U26"/>
  <c r="Y26"/>
  <c r="Y44"/>
  <c r="Y46" s="1"/>
  <c r="Y43"/>
  <c r="X14"/>
  <c r="X22" s="1"/>
  <c r="X16"/>
  <c r="X21"/>
  <c r="X26"/>
  <c r="V44"/>
  <c r="X44" s="1"/>
  <c r="X46" s="1"/>
  <c r="X43"/>
  <c r="W14"/>
  <c r="W16"/>
  <c r="W21"/>
  <c r="W26"/>
  <c r="W44"/>
  <c r="W46" s="1"/>
  <c r="W43"/>
  <c r="V14"/>
  <c r="V26"/>
  <c r="V46"/>
  <c r="V43"/>
  <c r="U14"/>
  <c r="U22" s="1"/>
  <c r="U46"/>
  <c r="U43"/>
  <c r="K15"/>
  <c r="K43"/>
  <c r="E17"/>
  <c r="E27" s="1"/>
  <c r="E22"/>
  <c r="D29"/>
  <c r="D35" s="1"/>
  <c r="U44"/>
  <c r="Y33"/>
  <c r="X33" s="1"/>
  <c r="U33"/>
  <c r="Y13"/>
  <c r="V13"/>
  <c r="U13"/>
  <c r="U10"/>
  <c r="V10" s="1"/>
  <c r="V8" i="16"/>
  <c r="V22" s="1"/>
  <c r="W8"/>
  <c r="W22" s="1"/>
  <c r="V15"/>
  <c r="W15"/>
  <c r="V21"/>
  <c r="V25" s="1"/>
  <c r="W21"/>
  <c r="W25" s="1"/>
  <c r="V23"/>
  <c r="W23"/>
  <c r="V24"/>
  <c r="W24"/>
  <c r="V28"/>
  <c r="W28"/>
  <c r="V34"/>
  <c r="W34"/>
  <c r="M15" i="17"/>
  <c r="M16"/>
  <c r="M17"/>
  <c r="M21"/>
  <c r="M22"/>
  <c r="M28"/>
  <c r="M23" s="1"/>
  <c r="M30" s="1"/>
  <c r="B9" i="12"/>
  <c r="C9" s="1"/>
  <c r="D9" s="1"/>
  <c r="E9" s="1"/>
  <c r="G9" s="1"/>
  <c r="H9" s="1"/>
  <c r="I9" s="1"/>
  <c r="K9" s="1"/>
  <c r="L9" s="1"/>
  <c r="M9" s="1"/>
  <c r="N9" s="1"/>
  <c r="O9" s="1"/>
  <c r="Q9" s="1"/>
  <c r="R9" s="1"/>
  <c r="I31" i="3"/>
  <c r="F17" i="14"/>
  <c r="G17"/>
  <c r="G19"/>
  <c r="C19" s="1"/>
  <c r="D17"/>
  <c r="D22" s="1"/>
  <c r="F11" s="1"/>
  <c r="G20"/>
  <c r="C20" s="1"/>
  <c r="C15"/>
  <c r="F9"/>
  <c r="N7"/>
  <c r="O7" s="1"/>
  <c r="P7" s="1"/>
  <c r="Q7" s="1"/>
  <c r="J7"/>
  <c r="K7" s="1"/>
  <c r="L7" s="1"/>
  <c r="C7"/>
  <c r="D7"/>
  <c r="E7" s="1"/>
  <c r="F7" s="1"/>
  <c r="G7" s="1"/>
  <c r="B7" i="13"/>
  <c r="C7" s="1"/>
  <c r="M24" i="10"/>
  <c r="M12" s="1"/>
  <c r="L24"/>
  <c r="L12" s="1"/>
  <c r="N14" i="18" s="1"/>
  <c r="K24" i="10"/>
  <c r="K12" s="1"/>
  <c r="J24"/>
  <c r="J12"/>
  <c r="M13"/>
  <c r="L13"/>
  <c r="J17" i="17" s="1"/>
  <c r="K13" i="10"/>
  <c r="J13"/>
  <c r="J7"/>
  <c r="C6" i="11"/>
  <c r="D6" s="1"/>
  <c r="K13" i="3"/>
  <c r="K76" s="1"/>
  <c r="P8" i="16"/>
  <c r="N8"/>
  <c r="J8"/>
  <c r="H8"/>
  <c r="D8"/>
  <c r="M15" i="3"/>
  <c r="M13" s="1"/>
  <c r="I76"/>
  <c r="J6" i="17"/>
  <c r="M33" i="3"/>
  <c r="M32"/>
  <c r="M9"/>
  <c r="J28" i="17"/>
  <c r="J23" s="1"/>
  <c r="H4" i="3"/>
  <c r="S34" i="16"/>
  <c r="R34"/>
  <c r="S28"/>
  <c r="R28"/>
  <c r="S24"/>
  <c r="R24"/>
  <c r="S23"/>
  <c r="R23"/>
  <c r="S21"/>
  <c r="R21"/>
  <c r="S15"/>
  <c r="R15"/>
  <c r="S8"/>
  <c r="R8"/>
  <c r="D14" i="3"/>
  <c r="D15"/>
  <c r="D16"/>
  <c r="D34"/>
  <c r="D25" s="1"/>
  <c r="D69"/>
  <c r="C72"/>
  <c r="C73" s="1"/>
  <c r="D19"/>
  <c r="B5" i="16"/>
  <c r="C5" s="1"/>
  <c r="D5" s="1"/>
  <c r="E5" s="1"/>
  <c r="F5" s="1"/>
  <c r="G5" s="1"/>
  <c r="J5" s="1"/>
  <c r="K5" s="1"/>
  <c r="O5"/>
  <c r="Q5"/>
  <c r="S5"/>
  <c r="T5" s="1"/>
  <c r="U5" s="1"/>
  <c r="V5" s="1"/>
  <c r="W5" s="1"/>
  <c r="J22" i="17"/>
  <c r="F38" i="16"/>
  <c r="F39"/>
  <c r="J12" i="17"/>
  <c r="J11" s="1"/>
  <c r="J21"/>
  <c r="J15"/>
  <c r="J16"/>
  <c r="N25" i="3"/>
  <c r="N15"/>
  <c r="Y21" i="4"/>
  <c r="N35" i="3"/>
  <c r="J39" i="16"/>
  <c r="H21"/>
  <c r="V26"/>
  <c r="V31" s="1"/>
  <c r="V32"/>
  <c r="V38" s="1"/>
  <c r="W32"/>
  <c r="W37" s="1"/>
  <c r="D38"/>
  <c r="D39"/>
  <c r="G47" i="4"/>
  <c r="R18" i="16"/>
  <c r="S18" s="1"/>
  <c r="W18"/>
  <c r="N21"/>
  <c r="J21"/>
  <c r="J38"/>
  <c r="N15" i="22"/>
  <c r="M36" i="18"/>
  <c r="K36"/>
  <c r="K12" i="22"/>
  <c r="K12" i="18"/>
  <c r="O12" i="22"/>
  <c r="L12" s="1"/>
  <c r="L75" i="18"/>
  <c r="R13" i="19"/>
  <c r="R12" s="1"/>
  <c r="R43" s="1"/>
  <c r="R46" s="1"/>
  <c r="L28" i="4"/>
  <c r="L29"/>
  <c r="K18" i="3" s="1"/>
  <c r="L37"/>
  <c r="K37" i="22"/>
  <c r="I68"/>
  <c r="I74" s="1"/>
  <c r="I75" i="3"/>
  <c r="K27" i="4"/>
  <c r="K28" s="1"/>
  <c r="K29" s="1"/>
  <c r="I16" i="3" s="1"/>
  <c r="K48" i="18"/>
  <c r="K48" i="22"/>
  <c r="O48" i="18"/>
  <c r="N25"/>
  <c r="N11" i="3"/>
  <c r="E28" i="4"/>
  <c r="E29" s="1"/>
  <c r="N31" i="3"/>
  <c r="O44"/>
  <c r="M44" s="1"/>
  <c r="G68" i="18"/>
  <c r="G76" s="1"/>
  <c r="Y26" i="19"/>
  <c r="L46" i="4"/>
  <c r="F12" i="21" s="1"/>
  <c r="I46" i="19"/>
  <c r="D12" i="21" s="1"/>
  <c r="D21" s="1"/>
  <c r="D24" s="1"/>
  <c r="D28" s="1"/>
  <c r="Y21" i="19"/>
  <c r="Y22" s="1"/>
  <c r="Q73" i="3"/>
  <c r="N16"/>
  <c r="D47" i="4"/>
  <c r="X17"/>
  <c r="M75" i="18"/>
  <c r="N15"/>
  <c r="O15" s="1"/>
  <c r="O13" s="1"/>
  <c r="X33" i="19"/>
  <c r="D47"/>
  <c r="I28"/>
  <c r="I29" s="1"/>
  <c r="L51" i="18"/>
  <c r="L51" i="22" s="1"/>
  <c r="M27" i="19"/>
  <c r="M28" s="1"/>
  <c r="U17" i="23"/>
  <c r="M12"/>
  <c r="M43" s="1"/>
  <c r="I27" i="4"/>
  <c r="K55" i="18"/>
  <c r="M51"/>
  <c r="L52"/>
  <c r="M52" i="22"/>
  <c r="O45"/>
  <c r="L45" s="1"/>
  <c r="R27" i="4"/>
  <c r="R28" s="1"/>
  <c r="R29" s="1"/>
  <c r="U22" i="23"/>
  <c r="U27" s="1"/>
  <c r="O52" i="18"/>
  <c r="K45"/>
  <c r="K49"/>
  <c r="O57" i="3"/>
  <c r="M57" s="1"/>
  <c r="O53" i="22"/>
  <c r="L75"/>
  <c r="M49" i="3"/>
  <c r="K38" i="18"/>
  <c r="O42"/>
  <c r="L42" s="1"/>
  <c r="O37" i="22"/>
  <c r="M37" s="1"/>
  <c r="O37" i="18"/>
  <c r="L37" s="1"/>
  <c r="AO8" i="14"/>
  <c r="L15" i="17" s="1"/>
  <c r="L13" s="1"/>
  <c r="I15"/>
  <c r="I13" s="1"/>
  <c r="AL16" i="14"/>
  <c r="AM16"/>
  <c r="X27" i="4"/>
  <c r="E47"/>
  <c r="E48" s="1"/>
  <c r="E35"/>
  <c r="O49" i="18"/>
  <c r="M49" s="1"/>
  <c r="O49" i="22"/>
  <c r="L49" s="1"/>
  <c r="F69" i="3"/>
  <c r="F75" s="1"/>
  <c r="F68" i="18"/>
  <c r="L48" i="3"/>
  <c r="M48"/>
  <c r="K18" i="22"/>
  <c r="L12" i="3"/>
  <c r="M12"/>
  <c r="M49" i="22"/>
  <c r="F74" i="18"/>
  <c r="K36" i="17" l="1"/>
  <c r="K41" s="1"/>
  <c r="K35"/>
  <c r="N19" i="22"/>
  <c r="N31"/>
  <c r="N35"/>
  <c r="N10"/>
  <c r="P11" i="14"/>
  <c r="P16" s="1"/>
  <c r="Q75" i="18"/>
  <c r="Q73" s="1"/>
  <c r="Q74" s="1"/>
  <c r="O15" i="22"/>
  <c r="O13" s="1"/>
  <c r="N24"/>
  <c r="I11" i="11"/>
  <c r="K46" i="22"/>
  <c r="O46" i="3"/>
  <c r="O55" i="22"/>
  <c r="O56" i="3"/>
  <c r="K43" i="18"/>
  <c r="O43" i="3"/>
  <c r="O56" i="22"/>
  <c r="M56" s="1"/>
  <c r="I25" i="3"/>
  <c r="F25"/>
  <c r="K39" i="22"/>
  <c r="O39" i="3"/>
  <c r="M42" i="18"/>
  <c r="L76" i="22"/>
  <c r="F71"/>
  <c r="N12" i="23"/>
  <c r="R27"/>
  <c r="I46"/>
  <c r="D12" i="25" s="1"/>
  <c r="D21" s="1"/>
  <c r="D24" s="1"/>
  <c r="D28" s="1"/>
  <c r="G70" i="22" s="1"/>
  <c r="I66" i="18"/>
  <c r="I69" s="1"/>
  <c r="I35" i="19"/>
  <c r="I47" s="1"/>
  <c r="I48" s="1"/>
  <c r="G18" i="18"/>
  <c r="K16" i="22"/>
  <c r="K18" i="18"/>
  <c r="K22" s="1"/>
  <c r="C74" i="3"/>
  <c r="C75" s="1"/>
  <c r="C73" i="18"/>
  <c r="C74" s="1"/>
  <c r="F66"/>
  <c r="L49"/>
  <c r="L37" i="22"/>
  <c r="D18" i="3"/>
  <c r="M37" i="18"/>
  <c r="O15" i="3"/>
  <c r="O13" s="1"/>
  <c r="O76" s="1"/>
  <c r="N22"/>
  <c r="F69" i="18"/>
  <c r="K18" i="14"/>
  <c r="N13" i="18"/>
  <c r="C28" i="7"/>
  <c r="Q16" i="18"/>
  <c r="Q13" i="22"/>
  <c r="R17" i="14"/>
  <c r="F30" i="17"/>
  <c r="F36" s="1"/>
  <c r="N8" i="22"/>
  <c r="O36"/>
  <c r="H36" i="12"/>
  <c r="L33"/>
  <c r="H18"/>
  <c r="AG36" i="13"/>
  <c r="AE11" i="14"/>
  <c r="AH8"/>
  <c r="K12" i="17" s="1"/>
  <c r="I21" i="10"/>
  <c r="O68" i="22" s="1"/>
  <c r="O76" s="1"/>
  <c r="L76" i="18"/>
  <c r="AE18" i="14"/>
  <c r="H11" i="11"/>
  <c r="O56" i="18"/>
  <c r="L57" i="3"/>
  <c r="M10"/>
  <c r="M11" s="1"/>
  <c r="O11"/>
  <c r="O11" i="18" s="1"/>
  <c r="O10" s="1"/>
  <c r="M10" s="1"/>
  <c r="L10" i="3"/>
  <c r="L11" s="1"/>
  <c r="K77"/>
  <c r="N75" i="18"/>
  <c r="N76"/>
  <c r="L47" i="3"/>
  <c r="O47" i="18"/>
  <c r="O47" i="22"/>
  <c r="L55"/>
  <c r="M55"/>
  <c r="K22" i="3"/>
  <c r="K16"/>
  <c r="O75" i="18"/>
  <c r="G47" i="23"/>
  <c r="C21" i="25"/>
  <c r="C28" s="1"/>
  <c r="O18" i="3"/>
  <c r="O22" s="1"/>
  <c r="O18" i="22"/>
  <c r="O22" s="1"/>
  <c r="L48" i="18"/>
  <c r="M48"/>
  <c r="E21" i="21"/>
  <c r="E24" s="1"/>
  <c r="E28" s="1"/>
  <c r="E12" i="7"/>
  <c r="E21" s="1"/>
  <c r="E24" s="1"/>
  <c r="E28" s="1"/>
  <c r="J20" i="16" s="1"/>
  <c r="K20" s="1"/>
  <c r="M76" i="22"/>
  <c r="M75"/>
  <c r="X27" i="23"/>
  <c r="L29"/>
  <c r="L35" s="1"/>
  <c r="I60" i="3"/>
  <c r="I64" s="1"/>
  <c r="I67" s="1"/>
  <c r="I70" s="1"/>
  <c r="O12" i="18"/>
  <c r="M12" s="1"/>
  <c r="L35" i="4"/>
  <c r="L47" s="1"/>
  <c r="L48" s="1"/>
  <c r="O48" i="22"/>
  <c r="M48" s="1"/>
  <c r="F12" i="7"/>
  <c r="F21" s="1"/>
  <c r="K47" i="18"/>
  <c r="U17" i="19"/>
  <c r="W33" i="4"/>
  <c r="G77" i="3"/>
  <c r="O38"/>
  <c r="K47" i="22"/>
  <c r="I16" i="18"/>
  <c r="E27" i="19"/>
  <c r="E28" s="1"/>
  <c r="E29" s="1"/>
  <c r="X22"/>
  <c r="V21" i="23"/>
  <c r="V22" s="1"/>
  <c r="K24" i="18"/>
  <c r="AK36" i="13"/>
  <c r="M17" i="14"/>
  <c r="R12" i="23"/>
  <c r="L49" i="3"/>
  <c r="M46"/>
  <c r="M46" i="22" s="1"/>
  <c r="M45"/>
  <c r="F12" i="25"/>
  <c r="F21" s="1"/>
  <c r="F24" s="1"/>
  <c r="F28" s="1"/>
  <c r="M46" i="23"/>
  <c r="M37" i="3"/>
  <c r="K39" i="18"/>
  <c r="M12" i="19"/>
  <c r="M43" s="1"/>
  <c r="M46" s="1"/>
  <c r="K46" i="18"/>
  <c r="C17" i="14"/>
  <c r="C18" s="1"/>
  <c r="R22" i="16"/>
  <c r="V33" i="4"/>
  <c r="V22"/>
  <c r="Q13" i="3"/>
  <c r="L19"/>
  <c r="H23" i="17"/>
  <c r="K76" i="18"/>
  <c r="M76"/>
  <c r="V16" i="19"/>
  <c r="L19" i="22"/>
  <c r="X33" i="23"/>
  <c r="W17"/>
  <c r="Y22"/>
  <c r="N14"/>
  <c r="J13" i="20"/>
  <c r="I12" i="10"/>
  <c r="I14" s="1"/>
  <c r="J13" i="11"/>
  <c r="H8" i="13"/>
  <c r="H36" s="1"/>
  <c r="AH30"/>
  <c r="P18" i="14"/>
  <c r="L17"/>
  <c r="L18" s="1"/>
  <c r="H18" s="1"/>
  <c r="AA18"/>
  <c r="AG8" i="13"/>
  <c r="AL8" s="1"/>
  <c r="F18" i="15"/>
  <c r="AA17"/>
  <c r="W17" s="1"/>
  <c r="H21" i="12"/>
  <c r="H45"/>
  <c r="X28" i="4"/>
  <c r="X29" s="1"/>
  <c r="X35" s="1"/>
  <c r="D13" i="3"/>
  <c r="D77" s="1"/>
  <c r="C22" i="14"/>
  <c r="C24" s="1"/>
  <c r="W46" i="19"/>
  <c r="Y17"/>
  <c r="Y27" s="1"/>
  <c r="Y28" s="1"/>
  <c r="Y29" s="1"/>
  <c r="K68" i="22"/>
  <c r="K76" s="1"/>
  <c r="N22"/>
  <c r="V26" i="23"/>
  <c r="V17"/>
  <c r="W22"/>
  <c r="Y17"/>
  <c r="D13" i="24"/>
  <c r="N46" i="4"/>
  <c r="O24" i="18"/>
  <c r="N14" i="4"/>
  <c r="R46"/>
  <c r="I46"/>
  <c r="D12" i="7" s="1"/>
  <c r="D21" s="1"/>
  <c r="D24" s="1"/>
  <c r="D28" s="1"/>
  <c r="G15" i="11"/>
  <c r="G17" s="1"/>
  <c r="AB36" i="13"/>
  <c r="AL36"/>
  <c r="AC8" i="14"/>
  <c r="M17" i="15"/>
  <c r="L15" i="12"/>
  <c r="H15" s="1"/>
  <c r="H27"/>
  <c r="H42"/>
  <c r="R28" i="23"/>
  <c r="X28"/>
  <c r="X29" s="1"/>
  <c r="M46" i="4"/>
  <c r="G12" i="7" s="1"/>
  <c r="G21" s="1"/>
  <c r="G24" s="1"/>
  <c r="G28" s="1"/>
  <c r="N13" i="16" s="1"/>
  <c r="AB16" i="15"/>
  <c r="AB8" s="1"/>
  <c r="AJ17"/>
  <c r="C39" i="12"/>
  <c r="C45"/>
  <c r="K16" i="18"/>
  <c r="K40" i="3"/>
  <c r="K34" s="1"/>
  <c r="K25" s="1"/>
  <c r="K60" s="1"/>
  <c r="K64" s="1"/>
  <c r="C21" i="12"/>
  <c r="L39"/>
  <c r="H39" s="1"/>
  <c r="L8" i="14"/>
  <c r="L13" s="1"/>
  <c r="L16" s="1"/>
  <c r="L24" s="1"/>
  <c r="L22" s="1"/>
  <c r="K24"/>
  <c r="K22" s="1"/>
  <c r="Q59" i="22"/>
  <c r="Q63" s="1"/>
  <c r="Q66" s="1"/>
  <c r="Q75"/>
  <c r="Q73" s="1"/>
  <c r="Q74" s="1"/>
  <c r="Q76"/>
  <c r="M36" i="17"/>
  <c r="M41" s="1"/>
  <c r="M35"/>
  <c r="V37" i="16"/>
  <c r="I15" i="11"/>
  <c r="I17" s="1"/>
  <c r="X16" i="15"/>
  <c r="X8" s="1"/>
  <c r="Z8" s="1"/>
  <c r="Z11" s="1"/>
  <c r="Z22" s="1"/>
  <c r="AE11"/>
  <c r="AE22" s="1"/>
  <c r="U18" i="14"/>
  <c r="Z18"/>
  <c r="W18" s="1"/>
  <c r="P18" i="15"/>
  <c r="Q59" i="18"/>
  <c r="Q63" s="1"/>
  <c r="Q66" s="1"/>
  <c r="H15" i="11"/>
  <c r="H17" s="1"/>
  <c r="E15"/>
  <c r="E17" s="1"/>
  <c r="H17" i="14"/>
  <c r="H24" s="1"/>
  <c r="H22" s="1"/>
  <c r="H17" i="15"/>
  <c r="V39" i="16"/>
  <c r="N16" i="22"/>
  <c r="K42"/>
  <c r="G40" i="18"/>
  <c r="G34" s="1"/>
  <c r="G25" s="1"/>
  <c r="L53" i="3"/>
  <c r="L53" i="22" s="1"/>
  <c r="K53" i="18"/>
  <c r="G40" i="22"/>
  <c r="G34" s="1"/>
  <c r="G25" s="1"/>
  <c r="M46" i="18"/>
  <c r="D18" i="22"/>
  <c r="D18" i="18"/>
  <c r="O75" i="22"/>
  <c r="D59" i="18"/>
  <c r="D63" s="1"/>
  <c r="D76"/>
  <c r="F21" i="21"/>
  <c r="F24" s="1"/>
  <c r="F28" s="1"/>
  <c r="M76" i="3"/>
  <c r="M77"/>
  <c r="E47" i="23"/>
  <c r="E48" s="1"/>
  <c r="E35"/>
  <c r="X47" i="4"/>
  <c r="X48" s="1"/>
  <c r="H13" i="16"/>
  <c r="G71" i="3"/>
  <c r="F18" i="14"/>
  <c r="G8"/>
  <c r="W22" i="4"/>
  <c r="K43" i="22"/>
  <c r="N22" i="18"/>
  <c r="N33"/>
  <c r="N31"/>
  <c r="N18"/>
  <c r="N12"/>
  <c r="N16"/>
  <c r="N35"/>
  <c r="N11"/>
  <c r="X27" i="19"/>
  <c r="X28" s="1"/>
  <c r="X29" s="1"/>
  <c r="D76" i="22"/>
  <c r="D59"/>
  <c r="D63" s="1"/>
  <c r="V8" i="14"/>
  <c r="V13" s="1"/>
  <c r="V16" s="1"/>
  <c r="V24" s="1"/>
  <c r="U24"/>
  <c r="U22" s="1"/>
  <c r="K8" i="15"/>
  <c r="K11" s="1"/>
  <c r="K16" s="1"/>
  <c r="I8"/>
  <c r="L18" s="1"/>
  <c r="AF8" i="14"/>
  <c r="AE16"/>
  <c r="AE24" s="1"/>
  <c r="AE22" s="1"/>
  <c r="L51" i="12"/>
  <c r="J30" i="17"/>
  <c r="J35" s="1"/>
  <c r="M31" i="18"/>
  <c r="V22" i="19"/>
  <c r="W28"/>
  <c r="W29" s="1"/>
  <c r="I28" i="4"/>
  <c r="I29" s="1"/>
  <c r="L46" i="23"/>
  <c r="D60" i="3"/>
  <c r="D64" s="1"/>
  <c r="Y22" i="4"/>
  <c r="Q76" i="3"/>
  <c r="Q74" s="1"/>
  <c r="Q75" s="1"/>
  <c r="Q77"/>
  <c r="L45"/>
  <c r="O45" i="18"/>
  <c r="M45" i="3"/>
  <c r="N20" i="19"/>
  <c r="N27" s="1"/>
  <c r="O42" i="22"/>
  <c r="M42" i="3"/>
  <c r="L42"/>
  <c r="G18" i="15"/>
  <c r="C17"/>
  <c r="P11"/>
  <c r="N8"/>
  <c r="AA8"/>
  <c r="AE16"/>
  <c r="AE23" s="1"/>
  <c r="I69" i="22"/>
  <c r="S13" i="16"/>
  <c r="M31" i="3"/>
  <c r="N58" i="18"/>
  <c r="N8"/>
  <c r="L46" i="19"/>
  <c r="U17" i="4"/>
  <c r="U27" s="1"/>
  <c r="V17"/>
  <c r="N33" i="3"/>
  <c r="N18"/>
  <c r="N10"/>
  <c r="N24"/>
  <c r="N9"/>
  <c r="N32"/>
  <c r="N12"/>
  <c r="N19"/>
  <c r="L77"/>
  <c r="L76"/>
  <c r="K36" i="22"/>
  <c r="O55" i="18"/>
  <c r="L56" i="3"/>
  <c r="M56"/>
  <c r="G12" i="21"/>
  <c r="P24" i="14"/>
  <c r="P22" s="1"/>
  <c r="Q8"/>
  <c r="U8" i="15"/>
  <c r="U11" s="1"/>
  <c r="U16" s="1"/>
  <c r="S8"/>
  <c r="K15" i="17"/>
  <c r="K13" s="1"/>
  <c r="AJ11" i="14"/>
  <c r="K22" i="22"/>
  <c r="M12"/>
  <c r="L48"/>
  <c r="N43" i="23"/>
  <c r="N46" s="1"/>
  <c r="L44" i="3"/>
  <c r="U28" i="23"/>
  <c r="U29" s="1"/>
  <c r="M47" i="3"/>
  <c r="L39"/>
  <c r="O52" i="22"/>
  <c r="F22" i="14"/>
  <c r="R13" i="16"/>
  <c r="S22"/>
  <c r="G25" i="3"/>
  <c r="N10" i="18"/>
  <c r="G76" i="22"/>
  <c r="I28" i="23"/>
  <c r="I29" s="1"/>
  <c r="C18" i="15"/>
  <c r="N14" i="22"/>
  <c r="N13" s="1"/>
  <c r="N14" i="3"/>
  <c r="N13" s="1"/>
  <c r="F22"/>
  <c r="F16"/>
  <c r="W33" i="19"/>
  <c r="V33"/>
  <c r="M19" i="22"/>
  <c r="M19" i="18"/>
  <c r="R33" i="4"/>
  <c r="AG17" i="14"/>
  <c r="AJ30" i="13"/>
  <c r="AA30"/>
  <c r="Z11" i="14"/>
  <c r="H15" i="17"/>
  <c r="H13" s="1"/>
  <c r="D8" i="15"/>
  <c r="F8"/>
  <c r="F11" s="1"/>
  <c r="F16" s="1"/>
  <c r="J11" i="11"/>
  <c r="J15" s="1"/>
  <c r="J17" s="1"/>
  <c r="AG16" i="15"/>
  <c r="AG8" s="1"/>
  <c r="AH8"/>
  <c r="AH16"/>
  <c r="AJ8" s="1"/>
  <c r="AJ11" s="1"/>
  <c r="AJ16" s="1"/>
  <c r="W17" i="4"/>
  <c r="Q16" i="3"/>
  <c r="Q60" s="1"/>
  <c r="Q64" s="1"/>
  <c r="N9" i="18"/>
  <c r="N32"/>
  <c r="N24"/>
  <c r="Q18" i="14"/>
  <c r="M18" s="1"/>
  <c r="H16" i="15"/>
  <c r="H8" s="1"/>
  <c r="K18" s="1"/>
  <c r="AF17" i="14"/>
  <c r="I27" i="12"/>
  <c r="G51"/>
  <c r="K55" i="22"/>
  <c r="O10"/>
  <c r="L27" i="19"/>
  <c r="L28" s="1"/>
  <c r="L29" s="1"/>
  <c r="L35" s="1"/>
  <c r="L47" s="1"/>
  <c r="L48" s="1"/>
  <c r="R20"/>
  <c r="V17"/>
  <c r="N18" i="22"/>
  <c r="N12"/>
  <c r="M27" i="23"/>
  <c r="M28" s="1"/>
  <c r="M29" s="1"/>
  <c r="M35" s="1"/>
  <c r="H13" i="24"/>
  <c r="K45" i="22"/>
  <c r="M51"/>
  <c r="K42" i="18"/>
  <c r="K40" s="1"/>
  <c r="K34" s="1"/>
  <c r="K25" s="1"/>
  <c r="K59" s="1"/>
  <c r="K63" s="1"/>
  <c r="M53" i="3"/>
  <c r="AL9" i="13"/>
  <c r="S8" i="14"/>
  <c r="V18"/>
  <c r="R18" s="1"/>
  <c r="W8"/>
  <c r="H11" i="17" s="1"/>
  <c r="H30" s="1"/>
  <c r="D48" i="12"/>
  <c r="N11" i="22"/>
  <c r="N32"/>
  <c r="N58"/>
  <c r="M27" i="4"/>
  <c r="M28" s="1"/>
  <c r="M29" s="1"/>
  <c r="D11" i="11"/>
  <c r="D15" s="1"/>
  <c r="D17" s="1"/>
  <c r="AE18" i="15"/>
  <c r="AF17"/>
  <c r="H36" i="17" l="1"/>
  <c r="H41" s="1"/>
  <c r="H35"/>
  <c r="L46" i="3"/>
  <c r="O46" i="18"/>
  <c r="O46" i="22"/>
  <c r="I72" i="3"/>
  <c r="L56" i="22"/>
  <c r="L10" i="18"/>
  <c r="L11" s="1"/>
  <c r="M47" i="23"/>
  <c r="M48" s="1"/>
  <c r="L47"/>
  <c r="L48" s="1"/>
  <c r="G22" i="18"/>
  <c r="G16"/>
  <c r="G59" s="1"/>
  <c r="G63" s="1"/>
  <c r="G71" s="1"/>
  <c r="L70" i="22"/>
  <c r="L70" i="18"/>
  <c r="AA13" i="15"/>
  <c r="Z18"/>
  <c r="O68" i="18"/>
  <c r="O76" s="1"/>
  <c r="L23" i="17"/>
  <c r="O69" i="3"/>
  <c r="O77" s="1"/>
  <c r="AA18" i="15"/>
  <c r="L56" i="18"/>
  <c r="M56"/>
  <c r="Y35" i="19"/>
  <c r="Y47"/>
  <c r="Y48" s="1"/>
  <c r="L17" i="17"/>
  <c r="AG18" i="15"/>
  <c r="E35" i="19"/>
  <c r="E47"/>
  <c r="E48" s="1"/>
  <c r="X35" i="23"/>
  <c r="X47"/>
  <c r="X48" s="1"/>
  <c r="N20" i="4"/>
  <c r="H12" i="21"/>
  <c r="H21" s="1"/>
  <c r="H24" s="1"/>
  <c r="H28" s="1"/>
  <c r="H12" i="7"/>
  <c r="H21" s="1"/>
  <c r="H24" s="1"/>
  <c r="H28" s="1"/>
  <c r="H12" i="25"/>
  <c r="V27" i="23"/>
  <c r="V28"/>
  <c r="V29" s="1"/>
  <c r="L47" i="22"/>
  <c r="M47"/>
  <c r="W27" i="23"/>
  <c r="W28" s="1"/>
  <c r="W29" s="1"/>
  <c r="I12" i="21"/>
  <c r="I12" i="7"/>
  <c r="I21" s="1"/>
  <c r="I24" s="1"/>
  <c r="I28" s="1"/>
  <c r="I12" i="25"/>
  <c r="I21" s="1"/>
  <c r="I24" s="1"/>
  <c r="I28" s="1"/>
  <c r="R29" i="23"/>
  <c r="R35" s="1"/>
  <c r="R43"/>
  <c r="R46" s="1"/>
  <c r="V27" i="4"/>
  <c r="V28" s="1"/>
  <c r="V29" s="1"/>
  <c r="AB8" i="14"/>
  <c r="AM8"/>
  <c r="L12" i="17" s="1"/>
  <c r="I12"/>
  <c r="O51" i="18"/>
  <c r="O51" i="22"/>
  <c r="Y27" i="23"/>
  <c r="Y28" s="1"/>
  <c r="Y29" s="1"/>
  <c r="N20"/>
  <c r="N27" s="1"/>
  <c r="O38" i="18"/>
  <c r="O38" i="22"/>
  <c r="M38" i="3"/>
  <c r="L38"/>
  <c r="O39" i="22"/>
  <c r="O39" i="18"/>
  <c r="U27" i="19"/>
  <c r="U28" s="1"/>
  <c r="U29" s="1"/>
  <c r="F24" i="7"/>
  <c r="F28" s="1"/>
  <c r="K71" i="3" s="1"/>
  <c r="L13" i="16"/>
  <c r="L47" i="18"/>
  <c r="M47"/>
  <c r="AF18" i="15"/>
  <c r="AB18" s="1"/>
  <c r="AF8"/>
  <c r="Z16"/>
  <c r="Z23" s="1"/>
  <c r="L71" i="3"/>
  <c r="M29" i="19"/>
  <c r="M35" s="1"/>
  <c r="M47" s="1"/>
  <c r="M48" s="1"/>
  <c r="N59" i="22"/>
  <c r="N63" s="1"/>
  <c r="N66" s="1"/>
  <c r="O7"/>
  <c r="M7" s="1"/>
  <c r="G12" i="25"/>
  <c r="M39" i="3"/>
  <c r="L12" i="18"/>
  <c r="AB17" i="15"/>
  <c r="AG17" s="1"/>
  <c r="N60" i="3"/>
  <c r="N64" s="1"/>
  <c r="R11" i="16" s="1"/>
  <c r="AJ18" i="15"/>
  <c r="AK17"/>
  <c r="AK18" s="1"/>
  <c r="L6" i="16"/>
  <c r="V11"/>
  <c r="Q67" i="3"/>
  <c r="L55" i="18"/>
  <c r="M55"/>
  <c r="M45"/>
  <c r="L45"/>
  <c r="W35" i="19"/>
  <c r="W47"/>
  <c r="W48" s="1"/>
  <c r="J36" i="17"/>
  <c r="J41" s="1"/>
  <c r="L8" i="15"/>
  <c r="L13" s="1"/>
  <c r="L16" s="1"/>
  <c r="L23" s="1"/>
  <c r="K23"/>
  <c r="K22" s="1"/>
  <c r="O13" i="16"/>
  <c r="N18"/>
  <c r="M11" i="18"/>
  <c r="D71"/>
  <c r="D66"/>
  <c r="K66"/>
  <c r="K69" s="1"/>
  <c r="G21" i="21"/>
  <c r="G24" s="1"/>
  <c r="G28" s="1"/>
  <c r="D67" i="3"/>
  <c r="D72"/>
  <c r="D71" i="22"/>
  <c r="D66"/>
  <c r="G9" i="14"/>
  <c r="G22"/>
  <c r="G24" s="1"/>
  <c r="M53" i="18"/>
  <c r="M53" i="22"/>
  <c r="AP17" i="14"/>
  <c r="AF18"/>
  <c r="AB18" s="1"/>
  <c r="AB17"/>
  <c r="AL17" s="1"/>
  <c r="AJ23" i="15"/>
  <c r="AJ22" s="1"/>
  <c r="AK8"/>
  <c r="G8"/>
  <c r="G13" s="1"/>
  <c r="G16" s="1"/>
  <c r="G23" s="1"/>
  <c r="F23"/>
  <c r="F22" s="1"/>
  <c r="AK30" i="13"/>
  <c r="AB30"/>
  <c r="AL30" s="1"/>
  <c r="O19" i="3"/>
  <c r="O16" s="1"/>
  <c r="O19" i="22"/>
  <c r="O16" s="1"/>
  <c r="R35" i="4"/>
  <c r="R47" s="1"/>
  <c r="R48" s="1"/>
  <c r="N75" i="22"/>
  <c r="N76"/>
  <c r="AK8" i="14"/>
  <c r="AJ16"/>
  <c r="F16" i="17"/>
  <c r="Q13" i="14"/>
  <c r="P8" i="15"/>
  <c r="Q18"/>
  <c r="M18" s="1"/>
  <c r="AF13" i="14"/>
  <c r="I16" i="17"/>
  <c r="V22" i="14"/>
  <c r="R24"/>
  <c r="R22" s="1"/>
  <c r="H18" i="16"/>
  <c r="I13"/>
  <c r="K70" i="18"/>
  <c r="K71" s="1"/>
  <c r="U28" i="4"/>
  <c r="U29" s="1"/>
  <c r="R27" i="19"/>
  <c r="R28" s="1"/>
  <c r="R29" s="1"/>
  <c r="L43" i="3"/>
  <c r="L40" s="1"/>
  <c r="O43" i="18"/>
  <c r="O43" i="22"/>
  <c r="M43" i="3"/>
  <c r="M40" s="1"/>
  <c r="L42" i="22"/>
  <c r="M42"/>
  <c r="V27" i="19"/>
  <c r="V28" s="1"/>
  <c r="V29" s="1"/>
  <c r="AA22" i="15"/>
  <c r="W22" s="1"/>
  <c r="AA16"/>
  <c r="AA23" s="1"/>
  <c r="W23" s="1"/>
  <c r="Q8"/>
  <c r="P16"/>
  <c r="P23" s="1"/>
  <c r="I35" i="4"/>
  <c r="I47" s="1"/>
  <c r="I48" s="1"/>
  <c r="L18" i="18"/>
  <c r="L18" i="22"/>
  <c r="M35" i="4"/>
  <c r="M47" s="1"/>
  <c r="M48" s="1"/>
  <c r="L18" i="3"/>
  <c r="I48" i="12"/>
  <c r="D51"/>
  <c r="C48"/>
  <c r="C51" s="1"/>
  <c r="N71" i="22"/>
  <c r="L10"/>
  <c r="L11" s="1"/>
  <c r="M10"/>
  <c r="M11" s="1"/>
  <c r="O11"/>
  <c r="AA8" i="14"/>
  <c r="Z16"/>
  <c r="Z24" s="1"/>
  <c r="Z22" s="1"/>
  <c r="N77" i="3"/>
  <c r="N76"/>
  <c r="G18" i="22"/>
  <c r="G22" s="1"/>
  <c r="I35" i="23"/>
  <c r="U35"/>
  <c r="U47"/>
  <c r="U48" s="1"/>
  <c r="U22" i="15"/>
  <c r="U23"/>
  <c r="G21" i="25"/>
  <c r="G24" s="1"/>
  <c r="G28" s="1"/>
  <c r="X47" i="19"/>
  <c r="X48" s="1"/>
  <c r="X35"/>
  <c r="H18" i="15"/>
  <c r="N59" i="18"/>
  <c r="N63" s="1"/>
  <c r="K40" i="22"/>
  <c r="K34" s="1"/>
  <c r="K25" s="1"/>
  <c r="K59" s="1"/>
  <c r="K63" s="1"/>
  <c r="AF13" i="15"/>
  <c r="N28" i="19"/>
  <c r="N29" s="1"/>
  <c r="N35" s="1"/>
  <c r="N47" s="1"/>
  <c r="N48" s="1"/>
  <c r="Y27" i="4"/>
  <c r="Y28" s="1"/>
  <c r="Y29" s="1"/>
  <c r="AO11" i="14"/>
  <c r="AO16" s="1"/>
  <c r="AO24" s="1"/>
  <c r="W27" i="4"/>
  <c r="W28" s="1"/>
  <c r="W29" s="1"/>
  <c r="G18" i="14"/>
  <c r="L46" i="22" l="1"/>
  <c r="L46" i="18"/>
  <c r="R47" i="23"/>
  <c r="R48" s="1"/>
  <c r="N28"/>
  <c r="N29" s="1"/>
  <c r="N35" s="1"/>
  <c r="N47" s="1"/>
  <c r="N48" s="1"/>
  <c r="K70" i="22"/>
  <c r="L7"/>
  <c r="G66" i="18"/>
  <c r="G69" s="1"/>
  <c r="N72" i="3"/>
  <c r="N74" s="1"/>
  <c r="N75" s="1"/>
  <c r="W18" i="15"/>
  <c r="V35" i="4"/>
  <c r="V47"/>
  <c r="V48" s="1"/>
  <c r="Y35" i="23"/>
  <c r="Y47"/>
  <c r="Y48" s="1"/>
  <c r="U35" i="19"/>
  <c r="U47"/>
  <c r="U48" s="1"/>
  <c r="M13" i="16"/>
  <c r="M18" s="1"/>
  <c r="L18"/>
  <c r="L39" i="18"/>
  <c r="M39"/>
  <c r="L38" i="22"/>
  <c r="M38"/>
  <c r="I21" i="21"/>
  <c r="I24" s="1"/>
  <c r="I28" s="1"/>
  <c r="V47" i="23"/>
  <c r="V48" s="1"/>
  <c r="V35"/>
  <c r="I11" i="17"/>
  <c r="I30" s="1"/>
  <c r="AL8" i="14"/>
  <c r="L11" i="17" s="1"/>
  <c r="L30" s="1"/>
  <c r="O70" i="22"/>
  <c r="O71" i="3"/>
  <c r="O70" i="18"/>
  <c r="T13" i="16"/>
  <c r="M70" i="22"/>
  <c r="P13" i="16"/>
  <c r="M70" i="18"/>
  <c r="M71" i="3"/>
  <c r="H21" i="25"/>
  <c r="H24" s="1"/>
  <c r="H28" s="1"/>
  <c r="L39" i="22"/>
  <c r="M39"/>
  <c r="L38" i="18"/>
  <c r="M38"/>
  <c r="W47" i="23"/>
  <c r="W48" s="1"/>
  <c r="W35"/>
  <c r="AK13" i="15"/>
  <c r="AK16" s="1"/>
  <c r="AK23" s="1"/>
  <c r="AG23" s="1"/>
  <c r="AG22" s="1"/>
  <c r="N27" i="4"/>
  <c r="N28" s="1"/>
  <c r="N29" s="1"/>
  <c r="M34" i="3"/>
  <c r="M25" s="1"/>
  <c r="N67"/>
  <c r="O40"/>
  <c r="K71" i="22"/>
  <c r="K66"/>
  <c r="K69" s="1"/>
  <c r="Y35" i="4"/>
  <c r="Y47"/>
  <c r="Y48" s="1"/>
  <c r="V47" i="19"/>
  <c r="V48" s="1"/>
  <c r="V35"/>
  <c r="O18" i="18"/>
  <c r="R35" i="19"/>
  <c r="R47" s="1"/>
  <c r="R48" s="1"/>
  <c r="K72" i="18"/>
  <c r="K73"/>
  <c r="K74" s="1"/>
  <c r="W47" i="4"/>
  <c r="W48" s="1"/>
  <c r="W35"/>
  <c r="G16" i="22"/>
  <c r="G59" s="1"/>
  <c r="G63" s="1"/>
  <c r="I47" i="23"/>
  <c r="I48" s="1"/>
  <c r="L16" i="22"/>
  <c r="L22"/>
  <c r="I18" i="16"/>
  <c r="D73" i="22"/>
  <c r="D74" s="1"/>
  <c r="D72"/>
  <c r="L22" i="15"/>
  <c r="H22" s="1"/>
  <c r="H23"/>
  <c r="K72" i="3"/>
  <c r="K67"/>
  <c r="K70" s="1"/>
  <c r="Q24" i="14"/>
  <c r="Q16"/>
  <c r="G22" i="15"/>
  <c r="C23"/>
  <c r="C22" s="1"/>
  <c r="G73" i="18"/>
  <c r="G74" s="1"/>
  <c r="G72"/>
  <c r="M6" i="16"/>
  <c r="L20"/>
  <c r="L19"/>
  <c r="L11"/>
  <c r="F67" i="3"/>
  <c r="F70" s="1"/>
  <c r="F72"/>
  <c r="L22"/>
  <c r="L16"/>
  <c r="L43" i="22"/>
  <c r="L40" s="1"/>
  <c r="M43"/>
  <c r="AK13" i="14"/>
  <c r="AP13" s="1"/>
  <c r="AP16" s="1"/>
  <c r="K16" i="17"/>
  <c r="M43" i="18"/>
  <c r="M40" s="1"/>
  <c r="M34" s="1"/>
  <c r="M25" s="1"/>
  <c r="L43"/>
  <c r="L40" s="1"/>
  <c r="G22" i="3"/>
  <c r="G16"/>
  <c r="O18" i="16"/>
  <c r="N73" i="3"/>
  <c r="AF22" i="15"/>
  <c r="AB22" s="1"/>
  <c r="AF16"/>
  <c r="AF23" s="1"/>
  <c r="AB23" s="1"/>
  <c r="N66" i="18"/>
  <c r="N71"/>
  <c r="AA13" i="14"/>
  <c r="AA16" s="1"/>
  <c r="AA24" s="1"/>
  <c r="H16" i="17"/>
  <c r="N73" i="22"/>
  <c r="N74" s="1"/>
  <c r="N72"/>
  <c r="I51" i="12"/>
  <c r="H48"/>
  <c r="H51" s="1"/>
  <c r="L16" i="18"/>
  <c r="L22"/>
  <c r="Q13" i="15"/>
  <c r="Q16" s="1"/>
  <c r="Q23" s="1"/>
  <c r="M23" s="1"/>
  <c r="P22"/>
  <c r="U35" i="4"/>
  <c r="U47"/>
  <c r="U48" s="1"/>
  <c r="AF16" i="14"/>
  <c r="AF24" s="1"/>
  <c r="AJ24"/>
  <c r="AJ22" s="1"/>
  <c r="AO22" s="1"/>
  <c r="AK18"/>
  <c r="AG18" s="1"/>
  <c r="D74" i="3"/>
  <c r="D75" s="1"/>
  <c r="D73"/>
  <c r="D73" i="18"/>
  <c r="D74" s="1"/>
  <c r="D72"/>
  <c r="S11" i="16"/>
  <c r="S6" s="1"/>
  <c r="R6"/>
  <c r="V6"/>
  <c r="V19" s="1"/>
  <c r="W11"/>
  <c r="W6" s="1"/>
  <c r="W19" s="1"/>
  <c r="M40" i="22"/>
  <c r="M34" s="1"/>
  <c r="M25" s="1"/>
  <c r="L34" i="3"/>
  <c r="I36" i="17" l="1"/>
  <c r="I41" s="1"/>
  <c r="I35"/>
  <c r="L36"/>
  <c r="L41" s="1"/>
  <c r="L35"/>
  <c r="AK22" i="15"/>
  <c r="M18" i="18"/>
  <c r="N35" i="4"/>
  <c r="N47" s="1"/>
  <c r="N48" s="1"/>
  <c r="M18" i="22"/>
  <c r="M18" i="3"/>
  <c r="U13" i="16"/>
  <c r="U18" s="1"/>
  <c r="T18"/>
  <c r="P18"/>
  <c r="Q13"/>
  <c r="Q18" s="1"/>
  <c r="L25" i="3"/>
  <c r="O25" s="1"/>
  <c r="O34"/>
  <c r="N73" i="18"/>
  <c r="N74" s="1"/>
  <c r="N72"/>
  <c r="S20" i="16"/>
  <c r="S19"/>
  <c r="R20"/>
  <c r="R19"/>
  <c r="M20"/>
  <c r="M25" s="1"/>
  <c r="M11"/>
  <c r="M19"/>
  <c r="K73" i="3"/>
  <c r="K74"/>
  <c r="K75" s="1"/>
  <c r="K72" i="22"/>
  <c r="K73"/>
  <c r="K74" s="1"/>
  <c r="G60" i="3"/>
  <c r="L32" i="16"/>
  <c r="L25"/>
  <c r="L26"/>
  <c r="O40" i="18"/>
  <c r="L34"/>
  <c r="AK22" i="14"/>
  <c r="AK16"/>
  <c r="AK24" s="1"/>
  <c r="AG24" s="1"/>
  <c r="AG22" s="1"/>
  <c r="Q22"/>
  <c r="M24"/>
  <c r="M22" s="1"/>
  <c r="G71" i="22"/>
  <c r="G66"/>
  <c r="G69" s="1"/>
  <c r="O40"/>
  <c r="L34"/>
  <c r="AB24" i="14"/>
  <c r="AF22"/>
  <c r="AA22"/>
  <c r="W22" s="1"/>
  <c r="W24"/>
  <c r="O16" i="18"/>
  <c r="O22"/>
  <c r="M22" l="1"/>
  <c r="M16"/>
  <c r="M16" i="22"/>
  <c r="M22"/>
  <c r="M22" i="3"/>
  <c r="M16"/>
  <c r="L60"/>
  <c r="L64" s="1"/>
  <c r="AP24" i="14"/>
  <c r="AL24" s="1"/>
  <c r="AP22"/>
  <c r="AL22" s="1"/>
  <c r="AB22"/>
  <c r="M32" i="16"/>
  <c r="M37" s="1"/>
  <c r="L37"/>
  <c r="S32"/>
  <c r="S37" s="1"/>
  <c r="S25"/>
  <c r="L25" i="22"/>
  <c r="O34"/>
  <c r="L25" i="18"/>
  <c r="O34"/>
  <c r="G73" i="22"/>
  <c r="G74" s="1"/>
  <c r="G72"/>
  <c r="M26" i="16"/>
  <c r="M31" s="1"/>
  <c r="L31"/>
  <c r="R32"/>
  <c r="R26"/>
  <c r="R25"/>
  <c r="G64" i="3"/>
  <c r="H6" i="16"/>
  <c r="M60" i="3" l="1"/>
  <c r="M64" s="1"/>
  <c r="M59" i="22"/>
  <c r="M63" s="1"/>
  <c r="M71" s="1"/>
  <c r="M59" i="18"/>
  <c r="M63" s="1"/>
  <c r="M66" s="1"/>
  <c r="M69" s="1"/>
  <c r="N6" i="16"/>
  <c r="N11" s="1"/>
  <c r="R39"/>
  <c r="R31"/>
  <c r="O25" i="18"/>
  <c r="L59"/>
  <c r="L67" i="3"/>
  <c r="L70" s="1"/>
  <c r="L72"/>
  <c r="R37" i="16"/>
  <c r="R38"/>
  <c r="G72" i="3"/>
  <c r="G67"/>
  <c r="G70" s="1"/>
  <c r="O25" i="22"/>
  <c r="L59"/>
  <c r="H11" i="16"/>
  <c r="I6"/>
  <c r="H20"/>
  <c r="H19"/>
  <c r="O60" i="3" l="1"/>
  <c r="O64" s="1"/>
  <c r="O72" s="1"/>
  <c r="P6" i="16"/>
  <c r="P20" s="1"/>
  <c r="M71" i="18"/>
  <c r="M72" s="1"/>
  <c r="M66" i="22"/>
  <c r="M69" s="1"/>
  <c r="O6" i="16"/>
  <c r="O20" s="1"/>
  <c r="O25" s="1"/>
  <c r="N19"/>
  <c r="N20"/>
  <c r="N25" s="1"/>
  <c r="M67" i="3"/>
  <c r="M70" s="1"/>
  <c r="M72"/>
  <c r="M73" i="22"/>
  <c r="M74" s="1"/>
  <c r="M72"/>
  <c r="G74" i="3"/>
  <c r="G75" s="1"/>
  <c r="G73"/>
  <c r="L73"/>
  <c r="L74"/>
  <c r="L75" s="1"/>
  <c r="I20" i="16"/>
  <c r="I25" s="1"/>
  <c r="I11"/>
  <c r="I19"/>
  <c r="H26"/>
  <c r="H32"/>
  <c r="H25"/>
  <c r="L63" i="22"/>
  <c r="O59"/>
  <c r="O63" s="1"/>
  <c r="L63" i="18"/>
  <c r="O59"/>
  <c r="O63" s="1"/>
  <c r="O67" i="3" l="1"/>
  <c r="O70" s="1"/>
  <c r="T6" i="16"/>
  <c r="T20" s="1"/>
  <c r="T25" s="1"/>
  <c r="P11"/>
  <c r="Q6"/>
  <c r="Q11" s="1"/>
  <c r="P19"/>
  <c r="M73" i="18"/>
  <c r="M74" s="1"/>
  <c r="N32" i="16"/>
  <c r="N38" s="1"/>
  <c r="O19"/>
  <c r="N26"/>
  <c r="N31" s="1"/>
  <c r="O11"/>
  <c r="P32"/>
  <c r="P25"/>
  <c r="P26"/>
  <c r="M73" i="3"/>
  <c r="M74"/>
  <c r="M75" s="1"/>
  <c r="L66" i="22"/>
  <c r="L69" s="1"/>
  <c r="L71"/>
  <c r="O66"/>
  <c r="O69" s="1"/>
  <c r="O71"/>
  <c r="L71" i="18"/>
  <c r="L66"/>
  <c r="L69" s="1"/>
  <c r="H31" i="16"/>
  <c r="H39"/>
  <c r="I26"/>
  <c r="I31" s="1"/>
  <c r="O73" i="3"/>
  <c r="O74"/>
  <c r="O75" s="1"/>
  <c r="O71" i="18"/>
  <c r="O66"/>
  <c r="O69" s="1"/>
  <c r="I32" i="16"/>
  <c r="I37" s="1"/>
  <c r="H37"/>
  <c r="H38"/>
  <c r="T32" l="1"/>
  <c r="U32" s="1"/>
  <c r="U37" s="1"/>
  <c r="U6"/>
  <c r="U20" s="1"/>
  <c r="U25" s="1"/>
  <c r="T26"/>
  <c r="T31" s="1"/>
  <c r="T11"/>
  <c r="T19"/>
  <c r="Q20"/>
  <c r="Q25" s="1"/>
  <c r="Q19"/>
  <c r="N37"/>
  <c r="O32"/>
  <c r="O37" s="1"/>
  <c r="U19"/>
  <c r="N39"/>
  <c r="O26"/>
  <c r="O31" s="1"/>
  <c r="Q32"/>
  <c r="Q37" s="1"/>
  <c r="P37"/>
  <c r="P38"/>
  <c r="Q26"/>
  <c r="Q31" s="1"/>
  <c r="P39"/>
  <c r="P31"/>
  <c r="L73" i="18"/>
  <c r="L74" s="1"/>
  <c r="L72"/>
  <c r="L73" i="22"/>
  <c r="L74" s="1"/>
  <c r="L72"/>
  <c r="T38" i="16"/>
  <c r="T37"/>
  <c r="O72" i="22"/>
  <c r="O73"/>
  <c r="O74" s="1"/>
  <c r="O73" i="18"/>
  <c r="O74" s="1"/>
  <c r="O72"/>
  <c r="U26" i="16" l="1"/>
  <c r="U31" s="1"/>
  <c r="U11"/>
  <c r="T39"/>
</calcChain>
</file>

<file path=xl/sharedStrings.xml><?xml version="1.0" encoding="utf-8"?>
<sst xmlns="http://schemas.openxmlformats.org/spreadsheetml/2006/main" count="1795" uniqueCount="498">
  <si>
    <t>Таблица N П1.15</t>
  </si>
  <si>
    <t xml:space="preserve">п.п. </t>
  </si>
  <si>
    <t xml:space="preserve">Наименование показателя        </t>
  </si>
  <si>
    <t xml:space="preserve">1.    </t>
  </si>
  <si>
    <t xml:space="preserve">Сырье, основные материалы              </t>
  </si>
  <si>
    <t xml:space="preserve">2.    </t>
  </si>
  <si>
    <t xml:space="preserve">Вспомогательные материалы              </t>
  </si>
  <si>
    <t xml:space="preserve">из них на ремонт                       </t>
  </si>
  <si>
    <t xml:space="preserve">3.    </t>
  </si>
  <si>
    <t xml:space="preserve">4.    </t>
  </si>
  <si>
    <t xml:space="preserve">5.    </t>
  </si>
  <si>
    <t xml:space="preserve">5.1.  </t>
  </si>
  <si>
    <t xml:space="preserve">5.2.  </t>
  </si>
  <si>
    <t xml:space="preserve">Энергия на хозяйственные нужды         </t>
  </si>
  <si>
    <t xml:space="preserve">6.    </t>
  </si>
  <si>
    <t xml:space="preserve">из них на ремонт                        </t>
  </si>
  <si>
    <t xml:space="preserve">7.    </t>
  </si>
  <si>
    <t xml:space="preserve">Отчисления на социальные нужды         </t>
  </si>
  <si>
    <t xml:space="preserve">8.    </t>
  </si>
  <si>
    <t xml:space="preserve">Амортизация основных средств           </t>
  </si>
  <si>
    <t xml:space="preserve">9.    </t>
  </si>
  <si>
    <t xml:space="preserve">Прочие затраты всего, в том числе:     </t>
  </si>
  <si>
    <t xml:space="preserve">9.1.  </t>
  </si>
  <si>
    <t xml:space="preserve">Целевые средства на НИОКР               </t>
  </si>
  <si>
    <t xml:space="preserve">9.2.  </t>
  </si>
  <si>
    <t xml:space="preserve">Средства на страхование                </t>
  </si>
  <si>
    <t xml:space="preserve">9.3.  </t>
  </si>
  <si>
    <t xml:space="preserve">9.5.  </t>
  </si>
  <si>
    <t xml:space="preserve">9.6.  </t>
  </si>
  <si>
    <t xml:space="preserve">Водный налог (ГЭС)                     </t>
  </si>
  <si>
    <t xml:space="preserve">9.7.  </t>
  </si>
  <si>
    <t>9.7.1.</t>
  </si>
  <si>
    <t xml:space="preserve">Налог на землю                         </t>
  </si>
  <si>
    <t>9.7.2.</t>
  </si>
  <si>
    <t xml:space="preserve">Налог на пользователей автодорог       </t>
  </si>
  <si>
    <t xml:space="preserve">9.8.  </t>
  </si>
  <si>
    <t xml:space="preserve">в т.ч.                                 </t>
  </si>
  <si>
    <t>9.8.1.</t>
  </si>
  <si>
    <t xml:space="preserve">Арендная плата                         </t>
  </si>
  <si>
    <t xml:space="preserve">10.   </t>
  </si>
  <si>
    <t xml:space="preserve">11.   </t>
  </si>
  <si>
    <t xml:space="preserve">12.   </t>
  </si>
  <si>
    <t xml:space="preserve">13.   </t>
  </si>
  <si>
    <t xml:space="preserve">в том числе:                           </t>
  </si>
  <si>
    <t xml:space="preserve">13.1. </t>
  </si>
  <si>
    <t xml:space="preserve">- электрическая энергия                </t>
  </si>
  <si>
    <t>13.1.3.</t>
  </si>
  <si>
    <t xml:space="preserve">передача электроэнергии                </t>
  </si>
  <si>
    <t>13.2.3.</t>
  </si>
  <si>
    <t xml:space="preserve">передача теплоэнергии                  </t>
  </si>
  <si>
    <t xml:space="preserve">Отчисления в ремонтный  фонд (в случае его формирования)    </t>
  </si>
  <si>
    <t xml:space="preserve">Непроизводственные расходы (налоги и другие обязательные платежи и сборы)  </t>
  </si>
  <si>
    <t xml:space="preserve">Другие затраты, относимые на себестоимость продукции, всего </t>
  </si>
  <si>
    <t>Итого затраты</t>
  </si>
  <si>
    <t>Итого производственные затраты</t>
  </si>
  <si>
    <t xml:space="preserve">Работы и услуги производственного характера </t>
  </si>
  <si>
    <t>Плата за предельно допустимые  выбросы (сбросы)</t>
  </si>
  <si>
    <t>Недополученный по независящим причинам доход</t>
  </si>
  <si>
    <t xml:space="preserve">Избыток средств, полученный в предыдущем периоде регулирования </t>
  </si>
  <si>
    <t>Топливо (ГСМ и т.д.)</t>
  </si>
  <si>
    <t xml:space="preserve">Энергия  всего:                                </t>
  </si>
  <si>
    <t>Балансовая прибыль</t>
  </si>
  <si>
    <t>НВВ (товарная выручка)</t>
  </si>
  <si>
    <t>Оплата проезда в отпуск</t>
  </si>
  <si>
    <t xml:space="preserve">Средства на оплату труда                </t>
  </si>
  <si>
    <t>Фонд оплаты труда</t>
  </si>
  <si>
    <t>Ставка на содерж.сетей руб/квтчас</t>
  </si>
  <si>
    <t>НВВ на компенсацию потерь и хоз.нужд</t>
  </si>
  <si>
    <t>Ставка на компенсацию потерь руб/квтчас</t>
  </si>
  <si>
    <t xml:space="preserve">6.1.  </t>
  </si>
  <si>
    <t>9.8.2.</t>
  </si>
  <si>
    <t>6.2.</t>
  </si>
  <si>
    <t>Факт          2009 года</t>
  </si>
  <si>
    <t>Утвержден РСТ и Ц КК на 2010 г.</t>
  </si>
  <si>
    <t>Утвержден РСТ и Ц КК на 2011 г.</t>
  </si>
  <si>
    <t>Утвер.   РСТ и Ц КК на 2009 г.</t>
  </si>
  <si>
    <t>Таблица N П1.16</t>
  </si>
  <si>
    <t xml:space="preserve">N  </t>
  </si>
  <si>
    <t xml:space="preserve">Показатели              </t>
  </si>
  <si>
    <t>Ед. изм.</t>
  </si>
  <si>
    <t>Утвержден РСТ и Ц КК на 2009 г.</t>
  </si>
  <si>
    <t>Факт       2009 г.</t>
  </si>
  <si>
    <t>Утвержден РСТ и Ц КК  на 2010 г.</t>
  </si>
  <si>
    <t>Утвержден РСТ и Ц КК  на 2011 г.</t>
  </si>
  <si>
    <t xml:space="preserve">чел. </t>
  </si>
  <si>
    <t xml:space="preserve">Среднемесячная тарифная ставка ППП </t>
  </si>
  <si>
    <t xml:space="preserve"> руб. </t>
  </si>
  <si>
    <t xml:space="preserve">процент выплаты                      </t>
  </si>
  <si>
    <t xml:space="preserve">%   </t>
  </si>
  <si>
    <t xml:space="preserve">руб. </t>
  </si>
  <si>
    <t xml:space="preserve">Текущее премирование                 </t>
  </si>
  <si>
    <t xml:space="preserve">сумма выплат                         </t>
  </si>
  <si>
    <t xml:space="preserve">Выплаты по  районному  коэффициенту  и северные надбавки </t>
  </si>
  <si>
    <t xml:space="preserve">Итого среднемесячная оплата труда на 1 работника    </t>
  </si>
  <si>
    <t>Расчет средств  на  оплату  труда  ППП (включенного в себестоимость)</t>
  </si>
  <si>
    <t>тыс. руб.</t>
  </si>
  <si>
    <t xml:space="preserve">Льготный проезд к месту отдыха       </t>
  </si>
  <si>
    <t xml:space="preserve">3.2.  </t>
  </si>
  <si>
    <t xml:space="preserve">По Постановлению от 03.11.94 N 1206  </t>
  </si>
  <si>
    <t xml:space="preserve">- " - </t>
  </si>
  <si>
    <t xml:space="preserve">Итого средства на оплату труда ППП   </t>
  </si>
  <si>
    <t xml:space="preserve">Расчет   средств   на   оплату   труда непромышленного персонала (включенного в балансовую прибыль)     </t>
  </si>
  <si>
    <t xml:space="preserve">4.1.  </t>
  </si>
  <si>
    <t xml:space="preserve">Численность, принятая для расчета (базовый период - фактическая)   </t>
  </si>
  <si>
    <t xml:space="preserve">4.2.  </t>
  </si>
  <si>
    <t xml:space="preserve">Среднемесячная   оплата   труда  на  1 работника    </t>
  </si>
  <si>
    <t xml:space="preserve">4.3.  </t>
  </si>
  <si>
    <t xml:space="preserve">4.4.  </t>
  </si>
  <si>
    <t xml:space="preserve">4.5.  </t>
  </si>
  <si>
    <t xml:space="preserve">Итого   средства   на  оплату    труда непром. персонала   </t>
  </si>
  <si>
    <t>Численность   всего,   принятая    для расчета (базовый период - фактическая)</t>
  </si>
  <si>
    <t xml:space="preserve">Итого по денежным выплатам           </t>
  </si>
  <si>
    <t xml:space="preserve">тыс. </t>
  </si>
  <si>
    <t xml:space="preserve">Итого средства на потребление        </t>
  </si>
  <si>
    <t xml:space="preserve">Среднемесячный доход на 1 работника  </t>
  </si>
  <si>
    <t>Таблица N П1.17</t>
  </si>
  <si>
    <t>Расчет амортизационных отчислений</t>
  </si>
  <si>
    <t>п/п</t>
  </si>
  <si>
    <t xml:space="preserve">Показатели       </t>
  </si>
  <si>
    <t xml:space="preserve">1. </t>
  </si>
  <si>
    <t xml:space="preserve">Балансовая  стоимость основных производственных фондов  на  начало  периода регулирования   </t>
  </si>
  <si>
    <t xml:space="preserve">2. </t>
  </si>
  <si>
    <t xml:space="preserve">Ввод основных производственных фондов </t>
  </si>
  <si>
    <t xml:space="preserve">3. </t>
  </si>
  <si>
    <t xml:space="preserve">Выбытие  основных производственных фондов   </t>
  </si>
  <si>
    <t xml:space="preserve">Средняя за отчетный период стоимость основных производственных фондов  </t>
  </si>
  <si>
    <t>Средняя норма амортизации (%)</t>
  </si>
  <si>
    <t>Сумма амортизационных отчислений</t>
  </si>
  <si>
    <t>№</t>
  </si>
  <si>
    <t>всего</t>
  </si>
  <si>
    <t>1.</t>
  </si>
  <si>
    <t>2.</t>
  </si>
  <si>
    <t>3.</t>
  </si>
  <si>
    <t>4.</t>
  </si>
  <si>
    <t>4.1.</t>
  </si>
  <si>
    <t>ВН</t>
  </si>
  <si>
    <t>СН1</t>
  </si>
  <si>
    <t>СН11</t>
  </si>
  <si>
    <t>НН</t>
  </si>
  <si>
    <t>4.2.</t>
  </si>
  <si>
    <t>4.3.</t>
  </si>
  <si>
    <t>5.</t>
  </si>
  <si>
    <t>6.</t>
  </si>
  <si>
    <t>7.</t>
  </si>
  <si>
    <t>Таблица N П1.21</t>
  </si>
  <si>
    <t>Расчет балансовой прибыли, принимаемой при установлении</t>
  </si>
  <si>
    <t xml:space="preserve">Наименование            </t>
  </si>
  <si>
    <t xml:space="preserve">Прибыль на развитие производства     </t>
  </si>
  <si>
    <t xml:space="preserve">в том числе:                       </t>
  </si>
  <si>
    <t xml:space="preserve">- капитальные вложения               </t>
  </si>
  <si>
    <t xml:space="preserve">Прибыль на социальное развитие       </t>
  </si>
  <si>
    <t xml:space="preserve">Прибыль на поощрение                 </t>
  </si>
  <si>
    <t xml:space="preserve">Дивиденды по акциям                  </t>
  </si>
  <si>
    <t xml:space="preserve">Прибыль на прочие цели               </t>
  </si>
  <si>
    <t xml:space="preserve">- % за пользование кредитом          </t>
  </si>
  <si>
    <t xml:space="preserve">- услуги банка                       </t>
  </si>
  <si>
    <t xml:space="preserve">- другие (с расшифровкой)            </t>
  </si>
  <si>
    <t xml:space="preserve">Прибыль, облагаемая налогом          </t>
  </si>
  <si>
    <t xml:space="preserve">Налоги, сборы, платежи - всего       </t>
  </si>
  <si>
    <t xml:space="preserve">в том числе:                         </t>
  </si>
  <si>
    <t xml:space="preserve">- на прибыль                         </t>
  </si>
  <si>
    <t xml:space="preserve">- на имущество                       </t>
  </si>
  <si>
    <t xml:space="preserve"> - плата за выбросы загрязняющих веществ</t>
  </si>
  <si>
    <t xml:space="preserve"> - другие налоги и обязательные сборы и платежи (с расшифровкой)  </t>
  </si>
  <si>
    <t xml:space="preserve">Прибыль от товарной продукции        </t>
  </si>
  <si>
    <t xml:space="preserve">8.1.  </t>
  </si>
  <si>
    <t xml:space="preserve">За счет реализации электрической энергии     </t>
  </si>
  <si>
    <t>8.1.1.</t>
  </si>
  <si>
    <t xml:space="preserve">- производство электрической энергии </t>
  </si>
  <si>
    <t>8.1.2.</t>
  </si>
  <si>
    <t xml:space="preserve">- передача электрической энергии     </t>
  </si>
  <si>
    <t xml:space="preserve">8.2.  </t>
  </si>
  <si>
    <t xml:space="preserve">За счет реализации тепловой энергии  </t>
  </si>
  <si>
    <t>8.2.1.</t>
  </si>
  <si>
    <t xml:space="preserve">- производство тепловой энергии      </t>
  </si>
  <si>
    <t>8.2.2.</t>
  </si>
  <si>
    <t xml:space="preserve">- передача тепловой энергии          </t>
  </si>
  <si>
    <t>1.1.</t>
  </si>
  <si>
    <t>1.2.</t>
  </si>
  <si>
    <t>СН</t>
  </si>
  <si>
    <t>1.3.</t>
  </si>
  <si>
    <t>2.2.</t>
  </si>
  <si>
    <t>2.3.</t>
  </si>
  <si>
    <t>%</t>
  </si>
  <si>
    <t>5.1.</t>
  </si>
  <si>
    <t>5.2.</t>
  </si>
  <si>
    <t>5.3.</t>
  </si>
  <si>
    <t>6.1.</t>
  </si>
  <si>
    <t>6.3.</t>
  </si>
  <si>
    <t>2.1.</t>
  </si>
  <si>
    <t>3.1.</t>
  </si>
  <si>
    <t>3.2.</t>
  </si>
  <si>
    <t>3.3.</t>
  </si>
  <si>
    <t>Полезный отпуск электрической энергии</t>
  </si>
  <si>
    <t>Расходы на компенсацию потерь</t>
  </si>
  <si>
    <t>Таблица № П1.2.2</t>
  </si>
  <si>
    <t>п.п.</t>
  </si>
  <si>
    <t>Показатели</t>
  </si>
  <si>
    <t>то же в %</t>
  </si>
  <si>
    <t>Расчет полезного отпуска электрической энергии по ЭСО</t>
  </si>
  <si>
    <t>млн. кВтч</t>
  </si>
  <si>
    <t>Полезный отпуск ПЭ,  (строка 7 т.1.2.1)</t>
  </si>
  <si>
    <t xml:space="preserve">Покупная электроэнергия </t>
  </si>
  <si>
    <t>с оптового рынка</t>
  </si>
  <si>
    <t>2.2</t>
  </si>
  <si>
    <t>от блок-станций</t>
  </si>
  <si>
    <t>от других поставщиков (ОАО "Камчатскэнерго")</t>
  </si>
  <si>
    <t>Потери электроэнергии в сетях</t>
  </si>
  <si>
    <t>то же в % к отпуску в сеть</t>
  </si>
  <si>
    <t>Расход электроэнергии на производственные и хозяйственные нужды</t>
  </si>
  <si>
    <t>в том числе производственные нужды:                                                                                                 на холодный резерв станций</t>
  </si>
  <si>
    <t>для ЦТП</t>
  </si>
  <si>
    <t>для ПНС</t>
  </si>
  <si>
    <t xml:space="preserve">хозяйственные нужды </t>
  </si>
  <si>
    <t>в том числе  хоз.нужды отнесенные на передачу электроэнергии сторонним потребителям</t>
  </si>
  <si>
    <t>Полезный отпуск электроэнергии ЭСО , всего</t>
  </si>
  <si>
    <t>в том числе:</t>
  </si>
  <si>
    <t>Отпуск электроэнергии по прямым договорам (транзит)</t>
  </si>
  <si>
    <t>Таблица № П1.1.2</t>
  </si>
  <si>
    <t>Единица измерения</t>
  </si>
  <si>
    <t>тыс. кВт</t>
  </si>
  <si>
    <t xml:space="preserve"> Баланс мощности ЭСО в годовом совмещенном максимуме  графика электрической нагрузки ОЭС</t>
  </si>
  <si>
    <t xml:space="preserve">Поступление мощности в сеть ЭСО от ПЭ </t>
  </si>
  <si>
    <t>Собственных станций</t>
  </si>
  <si>
    <t>От блокстанций</t>
  </si>
  <si>
    <t>С оптового рынка</t>
  </si>
  <si>
    <t>1.4.</t>
  </si>
  <si>
    <t>Других ПЭ и ЭСО</t>
  </si>
  <si>
    <t>1.4.1.</t>
  </si>
  <si>
    <t>….</t>
  </si>
  <si>
    <t xml:space="preserve">Потери в сети </t>
  </si>
  <si>
    <t>Полезный отпуск мощности ЭСО</t>
  </si>
  <si>
    <t>в том числе</t>
  </si>
  <si>
    <t>Максимум нагрузки собственных потребителей ЭСО</t>
  </si>
  <si>
    <t>Передача мощности другим ЭСО</t>
  </si>
  <si>
    <t xml:space="preserve">Передача мощности на оптовый рынок </t>
  </si>
  <si>
    <t>Таблица № П1.6.</t>
  </si>
  <si>
    <t>Структура полезного отпуска электрической энергии (мощности) по группам потребителей</t>
  </si>
  <si>
    <t>Группа потребителей</t>
  </si>
  <si>
    <t>Объем полезного отпуска электроэнергии, млн.кВтч.</t>
  </si>
  <si>
    <t xml:space="preserve">Заявленная (расчетная) мощность, тыс.кВт. </t>
  </si>
  <si>
    <t xml:space="preserve">Доля потребления на разных диапазонах напряжений, % </t>
  </si>
  <si>
    <t xml:space="preserve">Всего </t>
  </si>
  <si>
    <t>Базовые потребители</t>
  </si>
  <si>
    <t>Прочие потребители</t>
  </si>
  <si>
    <t>в том числе                     Бюджетные потребители</t>
  </si>
  <si>
    <t>Население</t>
  </si>
  <si>
    <t>ВСЕГО</t>
  </si>
  <si>
    <t>Таблица № П1.3</t>
  </si>
  <si>
    <t>Ед.изм.</t>
  </si>
  <si>
    <t>Всего</t>
  </si>
  <si>
    <t>Технические потери</t>
  </si>
  <si>
    <t>Потери холостого хода в трансформаторах (а*б*в)</t>
  </si>
  <si>
    <t>а</t>
  </si>
  <si>
    <t>Норматив потерь</t>
  </si>
  <si>
    <t>кВт/МВА</t>
  </si>
  <si>
    <t>б</t>
  </si>
  <si>
    <t>Суммарная мощность трансформаторов</t>
  </si>
  <si>
    <t>МВА</t>
  </si>
  <si>
    <t>в</t>
  </si>
  <si>
    <t>Продолжительность периода</t>
  </si>
  <si>
    <t>час</t>
  </si>
  <si>
    <t>Потери в БСК и СТК (а*б)</t>
  </si>
  <si>
    <t>тыс.кВтч в год/шт.</t>
  </si>
  <si>
    <t>Количество</t>
  </si>
  <si>
    <t>шт.</t>
  </si>
  <si>
    <t>Потери в шунтирующих реакторах (а*б)</t>
  </si>
  <si>
    <t>Потери в синхронных компенсаторах (СК)</t>
  </si>
  <si>
    <t>тыс.кВтч в год/км.</t>
  </si>
  <si>
    <t>км</t>
  </si>
  <si>
    <t>1.5.</t>
  </si>
  <si>
    <t xml:space="preserve">Потери электрической энергии на корону, всего </t>
  </si>
  <si>
    <t>1.5.1.</t>
  </si>
  <si>
    <t>Потери на корону в линиях напряжением _110_кВ (а*б)</t>
  </si>
  <si>
    <t xml:space="preserve">тыс. кВтч в год/км </t>
  </si>
  <si>
    <t>Протяженность линий</t>
  </si>
  <si>
    <t>1.6.</t>
  </si>
  <si>
    <t>Нагрузочные потери, всего</t>
  </si>
  <si>
    <t>1.6.1.</t>
  </si>
  <si>
    <t>Нагрузочные потери в сети ВН, СН1, СН11 (а*б*в)</t>
  </si>
  <si>
    <t>Поправочный коэффициент</t>
  </si>
  <si>
    <t>Отпуск в сеть ВН, СН1 и СН11</t>
  </si>
  <si>
    <t>1.6.2.</t>
  </si>
  <si>
    <t>Нагрузочные потери в сети НН (а*б)</t>
  </si>
  <si>
    <t xml:space="preserve">Протяженность линий 0,4 кВ </t>
  </si>
  <si>
    <t>Расход электроэнергии на собственные нужды подстанций</t>
  </si>
  <si>
    <t>Потери, обусловленные погрешностями приборов учета</t>
  </si>
  <si>
    <t>Итого</t>
  </si>
  <si>
    <t xml:space="preserve">Расчёт технологического расхода электрической энергии (потерь) в электрических сетях </t>
  </si>
  <si>
    <t>Баланс электрической энергии по сетям ВН, СН1, СН11 и НН  по ЭСО (по региональным электрическим сетям)</t>
  </si>
  <si>
    <t xml:space="preserve">Поступление эл.энергии в сеть , ВСЕГО </t>
  </si>
  <si>
    <t>из смежной сети, всего</t>
  </si>
  <si>
    <t>в том числе из сети</t>
  </si>
  <si>
    <t>СН2</t>
  </si>
  <si>
    <t>от электростанций ПЭ (ЭСО)</t>
  </si>
  <si>
    <t>от других поставщиков (в т.ч. с оптового рынка)</t>
  </si>
  <si>
    <t xml:space="preserve">поступление эл. энергии от других организаций </t>
  </si>
  <si>
    <t xml:space="preserve">Потери электроэнергии в сети </t>
  </si>
  <si>
    <t>то же в % (п.1.1/п.1.3)</t>
  </si>
  <si>
    <t>в т.ч. на нужды тепловых сетей</t>
  </si>
  <si>
    <t xml:space="preserve">Полезный отпуск из сети </t>
  </si>
  <si>
    <t>то же с учетом энергии на нужды тепловых сетей</t>
  </si>
  <si>
    <t>в т.ч.                                                                                    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</si>
  <si>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</si>
  <si>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</si>
  <si>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</si>
  <si>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потребителям оптового рынка</t>
  </si>
  <si>
    <t>сальдо переток в другие организации</t>
  </si>
  <si>
    <t>Электрическая мощность по диапазонам напряжения ЭСО (региональной электрической сети)</t>
  </si>
  <si>
    <t xml:space="preserve">Поступление мощности в сеть , ВСЕГО </t>
  </si>
  <si>
    <t xml:space="preserve">от электростанций ПЭ </t>
  </si>
  <si>
    <t xml:space="preserve">от других организаций </t>
  </si>
  <si>
    <t>Мощность на производственные и хозяйственные нужды</t>
  </si>
  <si>
    <t>Полезный отпуск мощности потребителям</t>
  </si>
  <si>
    <t xml:space="preserve">в т.ч.                                                                                                                      Заявленная (расчетная) мощность собственных потребителей, пользующихся региональными электрическими сетями </t>
  </si>
  <si>
    <t>Заявленная (расчетная) мощность потребителей оптового рынка</t>
  </si>
  <si>
    <t>Потребителям, рассчитывающимся по прямым договорам</t>
  </si>
  <si>
    <t xml:space="preserve">Расчет расходов  на оплату труда </t>
  </si>
  <si>
    <t xml:space="preserve">Балансовая  стоимость основных производственных фондов  на конец  периода регулирования   </t>
  </si>
  <si>
    <t>Таблица № П1.24.</t>
  </si>
  <si>
    <t xml:space="preserve">Расчет платы за услуги по содержанию электрических сетей </t>
  </si>
  <si>
    <t>Единицы измерения</t>
  </si>
  <si>
    <t>Утверждено на 2011 год</t>
  </si>
  <si>
    <t>из них           на сбыт</t>
  </si>
  <si>
    <t xml:space="preserve">Расходы, отнесенные на передачу электрической энергии </t>
  </si>
  <si>
    <t>в т.ч. СН1</t>
  </si>
  <si>
    <t xml:space="preserve">          СН11</t>
  </si>
  <si>
    <t>Прибыль, отнесенная на передачу электрической энергии (п.8 табл.П.1.21.3)</t>
  </si>
  <si>
    <t>Рентабельность (п.2 / п.1 * 100%)</t>
  </si>
  <si>
    <t>Необходимая валовая выручка, отнесенная на передачу электрической энергии (п.1 + п.2)</t>
  </si>
  <si>
    <t>Плата за услуги на содержание электрических сетей по диапазонам напряжения в расчете на 1 МВт согласно формулам (31-33)</t>
  </si>
  <si>
    <t>руб/МВт        в мес.</t>
  </si>
  <si>
    <r>
      <t xml:space="preserve">Плата за услуги на содержание электрических сетей по диапазонам напряжения в расчете на 1 МВтч согласно формулам </t>
    </r>
    <r>
      <rPr>
        <b/>
        <sz val="10"/>
        <rFont val="Times New Roman"/>
        <family val="1"/>
      </rPr>
      <t>(34-36)</t>
    </r>
  </si>
  <si>
    <t>руб/МВтч</t>
  </si>
  <si>
    <t>проверка</t>
  </si>
  <si>
    <t>Таблица № П1.25</t>
  </si>
  <si>
    <t xml:space="preserve">Расчет ставки по оплате технологического расхода (потерь) электрической энергии на ее передачу по сетям </t>
  </si>
  <si>
    <t>№ п/п</t>
  </si>
  <si>
    <t>Наименование</t>
  </si>
  <si>
    <t>Средневзвешенный тариф на электрическую энергию</t>
  </si>
  <si>
    <t>Группа 1. Базовые потребители</t>
  </si>
  <si>
    <t>1.1.1.</t>
  </si>
  <si>
    <t>Потребитель 1</t>
  </si>
  <si>
    <t>1.1.2.</t>
  </si>
  <si>
    <t>…</t>
  </si>
  <si>
    <t xml:space="preserve">Группа 2-4. </t>
  </si>
  <si>
    <t>Отпуск электрической энергии в сеть с учетом величины сальдо-перетока электроэнергии</t>
  </si>
  <si>
    <t>млн.кВтч.</t>
  </si>
  <si>
    <t xml:space="preserve">Потери электрической энергии </t>
  </si>
  <si>
    <t>тыс.руб.</t>
  </si>
  <si>
    <t>Ставка на оплату технологического расхода (потерь ) электрической энергии на ее передачу по сетям</t>
  </si>
  <si>
    <t>руб./МВтч</t>
  </si>
  <si>
    <t xml:space="preserve">Энергия на технологические    цели </t>
  </si>
  <si>
    <t>НВВ на содержание сетей</t>
  </si>
  <si>
    <t>Ожидаем в 2011 г.</t>
  </si>
  <si>
    <t>Утверждено РСТ  на 2012 г.</t>
  </si>
  <si>
    <t>Утверждено РСТ  на 1 полугодие 2012 г.</t>
  </si>
  <si>
    <t>Утверждено РСТ  на 2 полугодие 2012 г.</t>
  </si>
  <si>
    <t>Утверждено РСТ на 1 полугодие 2012 г.</t>
  </si>
  <si>
    <t xml:space="preserve"> ОАО "Петропавловск-Камчатский морской торговый порт" </t>
  </si>
  <si>
    <t>9.8.3.</t>
  </si>
  <si>
    <t>Услуги связи</t>
  </si>
  <si>
    <t>9.8.4.</t>
  </si>
  <si>
    <t>Техническое обслуживание</t>
  </si>
  <si>
    <t>Хозяйственное обслуживание</t>
  </si>
  <si>
    <t>9.8.5.</t>
  </si>
  <si>
    <t>Обучение</t>
  </si>
  <si>
    <t>Оплата больничных листов за счет предприятия</t>
  </si>
  <si>
    <t>Административно-управленческие расходы</t>
  </si>
  <si>
    <t>Общехозяйственные расходы</t>
  </si>
  <si>
    <t>Факт 2010 года</t>
  </si>
  <si>
    <t>Выходное пособие, ср.заработная плата при сокращении чис-сти</t>
  </si>
  <si>
    <t>6.4.</t>
  </si>
  <si>
    <t>Оплата отпусков (падающих на конкретный год)</t>
  </si>
  <si>
    <t>Компенсация за молоко</t>
  </si>
  <si>
    <t>Договоры гражданско-правового характера</t>
  </si>
  <si>
    <t xml:space="preserve">Прочие    </t>
  </si>
  <si>
    <t xml:space="preserve">Генеральный директор </t>
  </si>
  <si>
    <t xml:space="preserve">ОАО "Петропавловск-Камчатский </t>
  </si>
  <si>
    <t>морской торговый порт"</t>
  </si>
  <si>
    <t>ОАО "Петропавловский-Камчатский морской торговый порт"</t>
  </si>
  <si>
    <t>Эксперт Региональной службы</t>
  </si>
  <si>
    <t xml:space="preserve">К.И. Костына </t>
  </si>
  <si>
    <t xml:space="preserve">ОАО "Петропавловский-Камчатский морской торговый порт"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</si>
  <si>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</si>
  <si>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Период регулирования 2012г(план ООО "КМП-Холод)</t>
  </si>
  <si>
    <t>Таблица № П1.4.</t>
  </si>
  <si>
    <t>Базовый период 2005 г.</t>
  </si>
  <si>
    <t>С. А. Филиппова</t>
  </si>
  <si>
    <t>Таблица № П1.5.</t>
  </si>
  <si>
    <t>млн.кВт</t>
  </si>
  <si>
    <t>полезный отпуск мощности из сети</t>
  </si>
  <si>
    <t>полезный отпуск из сети (с учетом нужд ТС)</t>
  </si>
  <si>
    <t>Число часов использо-вания, час</t>
  </si>
  <si>
    <t>Предлож.  на 2013 г.</t>
  </si>
  <si>
    <t>Предлож.  на 1 полугодие 2013 г.</t>
  </si>
  <si>
    <t>Предлож.  на 2 полугодие 2013 г.</t>
  </si>
  <si>
    <t xml:space="preserve">Среднемесячная оплата труда на 1 работника:   </t>
  </si>
  <si>
    <t xml:space="preserve">Численность (среднесписочная - отчет П-4) всего                         </t>
  </si>
  <si>
    <t xml:space="preserve">Численность по основному пр-ву                      </t>
  </si>
  <si>
    <t xml:space="preserve">Выплаты, связанные с режимом работы,  с условиями труда 1 работника </t>
  </si>
  <si>
    <t>2.1.1.</t>
  </si>
  <si>
    <t xml:space="preserve">Вредные условия труда, процент выплаты                      </t>
  </si>
  <si>
    <t>2.1.2.</t>
  </si>
  <si>
    <t xml:space="preserve">Вредные условия труда, сумма выплат                          </t>
  </si>
  <si>
    <t>2.1.3.</t>
  </si>
  <si>
    <t>Работа в ночное время</t>
  </si>
  <si>
    <t>2.1.4.</t>
  </si>
  <si>
    <t>Работа в выходные и праздники</t>
  </si>
  <si>
    <t>Ежемесячное премирование (приработок)</t>
  </si>
  <si>
    <t>За выполнение особо важных заданий</t>
  </si>
  <si>
    <t>Надбавки за профмастерство</t>
  </si>
  <si>
    <t>2.4.</t>
  </si>
  <si>
    <t xml:space="preserve">Расчет по денежным выплатам:         </t>
  </si>
  <si>
    <t>9.1.</t>
  </si>
  <si>
    <t>9.2.</t>
  </si>
  <si>
    <t>Денежные выплаты на 1 работника, в том числе:</t>
  </si>
  <si>
    <t>Материальная помощь в соответствии с Колдоговором</t>
  </si>
  <si>
    <t>Собственным потребителям</t>
  </si>
  <si>
    <t>Себестоимость, руб/кВт*ч</t>
  </si>
  <si>
    <t>Тариф на передачу электрической энергии, руб/кВт*ч</t>
  </si>
  <si>
    <t>Полезный отрпк электроэнергии</t>
  </si>
  <si>
    <t>Вода</t>
  </si>
  <si>
    <t>Канцелярские расходы</t>
  </si>
  <si>
    <t>Услуги лаборатории</t>
  </si>
  <si>
    <t>Услуги пассажирского транспорта</t>
  </si>
  <si>
    <t xml:space="preserve">Смета расходов на услуги по передаче и сбыту электрической энергии по сетям ОАО "ПКМТП" </t>
  </si>
  <si>
    <t>Услуги КИП (контрольно-измерительные приборы)</t>
  </si>
  <si>
    <t xml:space="preserve">передача и сбыт электроэнергии                </t>
  </si>
  <si>
    <t>Полезный отпуск электроэнергии</t>
  </si>
  <si>
    <t>на восстановление основных производственных фондов (передача+сбыт)</t>
  </si>
  <si>
    <t>на восстановление основных производственных фондов (передача)</t>
  </si>
  <si>
    <t>тарифов на электрическую энергию (передача+сбыт)</t>
  </si>
  <si>
    <t>тарифов на электрическую энергию (передача)</t>
  </si>
  <si>
    <t>Производство проектной документации</t>
  </si>
  <si>
    <t>Утверждено РСТ на 2015 г.</t>
  </si>
  <si>
    <t>И.И. Капралов</t>
  </si>
  <si>
    <t>Энергетическое обследование, определение повреждений кабельной линии, электромонтажные работы</t>
  </si>
  <si>
    <t>Услуги транспорта</t>
  </si>
  <si>
    <t>на восстановление основных производственных фондов (сбыт)</t>
  </si>
  <si>
    <t>услуги по передаче и сбыту электрической энергии с общехозяйственными расходами (передача)</t>
  </si>
  <si>
    <t>Смета расходов на услуги по передаче электрической энергии по сетям ОАО "ПКМТП"  (передача)</t>
  </si>
  <si>
    <t>Смета расходов на услуги по передаче и сбыту электрической энергии по сетям ОАО "ПКМТП" (сбыт)</t>
  </si>
  <si>
    <t>услуги по передаче и сбыту электрической энергии с общехозяйственными расходами (сбыт)</t>
  </si>
  <si>
    <t>тарифов на электрическую энергию (сбыт)</t>
  </si>
  <si>
    <t>услуги по передаче и сбыту электрической энергии с общехозяйственными расходами (передача и сбыт)</t>
  </si>
  <si>
    <t>Утверждено РСТ КК на 2015 г.</t>
  </si>
  <si>
    <t>Утверждено РСТ на 2017 г.</t>
  </si>
  <si>
    <t>Утверждено РСТ на  2017 г.</t>
  </si>
  <si>
    <t>Утверждено РСТ на 2015 год</t>
  </si>
  <si>
    <t>Факт 2015 г.</t>
  </si>
  <si>
    <t>Утверждено РСТ КК на 2016 г.</t>
  </si>
  <si>
    <t>Ожидаемый факт 2016 г.</t>
  </si>
  <si>
    <t>Предложения на 1-е полугодие 2017 г</t>
  </si>
  <si>
    <t>Предложения на 2-е полугодие 2017 г</t>
  </si>
  <si>
    <t>Предложения на  2017 г</t>
  </si>
  <si>
    <t>Утвержденона 1-е  РСТ на 2017 г.</t>
  </si>
  <si>
    <t>Утвержденона 2-е  РСТ на 2017 г.</t>
  </si>
  <si>
    <t>Утверждено РСТ КК на 2015 г</t>
  </si>
  <si>
    <t>Утверждено РСТ КК на 2016 г</t>
  </si>
  <si>
    <t>Ожидаемый 2016 г</t>
  </si>
  <si>
    <t>Утверждено РСТ КК на  1 полугодие 2017 г.</t>
  </si>
  <si>
    <t>Утверждено РСТ КК на  2 полугодие 2017 г.</t>
  </si>
  <si>
    <t>Услуги электролаборатории</t>
  </si>
  <si>
    <t>Прочие производственного характера</t>
  </si>
  <si>
    <t>Прочие</t>
  </si>
  <si>
    <t>Утверждено РСТ на 2015 г</t>
  </si>
  <si>
    <t>Факт 2015 года</t>
  </si>
  <si>
    <t>Утверждено РСТ на 2016 г</t>
  </si>
  <si>
    <t>Ожидаемый 2016 года</t>
  </si>
  <si>
    <t>Утвержден РСТ на 2017 г.</t>
  </si>
  <si>
    <t>Факт 2015 год</t>
  </si>
  <si>
    <t>Утверждено РЭК КК на 2016 г.</t>
  </si>
  <si>
    <t>Предложения на  1-е полугодие 2017 г</t>
  </si>
  <si>
    <t>Предложения на  2-е полугодие 2017 г</t>
  </si>
  <si>
    <t>Предложения на   2017 г</t>
  </si>
  <si>
    <t>Фактически 2015 год</t>
  </si>
  <si>
    <t xml:space="preserve">Ожидаемый за  2016 год </t>
  </si>
  <si>
    <t>Утверждено РСТ на 2016 год</t>
  </si>
  <si>
    <t>Предложения на 1-е полугодие 2017 года</t>
  </si>
  <si>
    <t>Предложения на 2-е полугодие 2017 года</t>
  </si>
  <si>
    <t>Предложения на  2017 год</t>
  </si>
  <si>
    <t>Утверждено РСТ на  2017  г.</t>
  </si>
  <si>
    <t>Проведение обязательного энергетического обследования</t>
  </si>
  <si>
    <t>Утверждено РСТ КК на  2017 г.</t>
  </si>
  <si>
    <t>Ожидаемый 2016 год</t>
  </si>
  <si>
    <t>Предложения на 1-е полугодие 2016 г</t>
  </si>
  <si>
    <t>Предложения на 2-е полугодие 2016 г</t>
  </si>
  <si>
    <t>Ожидаемый 2016 г.</t>
  </si>
  <si>
    <t>Предложения на 1-е полугодие 2017 г.</t>
  </si>
  <si>
    <t>Предложения на 2-е полугодие 2017 г.</t>
  </si>
  <si>
    <t>Работы по замене кабеля</t>
  </si>
  <si>
    <t>Работы по замене электрического кабеля</t>
  </si>
  <si>
    <t>9.1.1.</t>
  </si>
  <si>
    <t>9.1.2.</t>
  </si>
  <si>
    <t>9.1.3.</t>
  </si>
  <si>
    <t>9.1.4.</t>
  </si>
  <si>
    <t>9.1.5.</t>
  </si>
</sst>
</file>

<file path=xl/styles.xml><?xml version="1.0" encoding="utf-8"?>
<styleSheet xmlns="http://schemas.openxmlformats.org/spreadsheetml/2006/main">
  <numFmts count="2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_р_._-;\-* #,##0_р_._-;_-* &quot;-&quot;??_р_._-;_-@_-"/>
    <numFmt numFmtId="166" formatCode="0.0000"/>
    <numFmt numFmtId="167" formatCode="0.000"/>
    <numFmt numFmtId="168" formatCode="0.0"/>
    <numFmt numFmtId="169" formatCode="_-* #,##0.0000_р_._-;\-* #,##0.0000_р_._-;_-* &quot;-&quot;??_р_._-;_-@_-"/>
    <numFmt numFmtId="170" formatCode="0.0%"/>
    <numFmt numFmtId="171" formatCode="#,##0.000"/>
    <numFmt numFmtId="172" formatCode="#,##0.0"/>
    <numFmt numFmtId="173" formatCode="#,##0.00_ ;\-#,##0.00\ "/>
    <numFmt numFmtId="174" formatCode="#,##0.0000"/>
    <numFmt numFmtId="175" formatCode="#,##0.00000"/>
    <numFmt numFmtId="176" formatCode="_-* #,##0.0_р_._-;\-* #,##0.0_р_._-;_-* &quot;-&quot;??_р_._-;_-@_-"/>
    <numFmt numFmtId="177" formatCode="0.00000"/>
    <numFmt numFmtId="178" formatCode="_-* #,##0_р_._-;\-* #,##0_р_._-;_-* \-??_р_._-;_-@_-"/>
    <numFmt numFmtId="179" formatCode="_-* #,##0.000_р_._-;\-* #,##0.000_р_._-;_-* \-??_р_._-;_-@_-"/>
    <numFmt numFmtId="180" formatCode="0.000000000"/>
    <numFmt numFmtId="181" formatCode="#,##0.0_ ;\-#,##0.0\ "/>
    <numFmt numFmtId="182" formatCode="#,##0_ ;\-#,##0\ "/>
  </numFmts>
  <fonts count="76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Arial Cyr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Times New Roman Cyr"/>
      <family val="1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0"/>
      <color indexed="10"/>
      <name val="Arial"/>
      <family val="2"/>
      <charset val="204"/>
    </font>
    <font>
      <sz val="20"/>
      <name val="Arial"/>
      <family val="2"/>
      <charset val="204"/>
    </font>
    <font>
      <b/>
      <sz val="13"/>
      <name val="Arial"/>
      <family val="2"/>
      <charset val="204"/>
    </font>
    <font>
      <b/>
      <sz val="8"/>
      <name val="Arial Cyr"/>
      <charset val="204"/>
    </font>
    <font>
      <i/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name val="Times New Roman"/>
      <family val="1"/>
    </font>
    <font>
      <b/>
      <i/>
      <sz val="10"/>
      <color indexed="16"/>
      <name val="Times New Roman Cyr"/>
      <family val="1"/>
      <charset val="204"/>
    </font>
    <font>
      <sz val="12"/>
      <name val="Times New Roman Cyr"/>
      <charset val="204"/>
    </font>
    <font>
      <b/>
      <sz val="8"/>
      <name val="Times New Roman"/>
      <family val="1"/>
      <charset val="204"/>
    </font>
    <font>
      <sz val="6"/>
      <name val="Arial"/>
      <family val="2"/>
      <charset val="204"/>
    </font>
    <font>
      <sz val="6"/>
      <name val="Arial Cyr"/>
      <charset val="204"/>
    </font>
    <font>
      <sz val="10"/>
      <color indexed="10"/>
      <name val="Times New Roman Cyr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43"/>
      <name val="Times New Roman"/>
      <family val="1"/>
      <charset val="204"/>
    </font>
    <font>
      <b/>
      <sz val="10"/>
      <color indexed="43"/>
      <name val="Times New Roman Cyr"/>
      <family val="1"/>
      <charset val="204"/>
    </font>
    <font>
      <b/>
      <i/>
      <sz val="10"/>
      <color indexed="43"/>
      <name val="Times New Roman Cyr"/>
      <family val="1"/>
      <charset val="204"/>
    </font>
    <font>
      <sz val="10"/>
      <color indexed="12"/>
      <name val="Arial"/>
      <family val="2"/>
      <charset val="204"/>
    </font>
    <font>
      <sz val="14"/>
      <name val="Arial"/>
      <family val="2"/>
      <charset val="204"/>
    </font>
    <font>
      <sz val="12"/>
      <color indexed="12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7"/>
      <color indexed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 Cyr"/>
      <charset val="204"/>
    </font>
    <font>
      <b/>
      <sz val="9"/>
      <name val="Times New Roman Cyr"/>
      <family val="1"/>
      <charset val="204"/>
    </font>
    <font>
      <sz val="10"/>
      <name val="Arial 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i/>
      <sz val="10"/>
      <color indexed="10"/>
      <name val="Arial Cyr"/>
      <charset val="204"/>
    </font>
    <font>
      <b/>
      <sz val="9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7"/>
      <color indexed="10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1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21" fillId="0" borderId="0"/>
    <xf numFmtId="0" fontId="19" fillId="0" borderId="0"/>
    <xf numFmtId="0" fontId="19" fillId="0" borderId="0"/>
    <xf numFmtId="0" fontId="31" fillId="0" borderId="0"/>
    <xf numFmtId="0" fontId="39" fillId="0" borderId="0"/>
    <xf numFmtId="0" fontId="31" fillId="0" borderId="0"/>
    <xf numFmtId="0" fontId="6" fillId="0" borderId="0"/>
    <xf numFmtId="0" fontId="3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9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justify"/>
    </xf>
    <xf numFmtId="0" fontId="6" fillId="0" borderId="0" xfId="0" applyFont="1"/>
    <xf numFmtId="0" fontId="4" fillId="0" borderId="0" xfId="0" applyFont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/>
    <xf numFmtId="0" fontId="5" fillId="0" borderId="0" xfId="0" applyFont="1" applyAlignment="1"/>
    <xf numFmtId="0" fontId="0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3" fillId="0" borderId="0" xfId="4" applyFont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1" fillId="0" borderId="0" xfId="4" applyFont="1"/>
    <xf numFmtId="0" fontId="2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horizontal="right"/>
    </xf>
    <xf numFmtId="0" fontId="2" fillId="0" borderId="0" xfId="3" applyFont="1" applyFill="1" applyAlignment="1">
      <alignment vertical="center" wrapText="1"/>
    </xf>
    <xf numFmtId="0" fontId="10" fillId="0" borderId="0" xfId="3" applyFont="1" applyFill="1"/>
    <xf numFmtId="0" fontId="2" fillId="0" borderId="0" xfId="3" applyFont="1" applyFill="1" applyAlignment="1"/>
    <xf numFmtId="0" fontId="5" fillId="0" borderId="0" xfId="3" applyFont="1" applyFill="1" applyBorder="1" applyAlignment="1">
      <alignment vertical="center" wrapText="1"/>
    </xf>
    <xf numFmtId="0" fontId="29" fillId="0" borderId="0" xfId="3" applyFont="1" applyFill="1" applyBorder="1" applyAlignment="1">
      <alignment vertical="center" wrapText="1"/>
    </xf>
    <xf numFmtId="0" fontId="29" fillId="0" borderId="0" xfId="3" applyFont="1" applyFill="1" applyAlignment="1">
      <alignment horizontal="center" vertical="center" wrapText="1"/>
    </xf>
    <xf numFmtId="0" fontId="10" fillId="0" borderId="0" xfId="3" applyFont="1" applyFill="1" applyAlignment="1">
      <alignment vertical="center" wrapText="1"/>
    </xf>
    <xf numFmtId="0" fontId="10" fillId="0" borderId="0" xfId="3" applyFont="1" applyFill="1" applyAlignment="1">
      <alignment wrapText="1"/>
    </xf>
    <xf numFmtId="0" fontId="10" fillId="0" borderId="0" xfId="3" applyFont="1"/>
    <xf numFmtId="0" fontId="32" fillId="0" borderId="2" xfId="3" applyNumberFormat="1" applyFont="1" applyFill="1" applyBorder="1" applyAlignment="1" applyProtection="1">
      <alignment horizontal="center" vertical="top" wrapText="1"/>
    </xf>
    <xf numFmtId="0" fontId="32" fillId="0" borderId="3" xfId="3" applyNumberFormat="1" applyFont="1" applyFill="1" applyBorder="1" applyAlignment="1" applyProtection="1">
      <alignment horizontal="center" vertical="top"/>
    </xf>
    <xf numFmtId="0" fontId="32" fillId="0" borderId="4" xfId="3" applyNumberFormat="1" applyFont="1" applyFill="1" applyBorder="1" applyAlignment="1" applyProtection="1">
      <alignment horizontal="center" vertical="top"/>
    </xf>
    <xf numFmtId="0" fontId="32" fillId="0" borderId="0" xfId="3" applyFont="1"/>
    <xf numFmtId="0" fontId="10" fillId="0" borderId="0" xfId="6" applyNumberFormat="1" applyFont="1" applyFill="1" applyBorder="1" applyAlignment="1" applyProtection="1">
      <alignment horizontal="right" vertical="top"/>
    </xf>
    <xf numFmtId="0" fontId="35" fillId="0" borderId="0" xfId="6" applyNumberFormat="1" applyFont="1" applyFill="1" applyBorder="1" applyAlignment="1" applyProtection="1">
      <alignment vertical="top" wrapText="1"/>
    </xf>
    <xf numFmtId="173" fontId="4" fillId="0" borderId="1" xfId="12" applyNumberFormat="1" applyFont="1" applyBorder="1"/>
    <xf numFmtId="0" fontId="11" fillId="0" borderId="0" xfId="0" applyFont="1" applyAlignment="1"/>
    <xf numFmtId="0" fontId="21" fillId="0" borderId="0" xfId="9" applyFont="1"/>
    <xf numFmtId="0" fontId="21" fillId="0" borderId="0" xfId="9" applyFont="1" applyAlignment="1">
      <alignment wrapText="1"/>
    </xf>
    <xf numFmtId="0" fontId="21" fillId="0" borderId="0" xfId="9" applyFont="1" applyFill="1"/>
    <xf numFmtId="0" fontId="21" fillId="0" borderId="0" xfId="9" applyFont="1" applyFill="1" applyAlignment="1">
      <alignment horizontal="right"/>
    </xf>
    <xf numFmtId="0" fontId="21" fillId="0" borderId="1" xfId="9" applyFont="1" applyBorder="1" applyAlignment="1">
      <alignment horizontal="center"/>
    </xf>
    <xf numFmtId="0" fontId="25" fillId="0" borderId="1" xfId="9" applyFont="1" applyBorder="1" applyAlignment="1">
      <alignment wrapText="1"/>
    </xf>
    <xf numFmtId="0" fontId="25" fillId="0" borderId="0" xfId="9" applyFont="1"/>
    <xf numFmtId="0" fontId="21" fillId="0" borderId="1" xfId="9" applyFont="1" applyBorder="1" applyAlignment="1">
      <alignment wrapText="1"/>
    </xf>
    <xf numFmtId="0" fontId="37" fillId="0" borderId="1" xfId="9" applyFont="1" applyBorder="1" applyAlignment="1">
      <alignment wrapText="1"/>
    </xf>
    <xf numFmtId="0" fontId="37" fillId="0" borderId="0" xfId="9" applyFont="1"/>
    <xf numFmtId="0" fontId="21" fillId="0" borderId="1" xfId="9" applyFont="1" applyBorder="1" applyAlignment="1">
      <alignment horizontal="left" wrapText="1"/>
    </xf>
    <xf numFmtId="0" fontId="21" fillId="0" borderId="0" xfId="9" applyFont="1" applyAlignment="1">
      <alignment horizontal="right"/>
    </xf>
    <xf numFmtId="0" fontId="26" fillId="0" borderId="1" xfId="9" applyFont="1" applyBorder="1" applyAlignment="1">
      <alignment wrapText="1"/>
    </xf>
    <xf numFmtId="0" fontId="11" fillId="0" borderId="1" xfId="9" applyFont="1" applyBorder="1" applyAlignment="1">
      <alignment wrapText="1"/>
    </xf>
    <xf numFmtId="0" fontId="21" fillId="0" borderId="0" xfId="9" applyFont="1" applyBorder="1" applyAlignment="1">
      <alignment horizontal="left" vertical="center"/>
    </xf>
    <xf numFmtId="0" fontId="0" fillId="0" borderId="0" xfId="0" applyFill="1" applyAlignment="1">
      <alignment wrapText="1"/>
    </xf>
    <xf numFmtId="3" fontId="41" fillId="0" borderId="0" xfId="0" applyNumberFormat="1" applyFont="1" applyFill="1" applyBorder="1" applyAlignment="1">
      <alignment wrapText="1"/>
    </xf>
    <xf numFmtId="4" fontId="41" fillId="0" borderId="0" xfId="0" applyNumberFormat="1" applyFont="1" applyFill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Alignment="1"/>
    <xf numFmtId="0" fontId="42" fillId="0" borderId="0" xfId="0" applyFont="1" applyAlignment="1"/>
    <xf numFmtId="0" fontId="21" fillId="0" borderId="0" xfId="9" applyFont="1" applyAlignment="1">
      <alignment horizontal="center" wrapText="1"/>
    </xf>
    <xf numFmtId="3" fontId="21" fillId="0" borderId="0" xfId="9" applyNumberFormat="1" applyFont="1"/>
    <xf numFmtId="3" fontId="21" fillId="0" borderId="0" xfId="9" applyNumberFormat="1" applyFont="1" applyFill="1"/>
    <xf numFmtId="3" fontId="10" fillId="0" borderId="1" xfId="0" applyNumberFormat="1" applyFont="1" applyFill="1" applyBorder="1" applyAlignment="1">
      <alignment wrapText="1"/>
    </xf>
    <xf numFmtId="3" fontId="14" fillId="0" borderId="1" xfId="0" applyNumberFormat="1" applyFont="1" applyFill="1" applyBorder="1" applyAlignment="1">
      <alignment wrapText="1"/>
    </xf>
    <xf numFmtId="3" fontId="15" fillId="0" borderId="0" xfId="0" applyNumberFormat="1" applyFont="1" applyAlignment="1"/>
    <xf numFmtId="3" fontId="14" fillId="0" borderId="5" xfId="0" applyNumberFormat="1" applyFont="1" applyFill="1" applyBorder="1" applyAlignment="1">
      <alignment wrapText="1"/>
    </xf>
    <xf numFmtId="3" fontId="18" fillId="0" borderId="6" xfId="0" applyNumberFormat="1" applyFont="1" applyFill="1" applyBorder="1" applyAlignment="1">
      <alignment horizontal="center" wrapText="1"/>
    </xf>
    <xf numFmtId="3" fontId="18" fillId="0" borderId="7" xfId="0" applyNumberFormat="1" applyFont="1" applyFill="1" applyBorder="1" applyAlignment="1">
      <alignment horizontal="center" wrapText="1"/>
    </xf>
    <xf numFmtId="3" fontId="17" fillId="0" borderId="0" xfId="0" applyNumberFormat="1" applyFont="1" applyAlignment="1">
      <alignment horizontal="center"/>
    </xf>
    <xf numFmtId="3" fontId="10" fillId="0" borderId="5" xfId="0" applyNumberFormat="1" applyFont="1" applyFill="1" applyBorder="1" applyAlignment="1">
      <alignment wrapText="1"/>
    </xf>
    <xf numFmtId="3" fontId="8" fillId="0" borderId="6" xfId="0" applyNumberFormat="1" applyFont="1" applyFill="1" applyBorder="1" applyAlignment="1">
      <alignment wrapText="1"/>
    </xf>
    <xf numFmtId="3" fontId="8" fillId="0" borderId="7" xfId="0" applyNumberFormat="1" applyFont="1" applyFill="1" applyBorder="1" applyAlignment="1">
      <alignment wrapText="1"/>
    </xf>
    <xf numFmtId="3" fontId="17" fillId="0" borderId="0" xfId="0" applyNumberFormat="1" applyFont="1" applyAlignment="1"/>
    <xf numFmtId="3" fontId="10" fillId="0" borderId="1" xfId="12" applyNumberFormat="1" applyFont="1" applyFill="1" applyBorder="1" applyAlignment="1">
      <alignment horizontal="right" wrapText="1"/>
    </xf>
    <xf numFmtId="3" fontId="14" fillId="0" borderId="1" xfId="12" applyNumberFormat="1" applyFont="1" applyFill="1" applyBorder="1" applyAlignment="1">
      <alignment horizontal="right" wrapText="1"/>
    </xf>
    <xf numFmtId="3" fontId="15" fillId="0" borderId="1" xfId="12" applyNumberFormat="1" applyFont="1" applyFill="1" applyBorder="1" applyAlignment="1">
      <alignment horizontal="right"/>
    </xf>
    <xf numFmtId="3" fontId="14" fillId="0" borderId="5" xfId="12" applyNumberFormat="1" applyFont="1" applyFill="1" applyBorder="1" applyAlignment="1">
      <alignment horizontal="right" wrapText="1"/>
    </xf>
    <xf numFmtId="3" fontId="18" fillId="0" borderId="7" xfId="0" applyNumberFormat="1" applyFont="1" applyFill="1" applyBorder="1" applyAlignment="1">
      <alignment horizontal="right" wrapText="1"/>
    </xf>
    <xf numFmtId="3" fontId="10" fillId="0" borderId="5" xfId="0" applyNumberFormat="1" applyFont="1" applyFill="1" applyBorder="1" applyAlignment="1">
      <alignment horizontal="right" wrapText="1"/>
    </xf>
    <xf numFmtId="3" fontId="8" fillId="0" borderId="7" xfId="0" applyNumberFormat="1" applyFont="1" applyFill="1" applyBorder="1" applyAlignment="1">
      <alignment horizontal="right" wrapText="1"/>
    </xf>
    <xf numFmtId="2" fontId="49" fillId="0" borderId="0" xfId="9" applyNumberFormat="1" applyFont="1" applyFill="1"/>
    <xf numFmtId="0" fontId="49" fillId="0" borderId="0" xfId="4" applyFont="1"/>
    <xf numFmtId="0" fontId="21" fillId="0" borderId="0" xfId="3" applyFont="1"/>
    <xf numFmtId="0" fontId="21" fillId="0" borderId="0" xfId="3" applyFont="1" applyAlignment="1">
      <alignment horizontal="right"/>
    </xf>
    <xf numFmtId="0" fontId="21" fillId="0" borderId="0" xfId="3" applyFont="1" applyAlignment="1">
      <alignment horizontal="center"/>
    </xf>
    <xf numFmtId="1" fontId="25" fillId="0" borderId="8" xfId="0" applyNumberFormat="1" applyFont="1" applyBorder="1"/>
    <xf numFmtId="0" fontId="45" fillId="0" borderId="0" xfId="3" applyFont="1" applyBorder="1" applyAlignment="1">
      <alignment horizontal="center" vertical="center"/>
    </xf>
    <xf numFmtId="0" fontId="45" fillId="0" borderId="0" xfId="3" applyFont="1" applyBorder="1" applyAlignment="1">
      <alignment wrapText="1"/>
    </xf>
    <xf numFmtId="0" fontId="45" fillId="0" borderId="0" xfId="3" applyFont="1" applyBorder="1" applyAlignment="1">
      <alignment horizontal="center"/>
    </xf>
    <xf numFmtId="168" fontId="45" fillId="0" borderId="0" xfId="3" applyNumberFormat="1" applyFont="1" applyFill="1" applyBorder="1"/>
    <xf numFmtId="0" fontId="45" fillId="0" borderId="0" xfId="3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3" applyFont="1" applyFill="1"/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0" fillId="0" borderId="0" xfId="4" applyFont="1" applyFill="1"/>
    <xf numFmtId="0" fontId="28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wrapText="1"/>
    </xf>
    <xf numFmtId="3" fontId="18" fillId="0" borderId="1" xfId="12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wrapText="1"/>
    </xf>
    <xf numFmtId="0" fontId="17" fillId="0" borderId="0" xfId="0" applyFont="1" applyAlignment="1"/>
    <xf numFmtId="0" fontId="18" fillId="0" borderId="1" xfId="0" applyFont="1" applyFill="1" applyBorder="1" applyAlignment="1">
      <alignment wrapText="1"/>
    </xf>
    <xf numFmtId="3" fontId="17" fillId="0" borderId="1" xfId="0" applyNumberFormat="1" applyFont="1" applyFill="1" applyBorder="1" applyAlignment="1"/>
    <xf numFmtId="3" fontId="17" fillId="0" borderId="1" xfId="12" applyNumberFormat="1" applyFont="1" applyFill="1" applyBorder="1" applyAlignment="1">
      <alignment horizontal="right"/>
    </xf>
    <xf numFmtId="0" fontId="30" fillId="0" borderId="0" xfId="0" applyFont="1" applyAlignment="1">
      <alignment horizontal="right"/>
    </xf>
    <xf numFmtId="0" fontId="17" fillId="0" borderId="0" xfId="0" applyFont="1"/>
    <xf numFmtId="171" fontId="41" fillId="0" borderId="0" xfId="0" applyNumberFormat="1" applyFont="1" applyFill="1" applyBorder="1" applyAlignment="1">
      <alignment wrapText="1"/>
    </xf>
    <xf numFmtId="171" fontId="49" fillId="0" borderId="0" xfId="9" applyNumberFormat="1" applyFont="1" applyFill="1"/>
    <xf numFmtId="0" fontId="8" fillId="0" borderId="0" xfId="0" applyFont="1" applyAlignment="1"/>
    <xf numFmtId="0" fontId="48" fillId="0" borderId="0" xfId="0" applyFont="1" applyAlignment="1">
      <alignment horizontal="center"/>
    </xf>
    <xf numFmtId="165" fontId="10" fillId="0" borderId="1" xfId="12" applyNumberFormat="1" applyFont="1" applyFill="1" applyBorder="1" applyAlignment="1">
      <alignment horizontal="right" vertical="center" wrapText="1"/>
    </xf>
    <xf numFmtId="165" fontId="10" fillId="0" borderId="9" xfId="12" applyNumberFormat="1" applyFont="1" applyFill="1" applyBorder="1" applyAlignment="1">
      <alignment horizontal="right" vertical="center" wrapText="1"/>
    </xf>
    <xf numFmtId="165" fontId="17" fillId="0" borderId="7" xfId="0" applyNumberFormat="1" applyFont="1" applyFill="1" applyBorder="1" applyAlignment="1">
      <alignment horizontal="right" vertical="center"/>
    </xf>
    <xf numFmtId="165" fontId="10" fillId="0" borderId="10" xfId="12" applyNumberFormat="1" applyFont="1" applyFill="1" applyBorder="1" applyAlignment="1">
      <alignment horizontal="right" vertical="center" wrapText="1"/>
    </xf>
    <xf numFmtId="165" fontId="10" fillId="0" borderId="5" xfId="12" applyNumberFormat="1" applyFont="1" applyFill="1" applyBorder="1" applyAlignment="1">
      <alignment horizontal="right" vertical="center" wrapText="1"/>
    </xf>
    <xf numFmtId="165" fontId="17" fillId="2" borderId="7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Alignment="1"/>
    <xf numFmtId="3" fontId="18" fillId="0" borderId="1" xfId="0" applyNumberFormat="1" applyFont="1" applyFill="1" applyBorder="1" applyAlignment="1">
      <alignment horizontal="right" wrapText="1"/>
    </xf>
    <xf numFmtId="165" fontId="1" fillId="0" borderId="0" xfId="12" applyNumberFormat="1" applyFont="1"/>
    <xf numFmtId="164" fontId="1" fillId="0" borderId="0" xfId="12" applyNumberFormat="1" applyFont="1" applyAlignment="1">
      <alignment horizontal="center"/>
    </xf>
    <xf numFmtId="0" fontId="0" fillId="0" borderId="1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165" fontId="17" fillId="2" borderId="1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73" fontId="4" fillId="0" borderId="0" xfId="12" applyNumberFormat="1" applyFont="1" applyBorder="1"/>
    <xf numFmtId="0" fontId="11" fillId="0" borderId="0" xfId="0" applyFont="1" applyBorder="1" applyAlignment="1"/>
    <xf numFmtId="0" fontId="21" fillId="0" borderId="0" xfId="3" applyFont="1" applyFill="1"/>
    <xf numFmtId="0" fontId="6" fillId="0" borderId="0" xfId="4" applyFont="1" applyFill="1"/>
    <xf numFmtId="0" fontId="10" fillId="0" borderId="12" xfId="3" applyNumberFormat="1" applyFont="1" applyFill="1" applyBorder="1" applyAlignment="1" applyProtection="1">
      <alignment horizontal="center" vertical="center" wrapText="1"/>
    </xf>
    <xf numFmtId="165" fontId="10" fillId="0" borderId="13" xfId="12" applyNumberFormat="1" applyFont="1" applyFill="1" applyBorder="1" applyAlignment="1">
      <alignment horizontal="right" vertical="center" wrapText="1"/>
    </xf>
    <xf numFmtId="165" fontId="10" fillId="0" borderId="14" xfId="12" applyNumberFormat="1" applyFont="1" applyFill="1" applyBorder="1" applyAlignment="1">
      <alignment horizontal="right" vertical="center" wrapText="1"/>
    </xf>
    <xf numFmtId="165" fontId="17" fillId="0" borderId="15" xfId="0" applyNumberFormat="1" applyFont="1" applyFill="1" applyBorder="1" applyAlignment="1">
      <alignment horizontal="right" vertical="center"/>
    </xf>
    <xf numFmtId="165" fontId="10" fillId="0" borderId="16" xfId="12" applyNumberFormat="1" applyFont="1" applyFill="1" applyBorder="1" applyAlignment="1">
      <alignment horizontal="right" vertical="center" wrapText="1"/>
    </xf>
    <xf numFmtId="165" fontId="10" fillId="0" borderId="17" xfId="12" applyNumberFormat="1" applyFont="1" applyFill="1" applyBorder="1" applyAlignment="1">
      <alignment horizontal="right" vertical="center" wrapText="1"/>
    </xf>
    <xf numFmtId="165" fontId="17" fillId="2" borderId="15" xfId="0" applyNumberFormat="1" applyFont="1" applyFill="1" applyBorder="1" applyAlignment="1">
      <alignment horizontal="right" vertical="center"/>
    </xf>
    <xf numFmtId="165" fontId="10" fillId="3" borderId="8" xfId="12" applyNumberFormat="1" applyFont="1" applyFill="1" applyBorder="1" applyAlignment="1">
      <alignment horizontal="right" vertical="center" wrapText="1"/>
    </xf>
    <xf numFmtId="165" fontId="17" fillId="3" borderId="11" xfId="0" applyNumberFormat="1" applyFont="1" applyFill="1" applyBorder="1" applyAlignment="1">
      <alignment horizontal="right" vertical="center"/>
    </xf>
    <xf numFmtId="165" fontId="10" fillId="3" borderId="18" xfId="12" applyNumberFormat="1" applyFont="1" applyFill="1" applyBorder="1" applyAlignment="1">
      <alignment horizontal="right" vertical="center" wrapText="1"/>
    </xf>
    <xf numFmtId="165" fontId="10" fillId="3" borderId="19" xfId="12" applyNumberFormat="1" applyFont="1" applyFill="1" applyBorder="1" applyAlignment="1">
      <alignment horizontal="right" vertical="center" wrapText="1"/>
    </xf>
    <xf numFmtId="1" fontId="0" fillId="3" borderId="8" xfId="0" applyNumberFormat="1" applyFont="1" applyFill="1" applyBorder="1" applyAlignment="1">
      <alignment horizontal="right" vertical="center"/>
    </xf>
    <xf numFmtId="165" fontId="10" fillId="3" borderId="20" xfId="12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17" fillId="0" borderId="0" xfId="12" applyNumberFormat="1" applyFont="1"/>
    <xf numFmtId="0" fontId="17" fillId="0" borderId="0" xfId="0" applyFont="1" applyBorder="1"/>
    <xf numFmtId="0" fontId="24" fillId="0" borderId="0" xfId="0" applyFont="1" applyBorder="1" applyAlignment="1">
      <alignment vertical="center" wrapText="1"/>
    </xf>
    <xf numFmtId="43" fontId="10" fillId="3" borderId="8" xfId="12" applyNumberFormat="1" applyFont="1" applyFill="1" applyBorder="1" applyAlignment="1">
      <alignment horizontal="right" vertical="center" wrapText="1"/>
    </xf>
    <xf numFmtId="165" fontId="18" fillId="3" borderId="8" xfId="12" applyNumberFormat="1" applyFont="1" applyFill="1" applyBorder="1" applyAlignment="1">
      <alignment horizontal="right" vertical="center" wrapText="1"/>
    </xf>
    <xf numFmtId="165" fontId="0" fillId="0" borderId="0" xfId="0" applyNumberFormat="1"/>
    <xf numFmtId="168" fontId="0" fillId="0" borderId="0" xfId="0" applyNumberFormat="1"/>
    <xf numFmtId="165" fontId="8" fillId="0" borderId="0" xfId="0" applyNumberFormat="1" applyFont="1" applyAlignment="1"/>
    <xf numFmtId="169" fontId="0" fillId="0" borderId="0" xfId="0" applyNumberFormat="1"/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3" fontId="18" fillId="0" borderId="10" xfId="12" applyNumberFormat="1" applyFont="1" applyFill="1" applyBorder="1" applyAlignment="1">
      <alignment horizont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Fill="1" applyBorder="1" applyAlignment="1">
      <alignment wrapText="1"/>
    </xf>
    <xf numFmtId="3" fontId="18" fillId="0" borderId="22" xfId="0" applyNumberFormat="1" applyFont="1" applyFill="1" applyBorder="1" applyAlignment="1">
      <alignment wrapText="1"/>
    </xf>
    <xf numFmtId="3" fontId="14" fillId="0" borderId="22" xfId="0" applyNumberFormat="1" applyFont="1" applyFill="1" applyBorder="1" applyAlignment="1">
      <alignment wrapText="1"/>
    </xf>
    <xf numFmtId="3" fontId="10" fillId="0" borderId="22" xfId="0" applyNumberFormat="1" applyFont="1" applyFill="1" applyBorder="1" applyAlignment="1">
      <alignment wrapText="1"/>
    </xf>
    <xf numFmtId="3" fontId="14" fillId="0" borderId="23" xfId="0" applyNumberFormat="1" applyFont="1" applyFill="1" applyBorder="1" applyAlignment="1">
      <alignment wrapText="1"/>
    </xf>
    <xf numFmtId="3" fontId="10" fillId="0" borderId="23" xfId="0" applyNumberFormat="1" applyFont="1" applyFill="1" applyBorder="1" applyAlignment="1">
      <alignment wrapText="1"/>
    </xf>
    <xf numFmtId="3" fontId="18" fillId="0" borderId="22" xfId="0" applyNumberFormat="1" applyFont="1" applyFill="1" applyBorder="1" applyAlignment="1">
      <alignment horizontal="left" wrapText="1"/>
    </xf>
    <xf numFmtId="0" fontId="18" fillId="0" borderId="22" xfId="0" applyFont="1" applyFill="1" applyBorder="1" applyAlignment="1">
      <alignment horizontal="left" wrapText="1"/>
    </xf>
    <xf numFmtId="0" fontId="17" fillId="0" borderId="22" xfId="0" applyFont="1" applyFill="1" applyBorder="1" applyAlignment="1">
      <alignment horizontal="left"/>
    </xf>
    <xf numFmtId="0" fontId="11" fillId="3" borderId="22" xfId="10" applyFont="1" applyFill="1" applyBorder="1" applyAlignment="1">
      <alignment horizontal="center" vertical="center" wrapText="1"/>
    </xf>
    <xf numFmtId="0" fontId="11" fillId="3" borderId="8" xfId="10" applyFont="1" applyFill="1" applyBorder="1" applyAlignment="1">
      <alignment horizontal="center" vertical="center" wrapText="1"/>
    </xf>
    <xf numFmtId="0" fontId="21" fillId="3" borderId="22" xfId="9" applyFont="1" applyFill="1" applyBorder="1" applyAlignment="1">
      <alignment horizontal="center"/>
    </xf>
    <xf numFmtId="0" fontId="21" fillId="3" borderId="8" xfId="9" applyFont="1" applyFill="1" applyBorder="1" applyAlignment="1">
      <alignment horizontal="center"/>
    </xf>
    <xf numFmtId="3" fontId="25" fillId="3" borderId="21" xfId="9" applyNumberFormat="1" applyFont="1" applyFill="1" applyBorder="1" applyAlignment="1"/>
    <xf numFmtId="3" fontId="25" fillId="3" borderId="18" xfId="9" applyNumberFormat="1" applyFont="1" applyFill="1" applyBorder="1" applyAlignment="1"/>
    <xf numFmtId="0" fontId="21" fillId="3" borderId="22" xfId="9" applyFont="1" applyFill="1" applyBorder="1" applyAlignment="1"/>
    <xf numFmtId="0" fontId="21" fillId="3" borderId="8" xfId="9" applyFont="1" applyFill="1" applyBorder="1" applyAlignment="1"/>
    <xf numFmtId="3" fontId="21" fillId="3" borderId="22" xfId="9" applyNumberFormat="1" applyFont="1" applyFill="1" applyBorder="1" applyAlignment="1"/>
    <xf numFmtId="3" fontId="21" fillId="3" borderId="8" xfId="9" applyNumberFormat="1" applyFont="1" applyFill="1" applyBorder="1" applyAlignment="1"/>
    <xf numFmtId="0" fontId="37" fillId="3" borderId="22" xfId="9" applyFont="1" applyFill="1" applyBorder="1" applyAlignment="1"/>
    <xf numFmtId="0" fontId="37" fillId="3" borderId="8" xfId="9" applyFont="1" applyFill="1" applyBorder="1" applyAlignment="1"/>
    <xf numFmtId="1" fontId="38" fillId="3" borderId="22" xfId="9" applyNumberFormat="1" applyFont="1" applyFill="1" applyBorder="1" applyAlignment="1"/>
    <xf numFmtId="1" fontId="21" fillId="3" borderId="8" xfId="9" applyNumberFormat="1" applyFont="1" applyFill="1" applyBorder="1" applyAlignment="1"/>
    <xf numFmtId="170" fontId="25" fillId="3" borderId="22" xfId="11" applyNumberFormat="1" applyFont="1" applyFill="1" applyBorder="1" applyAlignment="1"/>
    <xf numFmtId="170" fontId="25" fillId="3" borderId="8" xfId="11" applyNumberFormat="1" applyFont="1" applyFill="1" applyBorder="1" applyAlignment="1"/>
    <xf numFmtId="3" fontId="25" fillId="3" borderId="22" xfId="9" applyNumberFormat="1" applyFont="1" applyFill="1" applyBorder="1" applyAlignment="1"/>
    <xf numFmtId="3" fontId="25" fillId="3" borderId="8" xfId="9" applyNumberFormat="1" applyFont="1" applyFill="1" applyBorder="1" applyAlignment="1"/>
    <xf numFmtId="3" fontId="37" fillId="3" borderId="22" xfId="9" applyNumberFormat="1" applyFont="1" applyFill="1" applyBorder="1" applyAlignment="1"/>
    <xf numFmtId="3" fontId="37" fillId="3" borderId="8" xfId="9" applyNumberFormat="1" applyFont="1" applyFill="1" applyBorder="1" applyAlignment="1"/>
    <xf numFmtId="4" fontId="26" fillId="3" borderId="22" xfId="9" applyNumberFormat="1" applyFont="1" applyFill="1" applyBorder="1" applyAlignment="1">
      <alignment wrapText="1"/>
    </xf>
    <xf numFmtId="3" fontId="11" fillId="3" borderId="22" xfId="0" applyNumberFormat="1" applyFont="1" applyFill="1" applyBorder="1" applyAlignment="1">
      <alignment wrapText="1"/>
    </xf>
    <xf numFmtId="3" fontId="41" fillId="3" borderId="8" xfId="0" applyNumberFormat="1" applyFont="1" applyFill="1" applyBorder="1" applyAlignment="1">
      <alignment wrapText="1"/>
    </xf>
    <xf numFmtId="3" fontId="26" fillId="3" borderId="22" xfId="9" applyNumberFormat="1" applyFont="1" applyFill="1" applyBorder="1" applyAlignment="1">
      <alignment wrapText="1"/>
    </xf>
    <xf numFmtId="3" fontId="11" fillId="3" borderId="24" xfId="0" applyNumberFormat="1" applyFont="1" applyFill="1" applyBorder="1" applyAlignment="1">
      <alignment wrapText="1"/>
    </xf>
    <xf numFmtId="3" fontId="11" fillId="3" borderId="20" xfId="0" applyNumberFormat="1" applyFont="1" applyFill="1" applyBorder="1" applyAlignment="1">
      <alignment wrapText="1"/>
    </xf>
    <xf numFmtId="4" fontId="21" fillId="3" borderId="22" xfId="9" applyNumberFormat="1" applyFont="1" applyFill="1" applyBorder="1" applyAlignment="1"/>
    <xf numFmtId="0" fontId="11" fillId="0" borderId="22" xfId="10" applyFont="1" applyFill="1" applyBorder="1" applyAlignment="1">
      <alignment horizontal="center" vertical="center" wrapText="1"/>
    </xf>
    <xf numFmtId="0" fontId="11" fillId="0" borderId="8" xfId="10" applyFont="1" applyFill="1" applyBorder="1" applyAlignment="1">
      <alignment horizontal="center" vertical="center" wrapText="1"/>
    </xf>
    <xf numFmtId="0" fontId="21" fillId="0" borderId="22" xfId="9" applyFont="1" applyBorder="1" applyAlignment="1">
      <alignment horizontal="center"/>
    </xf>
    <xf numFmtId="0" fontId="21" fillId="0" borderId="8" xfId="9" applyFont="1" applyBorder="1" applyAlignment="1">
      <alignment horizontal="center"/>
    </xf>
    <xf numFmtId="3" fontId="25" fillId="0" borderId="21" xfId="9" applyNumberFormat="1" applyFont="1" applyBorder="1" applyAlignment="1"/>
    <xf numFmtId="3" fontId="25" fillId="0" borderId="18" xfId="9" applyNumberFormat="1" applyFont="1" applyBorder="1" applyAlignment="1"/>
    <xf numFmtId="0" fontId="21" fillId="0" borderId="8" xfId="9" applyFont="1" applyBorder="1" applyAlignment="1"/>
    <xf numFmtId="3" fontId="21" fillId="0" borderId="22" xfId="9" applyNumberFormat="1" applyFont="1" applyBorder="1" applyAlignment="1"/>
    <xf numFmtId="3" fontId="21" fillId="0" borderId="8" xfId="9" applyNumberFormat="1" applyFont="1" applyBorder="1" applyAlignment="1"/>
    <xf numFmtId="0" fontId="37" fillId="0" borderId="22" xfId="9" applyFont="1" applyBorder="1" applyAlignment="1"/>
    <xf numFmtId="0" fontId="37" fillId="0" borderId="8" xfId="9" applyFont="1" applyBorder="1" applyAlignment="1"/>
    <xf numFmtId="3" fontId="21" fillId="0" borderId="22" xfId="9" applyNumberFormat="1" applyFont="1" applyFill="1" applyBorder="1" applyAlignment="1"/>
    <xf numFmtId="3" fontId="21" fillId="0" borderId="8" xfId="9" applyNumberFormat="1" applyFont="1" applyFill="1" applyBorder="1" applyAlignment="1"/>
    <xf numFmtId="1" fontId="38" fillId="0" borderId="22" xfId="9" applyNumberFormat="1" applyFont="1" applyFill="1" applyBorder="1" applyAlignment="1"/>
    <xf numFmtId="1" fontId="21" fillId="0" borderId="8" xfId="9" applyNumberFormat="1" applyFont="1" applyBorder="1" applyAlignment="1"/>
    <xf numFmtId="170" fontId="25" fillId="0" borderId="8" xfId="11" applyNumberFormat="1" applyFont="1" applyFill="1" applyBorder="1" applyAlignment="1"/>
    <xf numFmtId="3" fontId="25" fillId="0" borderId="8" xfId="9" applyNumberFormat="1" applyFont="1" applyFill="1" applyBorder="1" applyAlignment="1"/>
    <xf numFmtId="3" fontId="37" fillId="0" borderId="22" xfId="9" applyNumberFormat="1" applyFont="1" applyBorder="1" applyAlignment="1"/>
    <xf numFmtId="3" fontId="37" fillId="0" borderId="8" xfId="9" applyNumberFormat="1" applyFont="1" applyBorder="1" applyAlignment="1"/>
    <xf numFmtId="3" fontId="11" fillId="0" borderId="22" xfId="0" applyNumberFormat="1" applyFont="1" applyBorder="1" applyAlignment="1">
      <alignment wrapText="1"/>
    </xf>
    <xf numFmtId="3" fontId="26" fillId="0" borderId="22" xfId="9" applyNumberFormat="1" applyFont="1" applyFill="1" applyBorder="1" applyAlignment="1">
      <alignment wrapText="1"/>
    </xf>
    <xf numFmtId="3" fontId="26" fillId="0" borderId="8" xfId="9" applyNumberFormat="1" applyFont="1" applyFill="1" applyBorder="1" applyAlignment="1">
      <alignment wrapText="1"/>
    </xf>
    <xf numFmtId="3" fontId="11" fillId="0" borderId="24" xfId="0" applyNumberFormat="1" applyFont="1" applyBorder="1" applyAlignment="1">
      <alignment wrapText="1"/>
    </xf>
    <xf numFmtId="3" fontId="11" fillId="0" borderId="20" xfId="0" applyNumberFormat="1" applyFont="1" applyBorder="1" applyAlignment="1">
      <alignment wrapText="1"/>
    </xf>
    <xf numFmtId="3" fontId="26" fillId="3" borderId="8" xfId="0" applyNumberFormat="1" applyFont="1" applyFill="1" applyBorder="1" applyAlignment="1">
      <alignment wrapText="1"/>
    </xf>
    <xf numFmtId="0" fontId="25" fillId="0" borderId="22" xfId="9" applyFont="1" applyBorder="1" applyAlignment="1">
      <alignment horizontal="left"/>
    </xf>
    <xf numFmtId="0" fontId="21" fillId="0" borderId="22" xfId="9" applyFont="1" applyBorder="1" applyAlignment="1">
      <alignment horizontal="left"/>
    </xf>
    <xf numFmtId="0" fontId="37" fillId="0" borderId="22" xfId="9" applyFont="1" applyBorder="1" applyAlignment="1">
      <alignment horizontal="left"/>
    </xf>
    <xf numFmtId="0" fontId="21" fillId="0" borderId="22" xfId="9" applyFont="1" applyBorder="1" applyAlignment="1">
      <alignment horizontal="right"/>
    </xf>
    <xf numFmtId="0" fontId="25" fillId="0" borderId="22" xfId="9" applyFont="1" applyBorder="1" applyAlignment="1">
      <alignment horizontal="left" vertical="center"/>
    </xf>
    <xf numFmtId="0" fontId="21" fillId="0" borderId="22" xfId="9" applyFont="1" applyBorder="1" applyAlignment="1">
      <alignment horizontal="left" vertical="center"/>
    </xf>
    <xf numFmtId="0" fontId="37" fillId="0" borderId="22" xfId="9" applyFont="1" applyBorder="1" applyAlignment="1">
      <alignment horizontal="left" vertical="center"/>
    </xf>
    <xf numFmtId="0" fontId="26" fillId="0" borderId="22" xfId="9" applyFont="1" applyBorder="1" applyAlignment="1">
      <alignment wrapText="1"/>
    </xf>
    <xf numFmtId="0" fontId="11" fillId="0" borderId="22" xfId="9" applyFont="1" applyBorder="1" applyAlignment="1">
      <alignment horizontal="left" wrapText="1"/>
    </xf>
    <xf numFmtId="0" fontId="21" fillId="0" borderId="24" xfId="9" applyFont="1" applyBorder="1" applyAlignment="1">
      <alignment horizontal="left" vertical="center"/>
    </xf>
    <xf numFmtId="0" fontId="21" fillId="0" borderId="25" xfId="9" applyFont="1" applyBorder="1" applyAlignment="1">
      <alignment wrapText="1"/>
    </xf>
    <xf numFmtId="0" fontId="23" fillId="3" borderId="26" xfId="5" applyFont="1" applyFill="1" applyBorder="1" applyAlignment="1">
      <alignment horizontal="center" vertical="center" wrapText="1"/>
    </xf>
    <xf numFmtId="1" fontId="25" fillId="3" borderId="27" xfId="0" applyNumberFormat="1" applyFont="1" applyFill="1" applyBorder="1"/>
    <xf numFmtId="167" fontId="25" fillId="3" borderId="27" xfId="3" applyNumberFormat="1" applyFont="1" applyFill="1" applyBorder="1"/>
    <xf numFmtId="167" fontId="25" fillId="3" borderId="27" xfId="0" applyNumberFormat="1" applyFont="1" applyFill="1" applyBorder="1"/>
    <xf numFmtId="167" fontId="44" fillId="3" borderId="27" xfId="0" applyNumberFormat="1" applyFont="1" applyFill="1" applyBorder="1"/>
    <xf numFmtId="3" fontId="25" fillId="3" borderId="27" xfId="0" applyNumberFormat="1" applyFont="1" applyFill="1" applyBorder="1"/>
    <xf numFmtId="167" fontId="10" fillId="0" borderId="0" xfId="3" applyNumberFormat="1" applyFont="1" applyFill="1"/>
    <xf numFmtId="0" fontId="2" fillId="4" borderId="6" xfId="0" applyFont="1" applyFill="1" applyBorder="1" applyAlignment="1">
      <alignment horizontal="center" vertical="center" wrapText="1"/>
    </xf>
    <xf numFmtId="165" fontId="47" fillId="4" borderId="21" xfId="12" applyNumberFormat="1" applyFont="1" applyFill="1" applyBorder="1" applyAlignment="1">
      <alignment horizontal="center" vertical="top" wrapText="1"/>
    </xf>
    <xf numFmtId="43" fontId="10" fillId="4" borderId="22" xfId="12" applyNumberFormat="1" applyFont="1" applyFill="1" applyBorder="1" applyAlignment="1">
      <alignment horizontal="right" vertical="center" wrapText="1"/>
    </xf>
    <xf numFmtId="165" fontId="10" fillId="4" borderId="22" xfId="12" applyNumberFormat="1" applyFont="1" applyFill="1" applyBorder="1" applyAlignment="1">
      <alignment horizontal="right" vertical="center" wrapText="1"/>
    </xf>
    <xf numFmtId="165" fontId="10" fillId="4" borderId="23" xfId="12" applyNumberFormat="1" applyFont="1" applyFill="1" applyBorder="1" applyAlignment="1">
      <alignment horizontal="right" vertical="center" wrapText="1"/>
    </xf>
    <xf numFmtId="165" fontId="17" fillId="4" borderId="6" xfId="0" applyNumberFormat="1" applyFont="1" applyFill="1" applyBorder="1" applyAlignment="1">
      <alignment horizontal="right" vertical="center"/>
    </xf>
    <xf numFmtId="165" fontId="10" fillId="4" borderId="21" xfId="12" applyNumberFormat="1" applyFont="1" applyFill="1" applyBorder="1" applyAlignment="1">
      <alignment horizontal="right" vertical="center" wrapText="1"/>
    </xf>
    <xf numFmtId="0" fontId="2" fillId="4" borderId="15" xfId="0" applyFont="1" applyFill="1" applyBorder="1" applyAlignment="1">
      <alignment horizontal="center" vertical="center" wrapText="1"/>
    </xf>
    <xf numFmtId="165" fontId="47" fillId="4" borderId="16" xfId="12" applyNumberFormat="1" applyFont="1" applyFill="1" applyBorder="1" applyAlignment="1">
      <alignment horizontal="center" vertical="top" wrapText="1"/>
    </xf>
    <xf numFmtId="43" fontId="10" fillId="4" borderId="13" xfId="12" applyNumberFormat="1" applyFont="1" applyFill="1" applyBorder="1" applyAlignment="1">
      <alignment horizontal="right" vertical="center" wrapText="1"/>
    </xf>
    <xf numFmtId="165" fontId="10" fillId="4" borderId="13" xfId="12" applyNumberFormat="1" applyFont="1" applyFill="1" applyBorder="1" applyAlignment="1">
      <alignment horizontal="right" vertical="center" wrapText="1"/>
    </xf>
    <xf numFmtId="165" fontId="10" fillId="4" borderId="17" xfId="12" applyNumberFormat="1" applyFont="1" applyFill="1" applyBorder="1" applyAlignment="1">
      <alignment horizontal="right" vertical="center" wrapText="1"/>
    </xf>
    <xf numFmtId="165" fontId="17" fillId="4" borderId="15" xfId="0" applyNumberFormat="1" applyFont="1" applyFill="1" applyBorder="1" applyAlignment="1">
      <alignment horizontal="right" vertical="center"/>
    </xf>
    <xf numFmtId="165" fontId="10" fillId="4" borderId="16" xfId="12" applyNumberFormat="1" applyFont="1" applyFill="1" applyBorder="1" applyAlignment="1">
      <alignment horizontal="right" vertical="center" wrapText="1"/>
    </xf>
    <xf numFmtId="0" fontId="2" fillId="5" borderId="11" xfId="0" applyFont="1" applyFill="1" applyBorder="1" applyAlignment="1">
      <alignment horizontal="center" vertical="center" wrapText="1"/>
    </xf>
    <xf numFmtId="165" fontId="47" fillId="5" borderId="18" xfId="12" applyNumberFormat="1" applyFont="1" applyFill="1" applyBorder="1" applyAlignment="1">
      <alignment horizontal="center" vertical="top" wrapText="1"/>
    </xf>
    <xf numFmtId="43" fontId="10" fillId="5" borderId="8" xfId="12" applyNumberFormat="1" applyFont="1" applyFill="1" applyBorder="1" applyAlignment="1">
      <alignment horizontal="right" vertical="center" wrapText="1"/>
    </xf>
    <xf numFmtId="165" fontId="10" fillId="5" borderId="13" xfId="12" applyNumberFormat="1" applyFont="1" applyFill="1" applyBorder="1" applyAlignment="1">
      <alignment horizontal="right" vertical="center" wrapText="1"/>
    </xf>
    <xf numFmtId="165" fontId="10" fillId="5" borderId="8" xfId="12" applyNumberFormat="1" applyFont="1" applyFill="1" applyBorder="1" applyAlignment="1">
      <alignment horizontal="right" vertical="center" wrapText="1"/>
    </xf>
    <xf numFmtId="165" fontId="10" fillId="5" borderId="19" xfId="12" applyNumberFormat="1" applyFont="1" applyFill="1" applyBorder="1" applyAlignment="1">
      <alignment horizontal="right" vertical="center" wrapText="1"/>
    </xf>
    <xf numFmtId="165" fontId="17" fillId="5" borderId="11" xfId="0" applyNumberFormat="1" applyFont="1" applyFill="1" applyBorder="1" applyAlignment="1">
      <alignment horizontal="right" vertical="center"/>
    </xf>
    <xf numFmtId="165" fontId="10" fillId="5" borderId="18" xfId="12" applyNumberFormat="1" applyFont="1" applyFill="1" applyBorder="1" applyAlignment="1">
      <alignment horizontal="right" vertical="center" wrapText="1"/>
    </xf>
    <xf numFmtId="1" fontId="0" fillId="5" borderId="13" xfId="0" applyNumberFormat="1" applyFont="1" applyFill="1" applyBorder="1" applyAlignment="1">
      <alignment horizontal="right" vertical="center"/>
    </xf>
    <xf numFmtId="165" fontId="10" fillId="5" borderId="20" xfId="12" applyNumberFormat="1" applyFont="1" applyFill="1" applyBorder="1" applyAlignment="1">
      <alignment horizontal="right" vertical="center" wrapText="1"/>
    </xf>
    <xf numFmtId="165" fontId="17" fillId="2" borderId="28" xfId="0" applyNumberFormat="1" applyFont="1" applyFill="1" applyBorder="1" applyAlignment="1">
      <alignment horizontal="right" vertical="center"/>
    </xf>
    <xf numFmtId="165" fontId="17" fillId="5" borderId="28" xfId="0" applyNumberFormat="1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center" vertical="center" wrapText="1"/>
    </xf>
    <xf numFmtId="165" fontId="10" fillId="5" borderId="29" xfId="12" applyNumberFormat="1" applyFont="1" applyFill="1" applyBorder="1" applyAlignment="1">
      <alignment horizontal="right" vertical="center" wrapText="1"/>
    </xf>
    <xf numFmtId="165" fontId="10" fillId="5" borderId="30" xfId="12" applyNumberFormat="1" applyFont="1" applyFill="1" applyBorder="1" applyAlignment="1">
      <alignment horizontal="right" vertical="center" wrapText="1"/>
    </xf>
    <xf numFmtId="165" fontId="10" fillId="5" borderId="22" xfId="12" applyNumberFormat="1" applyFont="1" applyFill="1" applyBorder="1" applyAlignment="1">
      <alignment horizontal="right" vertical="center" wrapText="1"/>
    </xf>
    <xf numFmtId="1" fontId="0" fillId="5" borderId="22" xfId="0" applyNumberFormat="1" applyFont="1" applyFill="1" applyBorder="1" applyAlignment="1">
      <alignment horizontal="right" vertical="center"/>
    </xf>
    <xf numFmtId="165" fontId="10" fillId="5" borderId="24" xfId="12" applyNumberFormat="1" applyFont="1" applyFill="1" applyBorder="1" applyAlignment="1">
      <alignment horizontal="right" vertical="center" wrapText="1"/>
    </xf>
    <xf numFmtId="165" fontId="10" fillId="3" borderId="13" xfId="12" applyNumberFormat="1" applyFont="1" applyFill="1" applyBorder="1" applyAlignment="1">
      <alignment horizontal="right" vertical="center" wrapText="1"/>
    </xf>
    <xf numFmtId="1" fontId="0" fillId="3" borderId="13" xfId="0" applyNumberFormat="1" applyFont="1" applyFill="1" applyBorder="1" applyAlignment="1">
      <alignment horizontal="right" vertical="center"/>
    </xf>
    <xf numFmtId="165" fontId="18" fillId="3" borderId="13" xfId="12" applyNumberFormat="1" applyFont="1" applyFill="1" applyBorder="1" applyAlignment="1">
      <alignment horizontal="right" vertical="center" wrapText="1"/>
    </xf>
    <xf numFmtId="165" fontId="10" fillId="3" borderId="31" xfId="12" applyNumberFormat="1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center" vertical="center" wrapText="1"/>
    </xf>
    <xf numFmtId="165" fontId="47" fillId="5" borderId="32" xfId="12" applyNumberFormat="1" applyFont="1" applyFill="1" applyBorder="1" applyAlignment="1">
      <alignment horizontal="center" vertical="top" wrapText="1"/>
    </xf>
    <xf numFmtId="43" fontId="10" fillId="5" borderId="29" xfId="12" applyNumberFormat="1" applyFont="1" applyFill="1" applyBorder="1" applyAlignment="1">
      <alignment horizontal="right" vertical="center" wrapText="1"/>
    </xf>
    <xf numFmtId="165" fontId="10" fillId="5" borderId="32" xfId="12" applyNumberFormat="1" applyFont="1" applyFill="1" applyBorder="1" applyAlignment="1">
      <alignment horizontal="right" vertical="center" wrapText="1"/>
    </xf>
    <xf numFmtId="165" fontId="47" fillId="5" borderId="33" xfId="12" applyNumberFormat="1" applyFont="1" applyFill="1" applyBorder="1" applyAlignment="1">
      <alignment horizontal="center" vertical="top" wrapText="1"/>
    </xf>
    <xf numFmtId="43" fontId="10" fillId="5" borderId="34" xfId="12" applyNumberFormat="1" applyFont="1" applyFill="1" applyBorder="1" applyAlignment="1">
      <alignment horizontal="right" vertical="center" wrapText="1"/>
    </xf>
    <xf numFmtId="165" fontId="10" fillId="5" borderId="34" xfId="12" applyNumberFormat="1" applyFont="1" applyFill="1" applyBorder="1" applyAlignment="1">
      <alignment horizontal="right" vertical="center" wrapText="1"/>
    </xf>
    <xf numFmtId="165" fontId="17" fillId="5" borderId="35" xfId="0" applyNumberFormat="1" applyFont="1" applyFill="1" applyBorder="1" applyAlignment="1">
      <alignment horizontal="right" vertical="center"/>
    </xf>
    <xf numFmtId="165" fontId="10" fillId="5" borderId="33" xfId="12" applyNumberFormat="1" applyFont="1" applyFill="1" applyBorder="1" applyAlignment="1">
      <alignment horizontal="right" vertical="center" wrapText="1"/>
    </xf>
    <xf numFmtId="165" fontId="10" fillId="5" borderId="36" xfId="12" applyNumberFormat="1" applyFont="1" applyFill="1" applyBorder="1" applyAlignment="1">
      <alignment horizontal="right" vertical="center" wrapText="1"/>
    </xf>
    <xf numFmtId="165" fontId="17" fillId="2" borderId="35" xfId="0" applyNumberFormat="1" applyFont="1" applyFill="1" applyBorder="1" applyAlignment="1">
      <alignment horizontal="right" vertical="center"/>
    </xf>
    <xf numFmtId="1" fontId="0" fillId="5" borderId="1" xfId="0" applyNumberFormat="1" applyFont="1" applyFill="1" applyBorder="1" applyAlignment="1">
      <alignment horizontal="right" vertical="center"/>
    </xf>
    <xf numFmtId="165" fontId="10" fillId="5" borderId="37" xfId="12" applyNumberFormat="1" applyFont="1" applyFill="1" applyBorder="1" applyAlignment="1">
      <alignment horizontal="right" vertical="center" wrapText="1"/>
    </xf>
    <xf numFmtId="1" fontId="0" fillId="5" borderId="37" xfId="0" applyNumberFormat="1" applyFont="1" applyFill="1" applyBorder="1" applyAlignment="1">
      <alignment horizontal="right" vertical="center"/>
    </xf>
    <xf numFmtId="165" fontId="10" fillId="5" borderId="38" xfId="12" applyNumberFormat="1" applyFont="1" applyFill="1" applyBorder="1" applyAlignment="1">
      <alignment horizontal="right" vertical="center" wrapText="1"/>
    </xf>
    <xf numFmtId="165" fontId="10" fillId="5" borderId="39" xfId="12" applyNumberFormat="1" applyFont="1" applyFill="1" applyBorder="1" applyAlignment="1">
      <alignment horizontal="right" vertical="center" wrapText="1"/>
    </xf>
    <xf numFmtId="165" fontId="10" fillId="5" borderId="27" xfId="12" applyNumberFormat="1" applyFont="1" applyFill="1" applyBorder="1" applyAlignment="1">
      <alignment horizontal="right" vertical="center" wrapText="1"/>
    </xf>
    <xf numFmtId="1" fontId="0" fillId="5" borderId="27" xfId="0" applyNumberFormat="1" applyFont="1" applyFill="1" applyBorder="1" applyAlignment="1">
      <alignment horizontal="right" vertical="center"/>
    </xf>
    <xf numFmtId="165" fontId="10" fillId="5" borderId="40" xfId="12" applyNumberFormat="1" applyFont="1" applyFill="1" applyBorder="1" applyAlignment="1">
      <alignment horizontal="right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10" fillId="3" borderId="27" xfId="12" applyNumberFormat="1" applyFont="1" applyFill="1" applyBorder="1" applyAlignment="1">
      <alignment horizontal="right" vertical="center" wrapText="1"/>
    </xf>
    <xf numFmtId="165" fontId="10" fillId="3" borderId="42" xfId="12" applyNumberFormat="1" applyFont="1" applyFill="1" applyBorder="1" applyAlignment="1">
      <alignment horizontal="right" vertical="center" wrapText="1"/>
    </xf>
    <xf numFmtId="165" fontId="17" fillId="3" borderId="41" xfId="0" applyNumberFormat="1" applyFont="1" applyFill="1" applyBorder="1" applyAlignment="1">
      <alignment horizontal="right" vertical="center"/>
    </xf>
    <xf numFmtId="165" fontId="10" fillId="3" borderId="26" xfId="12" applyNumberFormat="1" applyFont="1" applyFill="1" applyBorder="1" applyAlignment="1">
      <alignment horizontal="right" vertical="center" wrapText="1"/>
    </xf>
    <xf numFmtId="165" fontId="17" fillId="2" borderId="41" xfId="0" applyNumberFormat="1" applyFont="1" applyFill="1" applyBorder="1" applyAlignment="1">
      <alignment horizontal="right" vertical="center"/>
    </xf>
    <xf numFmtId="1" fontId="0" fillId="3" borderId="27" xfId="0" applyNumberFormat="1" applyFont="1" applyFill="1" applyBorder="1" applyAlignment="1">
      <alignment horizontal="right" vertical="center"/>
    </xf>
    <xf numFmtId="0" fontId="1" fillId="0" borderId="0" xfId="0" applyFont="1"/>
    <xf numFmtId="43" fontId="10" fillId="6" borderId="7" xfId="12" applyFont="1" applyFill="1" applyBorder="1" applyAlignment="1">
      <alignment horizontal="center" vertical="center" wrapText="1"/>
    </xf>
    <xf numFmtId="3" fontId="17" fillId="6" borderId="16" xfId="12" applyNumberFormat="1" applyFont="1" applyFill="1" applyBorder="1" applyAlignment="1">
      <alignment horizontal="center"/>
    </xf>
    <xf numFmtId="3" fontId="17" fillId="6" borderId="13" xfId="12" applyNumberFormat="1" applyFont="1" applyFill="1" applyBorder="1" applyAlignment="1">
      <alignment horizontal="right"/>
    </xf>
    <xf numFmtId="3" fontId="15" fillId="6" borderId="13" xfId="12" applyNumberFormat="1" applyFont="1" applyFill="1" applyBorder="1" applyAlignment="1">
      <alignment horizontal="right"/>
    </xf>
    <xf numFmtId="3" fontId="18" fillId="6" borderId="13" xfId="12" applyNumberFormat="1" applyFont="1" applyFill="1" applyBorder="1" applyAlignment="1">
      <alignment horizontal="right" wrapText="1"/>
    </xf>
    <xf numFmtId="3" fontId="15" fillId="6" borderId="17" xfId="12" applyNumberFormat="1" applyFont="1" applyFill="1" applyBorder="1" applyAlignment="1">
      <alignment horizontal="right"/>
    </xf>
    <xf numFmtId="3" fontId="18" fillId="6" borderId="15" xfId="0" applyNumberFormat="1" applyFont="1" applyFill="1" applyBorder="1" applyAlignment="1">
      <alignment horizontal="right" wrapText="1"/>
    </xf>
    <xf numFmtId="3" fontId="16" fillId="6" borderId="15" xfId="12" applyNumberFormat="1" applyFont="1" applyFill="1" applyBorder="1" applyAlignment="1">
      <alignment horizontal="right"/>
    </xf>
    <xf numFmtId="3" fontId="17" fillId="6" borderId="1" xfId="0" applyNumberFormat="1" applyFont="1" applyFill="1" applyBorder="1" applyAlignment="1">
      <alignment horizontal="right"/>
    </xf>
    <xf numFmtId="3" fontId="17" fillId="6" borderId="1" xfId="12" applyNumberFormat="1" applyFont="1" applyFill="1" applyBorder="1" applyAlignment="1">
      <alignment horizontal="right"/>
    </xf>
    <xf numFmtId="0" fontId="10" fillId="6" borderId="7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/>
    <xf numFmtId="3" fontId="15" fillId="6" borderId="1" xfId="0" applyNumberFormat="1" applyFont="1" applyFill="1" applyBorder="1" applyAlignment="1"/>
    <xf numFmtId="3" fontId="18" fillId="6" borderId="1" xfId="12" applyNumberFormat="1" applyFont="1" applyFill="1" applyBorder="1" applyAlignment="1">
      <alignment wrapText="1"/>
    </xf>
    <xf numFmtId="3" fontId="15" fillId="6" borderId="1" xfId="12" applyNumberFormat="1" applyFont="1" applyFill="1" applyBorder="1" applyAlignment="1"/>
    <xf numFmtId="3" fontId="15" fillId="6" borderId="5" xfId="0" applyNumberFormat="1" applyFont="1" applyFill="1" applyBorder="1" applyAlignment="1"/>
    <xf numFmtId="3" fontId="18" fillId="6" borderId="7" xfId="0" applyNumberFormat="1" applyFont="1" applyFill="1" applyBorder="1" applyAlignment="1">
      <alignment wrapText="1"/>
    </xf>
    <xf numFmtId="3" fontId="16" fillId="6" borderId="7" xfId="12" applyNumberFormat="1" applyFont="1" applyFill="1" applyBorder="1" applyAlignment="1"/>
    <xf numFmtId="0" fontId="50" fillId="0" borderId="0" xfId="0" applyFont="1"/>
    <xf numFmtId="3" fontId="21" fillId="0" borderId="43" xfId="9" applyNumberFormat="1" applyFont="1" applyFill="1" applyBorder="1" applyAlignment="1"/>
    <xf numFmtId="171" fontId="40" fillId="3" borderId="8" xfId="9" applyNumberFormat="1" applyFont="1" applyFill="1" applyBorder="1" applyAlignment="1">
      <alignment wrapText="1"/>
    </xf>
    <xf numFmtId="165" fontId="21" fillId="0" borderId="22" xfId="12" applyNumberFormat="1" applyFont="1" applyBorder="1" applyAlignment="1"/>
    <xf numFmtId="0" fontId="14" fillId="0" borderId="0" xfId="0" applyFont="1" applyFill="1" applyBorder="1" applyAlignment="1">
      <alignment vertical="top" wrapText="1"/>
    </xf>
    <xf numFmtId="0" fontId="14" fillId="0" borderId="43" xfId="0" applyFont="1" applyFill="1" applyBorder="1" applyAlignment="1">
      <alignment vertical="top" wrapText="1"/>
    </xf>
    <xf numFmtId="0" fontId="51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7" borderId="0" xfId="0" applyFont="1" applyFill="1"/>
    <xf numFmtId="0" fontId="51" fillId="0" borderId="0" xfId="0" applyFont="1" applyAlignment="1">
      <alignment horizontal="center" vertical="center"/>
    </xf>
    <xf numFmtId="1" fontId="51" fillId="0" borderId="7" xfId="12" applyNumberFormat="1" applyFont="1" applyFill="1" applyBorder="1" applyAlignment="1">
      <alignment horizontal="center" vertical="center"/>
    </xf>
    <xf numFmtId="1" fontId="51" fillId="6" borderId="15" xfId="12" applyNumberFormat="1" applyFont="1" applyFill="1" applyBorder="1" applyAlignment="1">
      <alignment horizontal="center" vertical="center"/>
    </xf>
    <xf numFmtId="1" fontId="51" fillId="0" borderId="15" xfId="12" applyNumberFormat="1" applyFont="1" applyFill="1" applyBorder="1" applyAlignment="1">
      <alignment horizontal="center" vertical="center"/>
    </xf>
    <xf numFmtId="1" fontId="51" fillId="6" borderId="7" xfId="0" applyNumberFormat="1" applyFont="1" applyFill="1" applyBorder="1" applyAlignment="1">
      <alignment horizontal="center" vertical="center"/>
    </xf>
    <xf numFmtId="1" fontId="51" fillId="3" borderId="11" xfId="0" applyNumberFormat="1" applyFont="1" applyFill="1" applyBorder="1" applyAlignment="1">
      <alignment horizontal="center" vertical="center"/>
    </xf>
    <xf numFmtId="1" fontId="51" fillId="0" borderId="0" xfId="0" applyNumberFormat="1" applyFont="1" applyAlignment="1">
      <alignment horizontal="center" vertical="center"/>
    </xf>
    <xf numFmtId="3" fontId="39" fillId="0" borderId="22" xfId="0" applyNumberFormat="1" applyFont="1" applyFill="1" applyBorder="1" applyAlignment="1">
      <alignment wrapText="1"/>
    </xf>
    <xf numFmtId="3" fontId="39" fillId="0" borderId="1" xfId="0" applyNumberFormat="1" applyFont="1" applyFill="1" applyBorder="1" applyAlignment="1">
      <alignment wrapText="1"/>
    </xf>
    <xf numFmtId="3" fontId="39" fillId="0" borderId="1" xfId="12" applyNumberFormat="1" applyFont="1" applyFill="1" applyBorder="1" applyAlignment="1">
      <alignment horizontal="right" wrapText="1"/>
    </xf>
    <xf numFmtId="3" fontId="51" fillId="6" borderId="13" xfId="12" applyNumberFormat="1" applyFont="1" applyFill="1" applyBorder="1" applyAlignment="1">
      <alignment horizontal="right"/>
    </xf>
    <xf numFmtId="3" fontId="51" fillId="6" borderId="1" xfId="0" applyNumberFormat="1" applyFont="1" applyFill="1" applyBorder="1" applyAlignment="1"/>
    <xf numFmtId="3" fontId="51" fillId="0" borderId="1" xfId="12" applyNumberFormat="1" applyFont="1" applyFill="1" applyBorder="1" applyAlignment="1">
      <alignment horizontal="right"/>
    </xf>
    <xf numFmtId="3" fontId="51" fillId="0" borderId="0" xfId="0" applyNumberFormat="1" applyFont="1" applyAlignment="1"/>
    <xf numFmtId="3" fontId="39" fillId="0" borderId="21" xfId="0" applyNumberFormat="1" applyFont="1" applyFill="1" applyBorder="1" applyAlignment="1">
      <alignment wrapText="1"/>
    </xf>
    <xf numFmtId="3" fontId="39" fillId="0" borderId="10" xfId="0" applyNumberFormat="1" applyFont="1" applyFill="1" applyBorder="1" applyAlignment="1">
      <alignment wrapText="1"/>
    </xf>
    <xf numFmtId="3" fontId="39" fillId="0" borderId="10" xfId="12" applyNumberFormat="1" applyFont="1" applyFill="1" applyBorder="1" applyAlignment="1">
      <alignment horizontal="right" wrapText="1"/>
    </xf>
    <xf numFmtId="3" fontId="51" fillId="6" borderId="16" xfId="12" applyNumberFormat="1" applyFont="1" applyFill="1" applyBorder="1" applyAlignment="1">
      <alignment horizontal="right"/>
    </xf>
    <xf numFmtId="3" fontId="51" fillId="6" borderId="10" xfId="0" applyNumberFormat="1" applyFont="1" applyFill="1" applyBorder="1" applyAlignment="1"/>
    <xf numFmtId="3" fontId="51" fillId="6" borderId="17" xfId="12" applyNumberFormat="1" applyFont="1" applyFill="1" applyBorder="1" applyAlignment="1">
      <alignment horizontal="right"/>
    </xf>
    <xf numFmtId="3" fontId="51" fillId="6" borderId="1" xfId="12" applyNumberFormat="1" applyFont="1" applyFill="1" applyBorder="1" applyAlignment="1"/>
    <xf numFmtId="3" fontId="51" fillId="0" borderId="22" xfId="0" applyNumberFormat="1" applyFont="1" applyFill="1" applyBorder="1" applyAlignment="1">
      <alignment horizontal="left"/>
    </xf>
    <xf numFmtId="3" fontId="51" fillId="6" borderId="1" xfId="12" applyNumberFormat="1" applyFont="1" applyFill="1" applyBorder="1" applyAlignment="1">
      <alignment horizontal="right"/>
    </xf>
    <xf numFmtId="0" fontId="51" fillId="0" borderId="0" xfId="0" applyFont="1" applyAlignment="1"/>
    <xf numFmtId="43" fontId="51" fillId="0" borderId="0" xfId="12" applyFont="1" applyBorder="1" applyAlignment="1"/>
    <xf numFmtId="43" fontId="51" fillId="0" borderId="0" xfId="12" applyFont="1"/>
    <xf numFmtId="3" fontId="51" fillId="8" borderId="0" xfId="0" applyNumberFormat="1" applyFont="1" applyFill="1"/>
    <xf numFmtId="0" fontId="51" fillId="0" borderId="0" xfId="0" applyFont="1" applyFill="1"/>
    <xf numFmtId="0" fontId="51" fillId="0" borderId="0" xfId="0" applyFont="1" applyAlignment="1">
      <alignment horizontal="right"/>
    </xf>
    <xf numFmtId="2" fontId="51" fillId="0" borderId="0" xfId="0" applyNumberFormat="1" applyFont="1"/>
    <xf numFmtId="166" fontId="51" fillId="0" borderId="0" xfId="0" applyNumberFormat="1" applyFont="1"/>
    <xf numFmtId="171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167" fontId="22" fillId="0" borderId="0" xfId="0" applyNumberFormat="1" applyFont="1" applyBorder="1" applyAlignment="1">
      <alignment vertical="center"/>
    </xf>
    <xf numFmtId="3" fontId="18" fillId="0" borderId="10" xfId="0" applyNumberFormat="1" applyFont="1" applyFill="1" applyBorder="1" applyAlignment="1">
      <alignment wrapText="1"/>
    </xf>
    <xf numFmtId="43" fontId="10" fillId="0" borderId="11" xfId="12" applyFont="1" applyFill="1" applyBorder="1" applyAlignment="1">
      <alignment horizontal="center" vertical="center" wrapText="1"/>
    </xf>
    <xf numFmtId="1" fontId="51" fillId="0" borderId="11" xfId="12" applyNumberFormat="1" applyFont="1" applyBorder="1" applyAlignment="1">
      <alignment horizontal="center" vertical="center"/>
    </xf>
    <xf numFmtId="3" fontId="17" fillId="0" borderId="8" xfId="12" applyNumberFormat="1" applyFont="1" applyFill="1" applyBorder="1" applyAlignment="1">
      <alignment horizontal="right"/>
    </xf>
    <xf numFmtId="3" fontId="15" fillId="0" borderId="8" xfId="12" applyNumberFormat="1" applyFont="1" applyFill="1" applyBorder="1" applyAlignment="1">
      <alignment horizontal="right"/>
    </xf>
    <xf numFmtId="3" fontId="51" fillId="0" borderId="8" xfId="12" applyNumberFormat="1" applyFont="1" applyFill="1" applyBorder="1" applyAlignment="1">
      <alignment horizontal="right"/>
    </xf>
    <xf numFmtId="3" fontId="17" fillId="0" borderId="8" xfId="0" applyNumberFormat="1" applyFont="1" applyFill="1" applyBorder="1" applyAlignment="1"/>
    <xf numFmtId="3" fontId="18" fillId="0" borderId="8" xfId="12" applyNumberFormat="1" applyFont="1" applyFill="1" applyBorder="1" applyAlignment="1">
      <alignment horizontal="right" wrapText="1"/>
    </xf>
    <xf numFmtId="172" fontId="15" fillId="0" borderId="8" xfId="12" applyNumberFormat="1" applyFont="1" applyFill="1" applyBorder="1" applyAlignment="1">
      <alignment horizontal="right"/>
    </xf>
    <xf numFmtId="172" fontId="15" fillId="0" borderId="19" xfId="12" applyNumberFormat="1" applyFont="1" applyFill="1" applyBorder="1" applyAlignment="1">
      <alignment horizontal="right"/>
    </xf>
    <xf numFmtId="3" fontId="15" fillId="0" borderId="19" xfId="12" applyNumberFormat="1" applyFont="1" applyFill="1" applyBorder="1" applyAlignment="1">
      <alignment horizontal="right"/>
    </xf>
    <xf numFmtId="3" fontId="18" fillId="0" borderId="11" xfId="0" applyNumberFormat="1" applyFont="1" applyFill="1" applyBorder="1" applyAlignment="1">
      <alignment horizontal="right" wrapText="1"/>
    </xf>
    <xf numFmtId="3" fontId="51" fillId="0" borderId="18" xfId="12" applyNumberFormat="1" applyFont="1" applyFill="1" applyBorder="1" applyAlignment="1">
      <alignment horizontal="right"/>
    </xf>
    <xf numFmtId="3" fontId="16" fillId="0" borderId="11" xfId="12" applyNumberFormat="1" applyFont="1" applyFill="1" applyBorder="1" applyAlignment="1">
      <alignment horizontal="right"/>
    </xf>
    <xf numFmtId="3" fontId="17" fillId="0" borderId="44" xfId="0" applyNumberFormat="1" applyFont="1" applyFill="1" applyBorder="1" applyAlignment="1">
      <alignment horizontal="right"/>
    </xf>
    <xf numFmtId="43" fontId="10" fillId="6" borderId="45" xfId="12" applyFont="1" applyFill="1" applyBorder="1" applyAlignment="1">
      <alignment horizontal="center" vertical="center" wrapText="1"/>
    </xf>
    <xf numFmtId="1" fontId="51" fillId="6" borderId="45" xfId="12" applyNumberFormat="1" applyFont="1" applyFill="1" applyBorder="1" applyAlignment="1">
      <alignment horizontal="center" vertical="center"/>
    </xf>
    <xf numFmtId="3" fontId="15" fillId="6" borderId="46" xfId="12" applyNumberFormat="1" applyFont="1" applyFill="1" applyBorder="1" applyAlignment="1">
      <alignment horizontal="right"/>
    </xf>
    <xf numFmtId="3" fontId="18" fillId="6" borderId="45" xfId="0" applyNumberFormat="1" applyFont="1" applyFill="1" applyBorder="1" applyAlignment="1">
      <alignment horizontal="right" wrapText="1"/>
    </xf>
    <xf numFmtId="3" fontId="16" fillId="6" borderId="45" xfId="12" applyNumberFormat="1" applyFont="1" applyFill="1" applyBorder="1" applyAlignment="1">
      <alignment horizontal="right"/>
    </xf>
    <xf numFmtId="43" fontId="10" fillId="4" borderId="47" xfId="12" applyFont="1" applyFill="1" applyBorder="1" applyAlignment="1">
      <alignment horizontal="center" vertical="center" wrapText="1"/>
    </xf>
    <xf numFmtId="1" fontId="51" fillId="3" borderId="47" xfId="0" applyNumberFormat="1" applyFont="1" applyFill="1" applyBorder="1" applyAlignment="1">
      <alignment horizontal="center" vertical="center"/>
    </xf>
    <xf numFmtId="3" fontId="17" fillId="3" borderId="43" xfId="0" applyNumberFormat="1" applyFont="1" applyFill="1" applyBorder="1" applyAlignment="1">
      <alignment horizontal="right"/>
    </xf>
    <xf numFmtId="3" fontId="15" fillId="3" borderId="43" xfId="0" applyNumberFormat="1" applyFont="1" applyFill="1" applyBorder="1" applyAlignment="1"/>
    <xf numFmtId="3" fontId="51" fillId="3" borderId="43" xfId="0" applyNumberFormat="1" applyFont="1" applyFill="1" applyBorder="1" applyAlignment="1">
      <alignment horizontal="right"/>
    </xf>
    <xf numFmtId="3" fontId="15" fillId="3" borderId="43" xfId="0" applyNumberFormat="1" applyFont="1" applyFill="1" applyBorder="1" applyAlignment="1">
      <alignment horizontal="right"/>
    </xf>
    <xf numFmtId="3" fontId="51" fillId="3" borderId="48" xfId="0" applyNumberFormat="1" applyFont="1" applyFill="1" applyBorder="1" applyAlignment="1">
      <alignment horizontal="right"/>
    </xf>
    <xf numFmtId="3" fontId="51" fillId="3" borderId="49" xfId="0" applyNumberFormat="1" applyFont="1" applyFill="1" applyBorder="1" applyAlignment="1">
      <alignment horizontal="right"/>
    </xf>
    <xf numFmtId="3" fontId="16" fillId="3" borderId="47" xfId="0" applyNumberFormat="1" applyFont="1" applyFill="1" applyBorder="1" applyAlignment="1">
      <alignment horizontal="right"/>
    </xf>
    <xf numFmtId="3" fontId="51" fillId="3" borderId="50" xfId="12" applyNumberFormat="1" applyFont="1" applyFill="1" applyBorder="1" applyAlignment="1">
      <alignment horizontal="right"/>
    </xf>
    <xf numFmtId="3" fontId="51" fillId="3" borderId="43" xfId="12" applyNumberFormat="1" applyFont="1" applyFill="1" applyBorder="1" applyAlignment="1"/>
    <xf numFmtId="3" fontId="17" fillId="3" borderId="43" xfId="12" applyNumberFormat="1" applyFont="1" applyFill="1" applyBorder="1" applyAlignment="1"/>
    <xf numFmtId="1" fontId="51" fillId="0" borderId="11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right"/>
    </xf>
    <xf numFmtId="3" fontId="51" fillId="0" borderId="8" xfId="0" applyNumberFormat="1" applyFont="1" applyFill="1" applyBorder="1" applyAlignment="1">
      <alignment horizontal="right"/>
    </xf>
    <xf numFmtId="3" fontId="51" fillId="0" borderId="18" xfId="0" applyNumberFormat="1" applyFont="1" applyFill="1" applyBorder="1" applyAlignment="1">
      <alignment horizontal="right"/>
    </xf>
    <xf numFmtId="3" fontId="51" fillId="0" borderId="19" xfId="0" applyNumberFormat="1" applyFont="1" applyFill="1" applyBorder="1" applyAlignment="1">
      <alignment horizontal="right"/>
    </xf>
    <xf numFmtId="0" fontId="11" fillId="0" borderId="43" xfId="10" applyFont="1" applyFill="1" applyBorder="1" applyAlignment="1">
      <alignment horizontal="center" vertical="center" wrapText="1"/>
    </xf>
    <xf numFmtId="1" fontId="38" fillId="0" borderId="43" xfId="9" applyNumberFormat="1" applyFont="1" applyFill="1" applyBorder="1" applyAlignment="1"/>
    <xf numFmtId="3" fontId="26" fillId="0" borderId="43" xfId="9" applyNumberFormat="1" applyFont="1" applyFill="1" applyBorder="1" applyAlignment="1">
      <alignment wrapText="1"/>
    </xf>
    <xf numFmtId="167" fontId="25" fillId="0" borderId="43" xfId="0" applyNumberFormat="1" applyFont="1" applyFill="1" applyBorder="1"/>
    <xf numFmtId="171" fontId="25" fillId="0" borderId="43" xfId="0" applyNumberFormat="1" applyFont="1" applyFill="1" applyBorder="1"/>
    <xf numFmtId="0" fontId="23" fillId="0" borderId="18" xfId="5" applyFont="1" applyFill="1" applyBorder="1" applyAlignment="1">
      <alignment horizontal="center" vertical="center" wrapText="1"/>
    </xf>
    <xf numFmtId="167" fontId="25" fillId="0" borderId="8" xfId="3" applyNumberFormat="1" applyFont="1" applyFill="1" applyBorder="1"/>
    <xf numFmtId="167" fontId="25" fillId="0" borderId="8" xfId="0" applyNumberFormat="1" applyFont="1" applyFill="1" applyBorder="1"/>
    <xf numFmtId="167" fontId="44" fillId="0" borderId="8" xfId="0" applyNumberFormat="1" applyFont="1" applyFill="1" applyBorder="1"/>
    <xf numFmtId="2" fontId="25" fillId="0" borderId="8" xfId="0" applyNumberFormat="1" applyFont="1" applyFill="1" applyBorder="1"/>
    <xf numFmtId="2" fontId="44" fillId="0" borderId="8" xfId="0" applyNumberFormat="1" applyFont="1" applyFill="1" applyBorder="1"/>
    <xf numFmtId="2" fontId="25" fillId="0" borderId="8" xfId="3" applyNumberFormat="1" applyFont="1" applyFill="1" applyBorder="1"/>
    <xf numFmtId="1" fontId="25" fillId="0" borderId="8" xfId="0" applyNumberFormat="1" applyFont="1" applyFill="1" applyBorder="1"/>
    <xf numFmtId="4" fontId="25" fillId="0" borderId="20" xfId="0" applyNumberFormat="1" applyFont="1" applyFill="1" applyBorder="1"/>
    <xf numFmtId="0" fontId="16" fillId="0" borderId="0" xfId="0" applyFont="1"/>
    <xf numFmtId="4" fontId="25" fillId="0" borderId="51" xfId="0" applyNumberFormat="1" applyFont="1" applyFill="1" applyBorder="1"/>
    <xf numFmtId="3" fontId="14" fillId="0" borderId="52" xfId="0" applyNumberFormat="1" applyFont="1" applyFill="1" applyBorder="1" applyAlignment="1">
      <alignment wrapText="1"/>
    </xf>
    <xf numFmtId="3" fontId="14" fillId="0" borderId="10" xfId="12" applyNumberFormat="1" applyFont="1" applyFill="1" applyBorder="1" applyAlignment="1">
      <alignment horizontal="right" wrapText="1"/>
    </xf>
    <xf numFmtId="3" fontId="15" fillId="6" borderId="16" xfId="12" applyNumberFormat="1" applyFont="1" applyFill="1" applyBorder="1" applyAlignment="1">
      <alignment horizontal="right"/>
    </xf>
    <xf numFmtId="171" fontId="51" fillId="9" borderId="43" xfId="12" applyNumberFormat="1" applyFont="1" applyFill="1" applyBorder="1" applyAlignment="1"/>
    <xf numFmtId="171" fontId="51" fillId="9" borderId="53" xfId="12" applyNumberFormat="1" applyFont="1" applyFill="1" applyBorder="1" applyAlignment="1"/>
    <xf numFmtId="0" fontId="11" fillId="0" borderId="0" xfId="0" applyFont="1"/>
    <xf numFmtId="0" fontId="9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54" xfId="0" applyFont="1" applyBorder="1" applyAlignment="1"/>
    <xf numFmtId="0" fontId="11" fillId="0" borderId="0" xfId="0" applyFont="1" applyAlignment="1">
      <alignment horizontal="justify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52" fillId="0" borderId="0" xfId="4" applyFont="1"/>
    <xf numFmtId="167" fontId="55" fillId="3" borderId="27" xfId="0" applyNumberFormat="1" applyFont="1" applyFill="1" applyBorder="1"/>
    <xf numFmtId="2" fontId="55" fillId="3" borderId="27" xfId="0" applyNumberFormat="1" applyFont="1" applyFill="1" applyBorder="1"/>
    <xf numFmtId="2" fontId="56" fillId="3" borderId="27" xfId="0" applyNumberFormat="1" applyFont="1" applyFill="1" applyBorder="1"/>
    <xf numFmtId="2" fontId="55" fillId="3" borderId="27" xfId="3" applyNumberFormat="1" applyFont="1" applyFill="1" applyBorder="1"/>
    <xf numFmtId="167" fontId="55" fillId="3" borderId="27" xfId="3" applyNumberFormat="1" applyFont="1" applyFill="1" applyBorder="1"/>
    <xf numFmtId="1" fontId="55" fillId="3" borderId="27" xfId="3" applyNumberFormat="1" applyFont="1" applyFill="1" applyBorder="1"/>
    <xf numFmtId="1" fontId="55" fillId="3" borderId="27" xfId="0" applyNumberFormat="1" applyFont="1" applyFill="1" applyBorder="1"/>
    <xf numFmtId="3" fontId="55" fillId="3" borderId="27" xfId="0" applyNumberFormat="1" applyFont="1" applyFill="1" applyBorder="1"/>
    <xf numFmtId="4" fontId="55" fillId="3" borderId="27" xfId="0" applyNumberFormat="1" applyFont="1" applyFill="1" applyBorder="1"/>
    <xf numFmtId="4" fontId="55" fillId="3" borderId="40" xfId="0" applyNumberFormat="1" applyFont="1" applyFill="1" applyBorder="1"/>
    <xf numFmtId="3" fontId="17" fillId="0" borderId="10" xfId="0" applyNumberFormat="1" applyFont="1" applyFill="1" applyBorder="1" applyAlignment="1"/>
    <xf numFmtId="3" fontId="17" fillId="0" borderId="18" xfId="12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/>
    <xf numFmtId="3" fontId="15" fillId="0" borderId="5" xfId="0" applyNumberFormat="1" applyFont="1" applyFill="1" applyBorder="1" applyAlignment="1"/>
    <xf numFmtId="3" fontId="15" fillId="0" borderId="46" xfId="12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/>
    <xf numFmtId="3" fontId="15" fillId="0" borderId="18" xfId="12" applyNumberFormat="1" applyFont="1" applyFill="1" applyBorder="1" applyAlignment="1">
      <alignment horizontal="right"/>
    </xf>
    <xf numFmtId="43" fontId="17" fillId="0" borderId="0" xfId="12" applyFont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0" xfId="4" applyFont="1"/>
    <xf numFmtId="0" fontId="10" fillId="8" borderId="0" xfId="4" applyFont="1" applyFill="1" applyAlignment="1">
      <alignment horizontal="center"/>
    </xf>
    <xf numFmtId="0" fontId="10" fillId="8" borderId="0" xfId="4" applyFont="1" applyFill="1" applyAlignment="1">
      <alignment horizontal="right"/>
    </xf>
    <xf numFmtId="0" fontId="10" fillId="0" borderId="0" xfId="4" applyFont="1"/>
    <xf numFmtId="0" fontId="10" fillId="8" borderId="0" xfId="4" applyFont="1" applyFill="1"/>
    <xf numFmtId="0" fontId="18" fillId="0" borderId="0" xfId="4" applyFont="1" applyFill="1" applyBorder="1" applyAlignment="1">
      <alignment horizontal="center" wrapText="1"/>
    </xf>
    <xf numFmtId="0" fontId="57" fillId="0" borderId="0" xfId="4" applyFont="1"/>
    <xf numFmtId="0" fontId="18" fillId="8" borderId="0" xfId="4" applyFont="1" applyFill="1" applyBorder="1" applyAlignment="1">
      <alignment horizontal="center" wrapText="1"/>
    </xf>
    <xf numFmtId="0" fontId="10" fillId="0" borderId="0" xfId="4" applyFont="1" applyAlignment="1">
      <alignment horizontal="center"/>
    </xf>
    <xf numFmtId="0" fontId="10" fillId="10" borderId="55" xfId="4" applyFont="1" applyFill="1" applyBorder="1" applyAlignment="1">
      <alignment horizontal="center"/>
    </xf>
    <xf numFmtId="0" fontId="18" fillId="0" borderId="56" xfId="4" applyFont="1" applyFill="1" applyBorder="1"/>
    <xf numFmtId="0" fontId="18" fillId="0" borderId="57" xfId="3" applyFont="1" applyBorder="1" applyAlignment="1">
      <alignment horizontal="center" wrapText="1"/>
    </xf>
    <xf numFmtId="0" fontId="18" fillId="0" borderId="57" xfId="4" applyFont="1" applyFill="1" applyBorder="1" applyAlignment="1">
      <alignment horizontal="center"/>
    </xf>
    <xf numFmtId="167" fontId="10" fillId="0" borderId="0" xfId="4" applyNumberFormat="1" applyFont="1" applyAlignment="1">
      <alignment horizontal="center"/>
    </xf>
    <xf numFmtId="167" fontId="10" fillId="8" borderId="0" xfId="4" applyNumberFormat="1" applyFont="1" applyFill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8" borderId="0" xfId="0" applyFont="1" applyFill="1" applyBorder="1" applyAlignment="1">
      <alignment vertical="center" wrapText="1"/>
    </xf>
    <xf numFmtId="4" fontId="10" fillId="0" borderId="0" xfId="4" applyNumberFormat="1" applyFont="1"/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0" fillId="0" borderId="58" xfId="4" applyFont="1" applyFill="1" applyBorder="1" applyAlignment="1">
      <alignment horizontal="center"/>
    </xf>
    <xf numFmtId="0" fontId="10" fillId="0" borderId="59" xfId="4" applyFont="1" applyFill="1" applyBorder="1" applyAlignment="1">
      <alignment horizontal="center"/>
    </xf>
    <xf numFmtId="0" fontId="10" fillId="10" borderId="60" xfId="4" applyFont="1" applyFill="1" applyBorder="1" applyAlignment="1">
      <alignment horizontal="center"/>
    </xf>
    <xf numFmtId="0" fontId="10" fillId="4" borderId="39" xfId="4" applyFont="1" applyFill="1" applyBorder="1"/>
    <xf numFmtId="0" fontId="10" fillId="4" borderId="27" xfId="4" applyFont="1" applyFill="1" applyBorder="1"/>
    <xf numFmtId="0" fontId="10" fillId="4" borderId="40" xfId="4" applyFont="1" applyFill="1" applyBorder="1"/>
    <xf numFmtId="0" fontId="10" fillId="0" borderId="0" xfId="4" applyFont="1" applyAlignment="1">
      <alignment horizontal="right" vertical="center"/>
    </xf>
    <xf numFmtId="49" fontId="10" fillId="0" borderId="0" xfId="4" applyNumberFormat="1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/>
    </xf>
    <xf numFmtId="0" fontId="10" fillId="0" borderId="0" xfId="4" applyFont="1" applyAlignment="1">
      <alignment horizontal="right"/>
    </xf>
    <xf numFmtId="0" fontId="1" fillId="0" borderId="0" xfId="3" applyNumberFormat="1" applyFont="1" applyFill="1" applyBorder="1" applyAlignment="1" applyProtection="1">
      <alignment horizontal="right" vertical="top"/>
    </xf>
    <xf numFmtId="0" fontId="10" fillId="4" borderId="61" xfId="4" applyFont="1" applyFill="1" applyBorder="1"/>
    <xf numFmtId="0" fontId="10" fillId="4" borderId="54" xfId="4" applyFont="1" applyFill="1" applyBorder="1"/>
    <xf numFmtId="0" fontId="10" fillId="4" borderId="0" xfId="4" applyFont="1" applyFill="1" applyBorder="1"/>
    <xf numFmtId="171" fontId="10" fillId="4" borderId="62" xfId="4" applyNumberFormat="1" applyFont="1" applyFill="1" applyBorder="1"/>
    <xf numFmtId="4" fontId="10" fillId="4" borderId="62" xfId="4" applyNumberFormat="1" applyFont="1" applyFill="1" applyBorder="1"/>
    <xf numFmtId="167" fontId="10" fillId="4" borderId="62" xfId="4" applyNumberFormat="1" applyFont="1" applyFill="1" applyBorder="1"/>
    <xf numFmtId="171" fontId="10" fillId="0" borderId="0" xfId="4" applyNumberFormat="1" applyFont="1" applyAlignment="1">
      <alignment horizontal="center"/>
    </xf>
    <xf numFmtId="167" fontId="22" fillId="0" borderId="0" xfId="4" applyNumberFormat="1" applyFont="1" applyFill="1" applyBorder="1"/>
    <xf numFmtId="4" fontId="10" fillId="0" borderId="0" xfId="4" applyNumberFormat="1" applyFont="1" applyAlignment="1">
      <alignment horizontal="center"/>
    </xf>
    <xf numFmtId="0" fontId="10" fillId="0" borderId="0" xfId="8" applyFont="1" applyAlignment="1">
      <alignment horizontal="center"/>
    </xf>
    <xf numFmtId="178" fontId="10" fillId="0" borderId="0" xfId="12" applyNumberFormat="1" applyFont="1" applyFill="1" applyBorder="1" applyAlignment="1" applyProtection="1"/>
    <xf numFmtId="43" fontId="10" fillId="0" borderId="0" xfId="12" applyFont="1" applyFill="1" applyBorder="1" applyAlignment="1" applyProtection="1"/>
    <xf numFmtId="0" fontId="10" fillId="0" borderId="0" xfId="8" applyFont="1"/>
    <xf numFmtId="171" fontId="10" fillId="4" borderId="63" xfId="4" applyNumberFormat="1" applyFont="1" applyFill="1" applyBorder="1"/>
    <xf numFmtId="4" fontId="10" fillId="4" borderId="63" xfId="4" applyNumberFormat="1" applyFont="1" applyFill="1" applyBorder="1"/>
    <xf numFmtId="0" fontId="10" fillId="0" borderId="64" xfId="3" applyFont="1" applyFill="1" applyBorder="1" applyAlignment="1">
      <alignment horizontal="center" vertical="center" wrapText="1"/>
    </xf>
    <xf numFmtId="0" fontId="10" fillId="0" borderId="65" xfId="3" applyNumberFormat="1" applyFont="1" applyFill="1" applyBorder="1" applyAlignment="1" applyProtection="1">
      <alignment horizontal="center" vertical="center" wrapText="1"/>
    </xf>
    <xf numFmtId="0" fontId="10" fillId="0" borderId="66" xfId="3" applyNumberFormat="1" applyFont="1" applyFill="1" applyBorder="1" applyAlignment="1" applyProtection="1">
      <alignment horizontal="center" vertical="center" wrapText="1"/>
    </xf>
    <xf numFmtId="0" fontId="10" fillId="0" borderId="67" xfId="3" applyFont="1" applyFill="1" applyBorder="1" applyAlignment="1">
      <alignment horizontal="center" vertical="center" wrapText="1"/>
    </xf>
    <xf numFmtId="0" fontId="10" fillId="0" borderId="68" xfId="3" applyNumberFormat="1" applyFont="1" applyFill="1" applyBorder="1" applyAlignment="1" applyProtection="1">
      <alignment horizontal="center" vertical="center" wrapText="1"/>
    </xf>
    <xf numFmtId="0" fontId="10" fillId="0" borderId="67" xfId="3" applyNumberFormat="1" applyFont="1" applyFill="1" applyBorder="1" applyAlignment="1" applyProtection="1">
      <alignment horizontal="center" vertical="center" wrapText="1"/>
    </xf>
    <xf numFmtId="0" fontId="10" fillId="0" borderId="69" xfId="3" applyFont="1" applyFill="1" applyBorder="1" applyAlignment="1">
      <alignment horizontal="center" vertical="center" wrapText="1"/>
    </xf>
    <xf numFmtId="0" fontId="10" fillId="0" borderId="70" xfId="3" applyFont="1" applyFill="1" applyBorder="1" applyAlignment="1">
      <alignment horizontal="center" vertical="center" wrapText="1"/>
    </xf>
    <xf numFmtId="0" fontId="10" fillId="0" borderId="54" xfId="3" applyFont="1" applyFill="1" applyBorder="1" applyAlignment="1">
      <alignment horizontal="center" vertical="center" wrapText="1"/>
    </xf>
    <xf numFmtId="0" fontId="10" fillId="0" borderId="71" xfId="3" applyFont="1" applyFill="1" applyBorder="1" applyAlignment="1">
      <alignment horizontal="center" vertical="center" wrapText="1"/>
    </xf>
    <xf numFmtId="0" fontId="10" fillId="0" borderId="65" xfId="3" applyFont="1" applyFill="1" applyBorder="1" applyAlignment="1">
      <alignment horizontal="center"/>
    </xf>
    <xf numFmtId="0" fontId="10" fillId="0" borderId="66" xfId="3" applyFont="1" applyFill="1" applyBorder="1" applyAlignment="1">
      <alignment horizontal="center"/>
    </xf>
    <xf numFmtId="0" fontId="10" fillId="0" borderId="67" xfId="3" applyFont="1" applyFill="1" applyBorder="1" applyAlignment="1">
      <alignment horizontal="center"/>
    </xf>
    <xf numFmtId="0" fontId="10" fillId="0" borderId="70" xfId="3" applyFont="1" applyFill="1" applyBorder="1" applyAlignment="1">
      <alignment horizontal="center"/>
    </xf>
    <xf numFmtId="0" fontId="10" fillId="0" borderId="54" xfId="3" applyFont="1" applyFill="1" applyBorder="1" applyAlignment="1">
      <alignment horizontal="center"/>
    </xf>
    <xf numFmtId="0" fontId="10" fillId="0" borderId="71" xfId="3" applyFont="1" applyFill="1" applyBorder="1" applyAlignment="1">
      <alignment horizontal="center"/>
    </xf>
    <xf numFmtId="0" fontId="10" fillId="0" borderId="64" xfId="3" applyFont="1" applyFill="1" applyBorder="1" applyAlignment="1">
      <alignment horizontal="center"/>
    </xf>
    <xf numFmtId="0" fontId="10" fillId="0" borderId="68" xfId="3" applyFont="1" applyFill="1" applyBorder="1" applyAlignment="1">
      <alignment horizontal="center"/>
    </xf>
    <xf numFmtId="167" fontId="10" fillId="4" borderId="21" xfId="3" applyNumberFormat="1" applyFont="1" applyFill="1" applyBorder="1" applyAlignment="1">
      <alignment horizontal="center"/>
    </xf>
    <xf numFmtId="167" fontId="10" fillId="4" borderId="10" xfId="3" applyNumberFormat="1" applyFont="1" applyFill="1" applyBorder="1" applyAlignment="1">
      <alignment horizontal="center"/>
    </xf>
    <xf numFmtId="167" fontId="10" fillId="4" borderId="22" xfId="3" applyNumberFormat="1" applyFont="1" applyFill="1" applyBorder="1" applyAlignment="1">
      <alignment horizontal="center"/>
    </xf>
    <xf numFmtId="167" fontId="10" fillId="4" borderId="1" xfId="3" applyNumberFormat="1" applyFont="1" applyFill="1" applyBorder="1" applyAlignment="1">
      <alignment horizontal="center"/>
    </xf>
    <xf numFmtId="167" fontId="10" fillId="4" borderId="68" xfId="3" applyNumberFormat="1" applyFont="1" applyFill="1" applyBorder="1" applyAlignment="1">
      <alignment horizontal="center"/>
    </xf>
    <xf numFmtId="167" fontId="10" fillId="4" borderId="72" xfId="3" applyNumberFormat="1" applyFont="1" applyFill="1" applyBorder="1" applyAlignment="1">
      <alignment horizontal="center"/>
    </xf>
    <xf numFmtId="167" fontId="10" fillId="4" borderId="73" xfId="3" applyNumberFormat="1" applyFont="1" applyFill="1" applyBorder="1" applyAlignment="1">
      <alignment horizontal="center"/>
    </xf>
    <xf numFmtId="167" fontId="10" fillId="4" borderId="74" xfId="3" applyNumberFormat="1" applyFont="1" applyFill="1" applyBorder="1" applyAlignment="1">
      <alignment horizontal="center"/>
    </xf>
    <xf numFmtId="167" fontId="10" fillId="4" borderId="75" xfId="3" applyNumberFormat="1" applyFont="1" applyFill="1" applyBorder="1" applyAlignment="1">
      <alignment horizontal="center"/>
    </xf>
    <xf numFmtId="167" fontId="10" fillId="4" borderId="76" xfId="3" applyNumberFormat="1" applyFont="1" applyFill="1" applyBorder="1" applyAlignment="1">
      <alignment horizontal="center"/>
    </xf>
    <xf numFmtId="0" fontId="10" fillId="4" borderId="28" xfId="3" applyFont="1" applyFill="1" applyBorder="1" applyAlignment="1">
      <alignment horizontal="center" vertical="center" wrapText="1"/>
    </xf>
    <xf numFmtId="0" fontId="10" fillId="4" borderId="6" xfId="3" applyNumberFormat="1" applyFont="1" applyFill="1" applyBorder="1" applyAlignment="1" applyProtection="1">
      <alignment horizontal="center" vertical="center" wrapText="1"/>
    </xf>
    <xf numFmtId="0" fontId="10" fillId="4" borderId="7" xfId="3" applyNumberFormat="1" applyFont="1" applyFill="1" applyBorder="1" applyAlignment="1" applyProtection="1">
      <alignment horizontal="center" vertical="center" wrapText="1"/>
    </xf>
    <xf numFmtId="0" fontId="10" fillId="4" borderId="6" xfId="3" applyFont="1" applyFill="1" applyBorder="1" applyAlignment="1">
      <alignment horizontal="center"/>
    </xf>
    <xf numFmtId="0" fontId="10" fillId="4" borderId="7" xfId="3" applyFont="1" applyFill="1" applyBorder="1" applyAlignment="1">
      <alignment horizontal="center"/>
    </xf>
    <xf numFmtId="0" fontId="10" fillId="4" borderId="28" xfId="3" applyFont="1" applyFill="1" applyBorder="1" applyAlignment="1">
      <alignment horizontal="center"/>
    </xf>
    <xf numFmtId="0" fontId="18" fillId="0" borderId="0" xfId="3" applyFont="1" applyFill="1" applyBorder="1" applyAlignment="1">
      <alignment vertical="center"/>
    </xf>
    <xf numFmtId="0" fontId="4" fillId="0" borderId="0" xfId="4" applyFont="1" applyFill="1"/>
    <xf numFmtId="0" fontId="10" fillId="0" borderId="0" xfId="6" applyNumberFormat="1" applyFont="1" applyFill="1" applyBorder="1" applyAlignment="1" applyProtection="1">
      <alignment vertical="top"/>
    </xf>
    <xf numFmtId="0" fontId="39" fillId="0" borderId="0" xfId="6" applyNumberFormat="1" applyFont="1" applyFill="1" applyBorder="1" applyAlignment="1" applyProtection="1">
      <alignment vertical="top"/>
    </xf>
    <xf numFmtId="0" fontId="39" fillId="0" borderId="0" xfId="3" applyFont="1"/>
    <xf numFmtId="0" fontId="7" fillId="0" borderId="0" xfId="4" applyFont="1"/>
    <xf numFmtId="0" fontId="58" fillId="0" borderId="0" xfId="6" applyNumberFormat="1" applyFont="1" applyFill="1" applyBorder="1" applyAlignment="1" applyProtection="1">
      <alignment horizontal="right" vertical="top"/>
    </xf>
    <xf numFmtId="0" fontId="39" fillId="0" borderId="0" xfId="3" applyNumberFormat="1" applyFont="1" applyFill="1" applyBorder="1" applyAlignment="1" applyProtection="1">
      <alignment vertical="top"/>
    </xf>
    <xf numFmtId="0" fontId="59" fillId="0" borderId="0" xfId="4" applyFont="1"/>
    <xf numFmtId="0" fontId="10" fillId="0" borderId="0" xfId="3" applyNumberFormat="1" applyFont="1" applyFill="1" applyBorder="1" applyAlignment="1" applyProtection="1">
      <alignment vertical="top"/>
    </xf>
    <xf numFmtId="0" fontId="10" fillId="0" borderId="0" xfId="3" applyNumberFormat="1" applyFont="1" applyFill="1" applyBorder="1" applyAlignment="1" applyProtection="1">
      <alignment horizontal="right" vertical="top"/>
    </xf>
    <xf numFmtId="0" fontId="10" fillId="0" borderId="77" xfId="3" applyNumberFormat="1" applyFont="1" applyFill="1" applyBorder="1" applyAlignment="1" applyProtection="1">
      <alignment horizontal="center" vertical="top"/>
    </xf>
    <xf numFmtId="0" fontId="10" fillId="0" borderId="78" xfId="3" applyNumberFormat="1" applyFont="1" applyFill="1" applyBorder="1" applyAlignment="1" applyProtection="1">
      <alignment horizontal="center" vertical="center" wrapText="1"/>
    </xf>
    <xf numFmtId="0" fontId="10" fillId="0" borderId="79" xfId="3" applyNumberFormat="1" applyFont="1" applyFill="1" applyBorder="1" applyAlignment="1" applyProtection="1">
      <alignment horizontal="center" vertical="center" wrapText="1"/>
    </xf>
    <xf numFmtId="0" fontId="10" fillId="0" borderId="80" xfId="3" applyNumberFormat="1" applyFont="1" applyFill="1" applyBorder="1" applyAlignment="1" applyProtection="1">
      <alignment horizontal="center" vertical="center" wrapText="1"/>
    </xf>
    <xf numFmtId="0" fontId="10" fillId="0" borderId="2" xfId="3" applyNumberFormat="1" applyFont="1" applyFill="1" applyBorder="1" applyAlignment="1" applyProtection="1">
      <alignment horizontal="center" vertical="center" wrapText="1"/>
    </xf>
    <xf numFmtId="0" fontId="10" fillId="0" borderId="81" xfId="3" applyNumberFormat="1" applyFont="1" applyFill="1" applyBorder="1" applyAlignment="1" applyProtection="1">
      <alignment horizontal="center" vertical="top"/>
    </xf>
    <xf numFmtId="0" fontId="10" fillId="0" borderId="82" xfId="3" applyNumberFormat="1" applyFont="1" applyFill="1" applyBorder="1" applyAlignment="1" applyProtection="1">
      <alignment horizontal="center" vertical="center" wrapText="1"/>
    </xf>
    <xf numFmtId="0" fontId="10" fillId="0" borderId="83" xfId="3" applyNumberFormat="1" applyFont="1" applyFill="1" applyBorder="1" applyAlignment="1" applyProtection="1">
      <alignment horizontal="center" vertical="center" wrapText="1"/>
    </xf>
    <xf numFmtId="0" fontId="10" fillId="0" borderId="84" xfId="3" applyNumberFormat="1" applyFont="1" applyFill="1" applyBorder="1" applyAlignment="1" applyProtection="1">
      <alignment horizontal="center" vertical="center" wrapText="1"/>
    </xf>
    <xf numFmtId="0" fontId="32" fillId="0" borderId="79" xfId="3" applyNumberFormat="1" applyFont="1" applyFill="1" applyBorder="1" applyAlignment="1" applyProtection="1">
      <alignment horizontal="center" vertical="top"/>
    </xf>
    <xf numFmtId="0" fontId="32" fillId="0" borderId="77" xfId="3" applyNumberFormat="1" applyFont="1" applyFill="1" applyBorder="1" applyAlignment="1" applyProtection="1">
      <alignment horizontal="center" vertical="top"/>
    </xf>
    <xf numFmtId="0" fontId="32" fillId="0" borderId="80" xfId="3" applyNumberFormat="1" applyFont="1" applyFill="1" applyBorder="1" applyAlignment="1" applyProtection="1">
      <alignment horizontal="center" vertical="top"/>
    </xf>
    <xf numFmtId="0" fontId="32" fillId="0" borderId="85" xfId="3" applyNumberFormat="1" applyFont="1" applyFill="1" applyBorder="1" applyAlignment="1" applyProtection="1">
      <alignment horizontal="center" vertical="top"/>
    </xf>
    <xf numFmtId="0" fontId="32" fillId="0" borderId="86" xfId="3" applyNumberFormat="1" applyFont="1" applyFill="1" applyBorder="1" applyAlignment="1" applyProtection="1">
      <alignment horizontal="center" vertical="top"/>
    </xf>
    <xf numFmtId="0" fontId="32" fillId="0" borderId="2" xfId="3" applyNumberFormat="1" applyFont="1" applyFill="1" applyBorder="1" applyAlignment="1" applyProtection="1">
      <alignment horizontal="center" vertical="top"/>
    </xf>
    <xf numFmtId="0" fontId="32" fillId="0" borderId="87" xfId="3" applyNumberFormat="1" applyFont="1" applyFill="1" applyBorder="1" applyAlignment="1" applyProtection="1">
      <alignment horizontal="center" vertical="top"/>
    </xf>
    <xf numFmtId="0" fontId="32" fillId="0" borderId="88" xfId="3" applyNumberFormat="1" applyFont="1" applyFill="1" applyBorder="1" applyAlignment="1" applyProtection="1">
      <alignment horizontal="center" vertical="top"/>
    </xf>
    <xf numFmtId="0" fontId="32" fillId="0" borderId="89" xfId="3" applyFont="1" applyBorder="1" applyAlignment="1">
      <alignment horizontal="center" wrapText="1"/>
    </xf>
    <xf numFmtId="0" fontId="39" fillId="0" borderId="90" xfId="3" applyFont="1" applyBorder="1" applyAlignment="1">
      <alignment wrapText="1"/>
    </xf>
    <xf numFmtId="167" fontId="32" fillId="0" borderId="89" xfId="3" applyNumberFormat="1" applyFont="1" applyFill="1" applyBorder="1" applyAlignment="1">
      <alignment horizontal="center"/>
    </xf>
    <xf numFmtId="167" fontId="32" fillId="0" borderId="62" xfId="3" applyNumberFormat="1" applyFont="1" applyFill="1" applyBorder="1" applyAlignment="1">
      <alignment horizontal="center"/>
    </xf>
    <xf numFmtId="167" fontId="32" fillId="0" borderId="90" xfId="3" applyNumberFormat="1" applyFont="1" applyFill="1" applyBorder="1" applyAlignment="1">
      <alignment horizontal="center"/>
    </xf>
    <xf numFmtId="1" fontId="32" fillId="0" borderId="62" xfId="3" applyNumberFormat="1" applyFont="1" applyFill="1" applyBorder="1" applyAlignment="1">
      <alignment horizontal="center"/>
    </xf>
    <xf numFmtId="1" fontId="32" fillId="0" borderId="90" xfId="3" applyNumberFormat="1" applyFont="1" applyFill="1" applyBorder="1" applyAlignment="1">
      <alignment horizontal="center"/>
    </xf>
    <xf numFmtId="167" fontId="60" fillId="0" borderId="89" xfId="3" applyNumberFormat="1" applyFont="1" applyFill="1" applyBorder="1" applyAlignment="1">
      <alignment horizontal="center"/>
    </xf>
    <xf numFmtId="1" fontId="60" fillId="0" borderId="62" xfId="3" applyNumberFormat="1" applyFont="1" applyFill="1" applyBorder="1" applyAlignment="1">
      <alignment horizontal="center"/>
    </xf>
    <xf numFmtId="167" fontId="60" fillId="0" borderId="62" xfId="3" applyNumberFormat="1" applyFont="1" applyFill="1" applyBorder="1" applyAlignment="1">
      <alignment horizontal="center"/>
    </xf>
    <xf numFmtId="167" fontId="60" fillId="0" borderId="90" xfId="3" applyNumberFormat="1" applyFont="1" applyFill="1" applyBorder="1" applyAlignment="1">
      <alignment horizontal="center"/>
    </xf>
    <xf numFmtId="167" fontId="60" fillId="0" borderId="63" xfId="3" applyNumberFormat="1" applyFont="1" applyFill="1" applyBorder="1" applyAlignment="1">
      <alignment horizontal="center"/>
    </xf>
    <xf numFmtId="167" fontId="60" fillId="0" borderId="91" xfId="3" applyNumberFormat="1" applyFont="1" applyFill="1" applyBorder="1" applyAlignment="1">
      <alignment horizontal="center"/>
    </xf>
    <xf numFmtId="167" fontId="60" fillId="0" borderId="92" xfId="3" applyNumberFormat="1" applyFont="1" applyFill="1" applyBorder="1" applyAlignment="1">
      <alignment horizontal="center"/>
    </xf>
    <xf numFmtId="167" fontId="60" fillId="0" borderId="57" xfId="3" applyNumberFormat="1" applyFont="1" applyFill="1" applyBorder="1" applyAlignment="1">
      <alignment horizontal="center"/>
    </xf>
    <xf numFmtId="2" fontId="32" fillId="0" borderId="89" xfId="3" applyNumberFormat="1" applyFont="1" applyFill="1" applyBorder="1" applyAlignment="1">
      <alignment horizontal="center"/>
    </xf>
    <xf numFmtId="2" fontId="32" fillId="0" borderId="62" xfId="3" applyNumberFormat="1" applyFont="1" applyFill="1" applyBorder="1" applyAlignment="1">
      <alignment horizontal="center"/>
    </xf>
    <xf numFmtId="2" fontId="32" fillId="0" borderId="93" xfId="3" applyNumberFormat="1" applyFont="1" applyFill="1" applyBorder="1" applyAlignment="1">
      <alignment horizontal="center"/>
    </xf>
    <xf numFmtId="0" fontId="39" fillId="0" borderId="90" xfId="3" applyFont="1" applyBorder="1" applyAlignment="1">
      <alignment horizontal="justify" wrapText="1"/>
    </xf>
    <xf numFmtId="167" fontId="61" fillId="0" borderId="89" xfId="3" applyNumberFormat="1" applyFont="1" applyFill="1" applyBorder="1" applyAlignment="1">
      <alignment horizontal="center"/>
    </xf>
    <xf numFmtId="167" fontId="61" fillId="0" borderId="62" xfId="3" applyNumberFormat="1" applyFont="1" applyFill="1" applyBorder="1" applyAlignment="1">
      <alignment horizontal="center"/>
    </xf>
    <xf numFmtId="167" fontId="61" fillId="0" borderId="90" xfId="3" applyNumberFormat="1" applyFont="1" applyFill="1" applyBorder="1" applyAlignment="1">
      <alignment horizontal="center"/>
    </xf>
    <xf numFmtId="0" fontId="33" fillId="0" borderId="90" xfId="3" applyFont="1" applyBorder="1" applyAlignment="1">
      <alignment wrapText="1"/>
    </xf>
    <xf numFmtId="167" fontId="60" fillId="0" borderId="89" xfId="3" applyNumberFormat="1" applyFont="1" applyFill="1" applyBorder="1" applyAlignment="1"/>
    <xf numFmtId="167" fontId="60" fillId="0" borderId="62" xfId="3" applyNumberFormat="1" applyFont="1" applyFill="1" applyBorder="1" applyAlignment="1"/>
    <xf numFmtId="167" fontId="60" fillId="0" borderId="90" xfId="3" applyNumberFormat="1" applyFont="1" applyFill="1" applyBorder="1" applyAlignment="1"/>
    <xf numFmtId="167" fontId="61" fillId="0" borderId="89" xfId="3" applyNumberFormat="1" applyFont="1" applyFill="1" applyBorder="1" applyAlignment="1"/>
    <xf numFmtId="167" fontId="61" fillId="0" borderId="62" xfId="3" applyNumberFormat="1" applyFont="1" applyFill="1" applyBorder="1" applyAlignment="1"/>
    <xf numFmtId="167" fontId="62" fillId="0" borderId="91" xfId="3" applyNumberFormat="1" applyFont="1" applyFill="1" applyBorder="1" applyAlignment="1"/>
    <xf numFmtId="167" fontId="32" fillId="0" borderId="89" xfId="3" applyNumberFormat="1" applyFont="1" applyFill="1" applyBorder="1" applyAlignment="1"/>
    <xf numFmtId="167" fontId="32" fillId="0" borderId="62" xfId="3" applyNumberFormat="1" applyFont="1" applyFill="1" applyBorder="1" applyAlignment="1"/>
    <xf numFmtId="167" fontId="32" fillId="0" borderId="90" xfId="3" applyNumberFormat="1" applyFont="1" applyFill="1" applyBorder="1" applyAlignment="1"/>
    <xf numFmtId="167" fontId="32" fillId="0" borderId="63" xfId="3" applyNumberFormat="1" applyFont="1" applyFill="1" applyBorder="1" applyAlignment="1"/>
    <xf numFmtId="167" fontId="63" fillId="0" borderId="91" xfId="3" applyNumberFormat="1" applyFont="1" applyFill="1" applyBorder="1" applyAlignment="1"/>
    <xf numFmtId="167" fontId="63" fillId="0" borderId="63" xfId="3" applyNumberFormat="1" applyFont="1" applyFill="1" applyBorder="1" applyAlignment="1"/>
    <xf numFmtId="167" fontId="63" fillId="0" borderId="92" xfId="3" applyNumberFormat="1" applyFont="1" applyFill="1" applyBorder="1" applyAlignment="1"/>
    <xf numFmtId="0" fontId="32" fillId="0" borderId="82" xfId="3" applyFont="1" applyBorder="1" applyAlignment="1">
      <alignment horizontal="center" wrapText="1"/>
    </xf>
    <xf numFmtId="0" fontId="39" fillId="0" borderId="84" xfId="3" applyFont="1" applyBorder="1" applyAlignment="1">
      <alignment wrapText="1"/>
    </xf>
    <xf numFmtId="167" fontId="32" fillId="0" borderId="82" xfId="3" applyNumberFormat="1" applyFont="1" applyFill="1" applyBorder="1" applyAlignment="1"/>
    <xf numFmtId="167" fontId="32" fillId="0" borderId="83" xfId="3" applyNumberFormat="1" applyFont="1" applyFill="1" applyBorder="1" applyAlignment="1"/>
    <xf numFmtId="167" fontId="32" fillId="0" borderId="84" xfId="3" applyNumberFormat="1" applyFont="1" applyFill="1" applyBorder="1" applyAlignment="1"/>
    <xf numFmtId="167" fontId="32" fillId="0" borderId="94" xfId="3" applyNumberFormat="1" applyFont="1" applyFill="1" applyBorder="1" applyAlignment="1"/>
    <xf numFmtId="167" fontId="63" fillId="0" borderId="95" xfId="3" applyNumberFormat="1" applyFont="1" applyFill="1" applyBorder="1" applyAlignment="1"/>
    <xf numFmtId="167" fontId="63" fillId="0" borderId="96" xfId="3" applyNumberFormat="1" applyFont="1" applyFill="1" applyBorder="1" applyAlignment="1"/>
    <xf numFmtId="0" fontId="39" fillId="0" borderId="0" xfId="6" applyNumberFormat="1" applyFont="1" applyFill="1" applyBorder="1" applyAlignment="1" applyProtection="1">
      <alignment vertical="top" wrapText="1"/>
    </xf>
    <xf numFmtId="0" fontId="30" fillId="0" borderId="0" xfId="4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3" applyFont="1"/>
    <xf numFmtId="0" fontId="10" fillId="0" borderId="0" xfId="3" applyFont="1" applyBorder="1"/>
    <xf numFmtId="0" fontId="10" fillId="0" borderId="0" xfId="3" applyFont="1" applyBorder="1" applyAlignment="1">
      <alignment wrapText="1"/>
    </xf>
    <xf numFmtId="179" fontId="10" fillId="0" borderId="0" xfId="12" applyNumberFormat="1" applyFont="1" applyFill="1" applyBorder="1" applyAlignment="1" applyProtection="1"/>
    <xf numFmtId="171" fontId="10" fillId="0" borderId="0" xfId="8" applyNumberFormat="1" applyFont="1"/>
    <xf numFmtId="0" fontId="10" fillId="0" borderId="0" xfId="3" applyFont="1" applyAlignment="1">
      <alignment wrapText="1"/>
    </xf>
    <xf numFmtId="0" fontId="8" fillId="0" borderId="0" xfId="4" applyFont="1"/>
    <xf numFmtId="0" fontId="18" fillId="0" borderId="0" xfId="6" applyNumberFormat="1" applyFont="1" applyFill="1" applyBorder="1" applyAlignment="1" applyProtection="1">
      <alignment vertical="top"/>
    </xf>
    <xf numFmtId="0" fontId="32" fillId="0" borderId="0" xfId="4" applyFont="1" applyFill="1" applyAlignment="1">
      <alignment horizontal="right" vertical="center"/>
    </xf>
    <xf numFmtId="0" fontId="32" fillId="0" borderId="0" xfId="6" applyNumberFormat="1" applyFont="1" applyFill="1" applyBorder="1" applyAlignment="1" applyProtection="1">
      <alignment horizontal="right" vertical="top"/>
    </xf>
    <xf numFmtId="0" fontId="32" fillId="4" borderId="88" xfId="3" applyNumberFormat="1" applyFont="1" applyFill="1" applyBorder="1" applyAlignment="1" applyProtection="1">
      <alignment horizontal="center" vertical="top"/>
    </xf>
    <xf numFmtId="0" fontId="32" fillId="4" borderId="80" xfId="3" applyNumberFormat="1" applyFont="1" applyFill="1" applyBorder="1" applyAlignment="1" applyProtection="1">
      <alignment horizontal="center" vertical="top"/>
    </xf>
    <xf numFmtId="0" fontId="32" fillId="4" borderId="2" xfId="3" applyNumberFormat="1" applyFont="1" applyFill="1" applyBorder="1" applyAlignment="1" applyProtection="1">
      <alignment horizontal="center" vertical="top"/>
    </xf>
    <xf numFmtId="0" fontId="32" fillId="4" borderId="87" xfId="3" applyNumberFormat="1" applyFont="1" applyFill="1" applyBorder="1" applyAlignment="1" applyProtection="1">
      <alignment horizontal="center" vertical="top"/>
    </xf>
    <xf numFmtId="167" fontId="32" fillId="4" borderId="57" xfId="3" applyNumberFormat="1" applyFont="1" applyFill="1" applyBorder="1" applyAlignment="1">
      <alignment horizontal="center"/>
    </xf>
    <xf numFmtId="167" fontId="32" fillId="4" borderId="62" xfId="3" applyNumberFormat="1" applyFont="1" applyFill="1" applyBorder="1" applyAlignment="1">
      <alignment horizontal="center"/>
    </xf>
    <xf numFmtId="167" fontId="32" fillId="4" borderId="92" xfId="3" applyNumberFormat="1" applyFont="1" applyFill="1" applyBorder="1" applyAlignment="1">
      <alignment horizontal="center"/>
    </xf>
    <xf numFmtId="1" fontId="32" fillId="4" borderId="57" xfId="3" applyNumberFormat="1" applyFont="1" applyFill="1" applyBorder="1" applyAlignment="1">
      <alignment horizontal="center"/>
    </xf>
    <xf numFmtId="1" fontId="32" fillId="4" borderId="62" xfId="3" applyNumberFormat="1" applyFont="1" applyFill="1" applyBorder="1" applyAlignment="1">
      <alignment horizontal="center"/>
    </xf>
    <xf numFmtId="1" fontId="32" fillId="4" borderId="92" xfId="3" applyNumberFormat="1" applyFont="1" applyFill="1" applyBorder="1" applyAlignment="1">
      <alignment horizontal="center"/>
    </xf>
    <xf numFmtId="167" fontId="60" fillId="4" borderId="57" xfId="3" applyNumberFormat="1" applyFont="1" applyFill="1" applyBorder="1" applyAlignment="1">
      <alignment horizontal="center"/>
    </xf>
    <xf numFmtId="167" fontId="60" fillId="4" borderId="62" xfId="3" applyNumberFormat="1" applyFont="1" applyFill="1" applyBorder="1" applyAlignment="1">
      <alignment horizontal="center"/>
    </xf>
    <xf numFmtId="167" fontId="60" fillId="4" borderId="92" xfId="3" applyNumberFormat="1" applyFont="1" applyFill="1" applyBorder="1" applyAlignment="1">
      <alignment horizontal="center"/>
    </xf>
    <xf numFmtId="2" fontId="32" fillId="4" borderId="57" xfId="3" applyNumberFormat="1" applyFont="1" applyFill="1" applyBorder="1" applyAlignment="1">
      <alignment horizontal="center"/>
    </xf>
    <xf numFmtId="2" fontId="32" fillId="4" borderId="62" xfId="3" applyNumberFormat="1" applyFont="1" applyFill="1" applyBorder="1" applyAlignment="1">
      <alignment horizontal="center"/>
    </xf>
    <xf numFmtId="2" fontId="32" fillId="4" borderId="92" xfId="3" applyNumberFormat="1" applyFont="1" applyFill="1" applyBorder="1" applyAlignment="1">
      <alignment horizontal="center"/>
    </xf>
    <xf numFmtId="167" fontId="61" fillId="4" borderId="57" xfId="3" applyNumberFormat="1" applyFont="1" applyFill="1" applyBorder="1" applyAlignment="1">
      <alignment horizontal="center"/>
    </xf>
    <xf numFmtId="167" fontId="61" fillId="4" borderId="62" xfId="3" applyNumberFormat="1" applyFont="1" applyFill="1" applyBorder="1" applyAlignment="1">
      <alignment horizontal="center"/>
    </xf>
    <xf numFmtId="167" fontId="61" fillId="4" borderId="92" xfId="3" applyNumberFormat="1" applyFont="1" applyFill="1" applyBorder="1" applyAlignment="1">
      <alignment horizontal="center"/>
    </xf>
    <xf numFmtId="167" fontId="61" fillId="4" borderId="57" xfId="3" applyNumberFormat="1" applyFont="1" applyFill="1" applyBorder="1" applyAlignment="1"/>
    <xf numFmtId="167" fontId="61" fillId="4" borderId="62" xfId="3" applyNumberFormat="1" applyFont="1" applyFill="1" applyBorder="1" applyAlignment="1"/>
    <xf numFmtId="167" fontId="61" fillId="4" borderId="92" xfId="3" applyNumberFormat="1" applyFont="1" applyFill="1" applyBorder="1" applyAlignment="1"/>
    <xf numFmtId="167" fontId="32" fillId="4" borderId="57" xfId="3" applyNumberFormat="1" applyFont="1" applyFill="1" applyBorder="1" applyAlignment="1"/>
    <xf numFmtId="167" fontId="32" fillId="4" borderId="62" xfId="3" applyNumberFormat="1" applyFont="1" applyFill="1" applyBorder="1" applyAlignment="1"/>
    <xf numFmtId="167" fontId="32" fillId="4" borderId="92" xfId="3" applyNumberFormat="1" applyFont="1" applyFill="1" applyBorder="1" applyAlignment="1"/>
    <xf numFmtId="167" fontId="32" fillId="4" borderId="97" xfId="3" applyNumberFormat="1" applyFont="1" applyFill="1" applyBorder="1" applyAlignment="1"/>
    <xf numFmtId="167" fontId="32" fillId="4" borderId="98" xfId="3" applyNumberFormat="1" applyFont="1" applyFill="1" applyBorder="1" applyAlignment="1"/>
    <xf numFmtId="167" fontId="32" fillId="4" borderId="96" xfId="3" applyNumberFormat="1" applyFont="1" applyFill="1" applyBorder="1" applyAlignment="1"/>
    <xf numFmtId="0" fontId="34" fillId="0" borderId="0" xfId="4" applyFont="1" applyBorder="1" applyAlignment="1"/>
    <xf numFmtId="0" fontId="58" fillId="0" borderId="0" xfId="3" applyNumberFormat="1" applyFont="1" applyFill="1" applyBorder="1" applyAlignment="1" applyProtection="1">
      <alignment horizontal="right" vertical="top"/>
    </xf>
    <xf numFmtId="0" fontId="8" fillId="0" borderId="0" xfId="3" applyFont="1"/>
    <xf numFmtId="0" fontId="35" fillId="0" borderId="0" xfId="6" applyNumberFormat="1" applyFont="1" applyFill="1" applyBorder="1" applyAlignment="1" applyProtection="1">
      <alignment horizontal="center" vertical="top" wrapText="1"/>
    </xf>
    <xf numFmtId="0" fontId="39" fillId="0" borderId="0" xfId="3" applyNumberFormat="1" applyFont="1" applyFill="1" applyBorder="1" applyAlignment="1" applyProtection="1">
      <alignment vertical="top" wrapText="1"/>
    </xf>
    <xf numFmtId="0" fontId="39" fillId="0" borderId="0" xfId="3" applyFont="1" applyBorder="1"/>
    <xf numFmtId="167" fontId="39" fillId="0" borderId="63" xfId="3" applyNumberFormat="1" applyFont="1" applyFill="1" applyBorder="1" applyAlignment="1">
      <alignment horizontal="center" vertical="center"/>
    </xf>
    <xf numFmtId="167" fontId="39" fillId="0" borderId="57" xfId="3" applyNumberFormat="1" applyFont="1" applyFill="1" applyBorder="1" applyAlignment="1">
      <alignment horizontal="center" vertical="center"/>
    </xf>
    <xf numFmtId="167" fontId="39" fillId="0" borderId="22" xfId="3" applyNumberFormat="1" applyFont="1" applyFill="1" applyBorder="1" applyAlignment="1">
      <alignment horizontal="center" vertical="center"/>
    </xf>
    <xf numFmtId="167" fontId="39" fillId="0" borderId="1" xfId="3" applyNumberFormat="1" applyFont="1" applyFill="1" applyBorder="1" applyAlignment="1">
      <alignment horizontal="center" vertical="center"/>
    </xf>
    <xf numFmtId="167" fontId="39" fillId="0" borderId="8" xfId="3" applyNumberFormat="1" applyFont="1" applyFill="1" applyBorder="1" applyAlignment="1">
      <alignment horizontal="center" vertical="center"/>
    </xf>
    <xf numFmtId="167" fontId="39" fillId="0" borderId="97" xfId="3" applyNumberFormat="1" applyFont="1" applyFill="1" applyBorder="1" applyAlignment="1">
      <alignment horizontal="center" vertical="center"/>
    </xf>
    <xf numFmtId="167" fontId="39" fillId="0" borderId="98" xfId="3" applyNumberFormat="1" applyFont="1" applyFill="1" applyBorder="1" applyAlignment="1">
      <alignment horizontal="center" vertical="center"/>
    </xf>
    <xf numFmtId="167" fontId="39" fillId="0" borderId="99" xfId="3" applyNumberFormat="1" applyFont="1" applyFill="1" applyBorder="1" applyAlignment="1">
      <alignment horizontal="center" vertical="center"/>
    </xf>
    <xf numFmtId="167" fontId="39" fillId="0" borderId="24" xfId="3" applyNumberFormat="1" applyFont="1" applyFill="1" applyBorder="1" applyAlignment="1">
      <alignment horizontal="center" vertical="center"/>
    </xf>
    <xf numFmtId="167" fontId="39" fillId="0" borderId="25" xfId="3" applyNumberFormat="1" applyFont="1" applyFill="1" applyBorder="1" applyAlignment="1">
      <alignment horizontal="center" vertical="center"/>
    </xf>
    <xf numFmtId="167" fontId="39" fillId="0" borderId="20" xfId="3" applyNumberFormat="1" applyFont="1" applyFill="1" applyBorder="1" applyAlignment="1">
      <alignment horizontal="center" vertical="center"/>
    </xf>
    <xf numFmtId="0" fontId="39" fillId="0" borderId="0" xfId="3" applyFont="1" applyAlignment="1">
      <alignment wrapText="1"/>
    </xf>
    <xf numFmtId="0" fontId="3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0" fillId="0" borderId="0" xfId="6" applyNumberFormat="1" applyFont="1" applyFill="1" applyBorder="1" applyAlignment="1" applyProtection="1">
      <alignment horizontal="right" vertical="top"/>
    </xf>
    <xf numFmtId="0" fontId="32" fillId="0" borderId="0" xfId="3" applyNumberFormat="1" applyFont="1" applyFill="1" applyBorder="1" applyAlignment="1" applyProtection="1">
      <alignment horizontal="right" vertical="top"/>
    </xf>
    <xf numFmtId="167" fontId="39" fillId="4" borderId="57" xfId="3" applyNumberFormat="1" applyFont="1" applyFill="1" applyBorder="1" applyAlignment="1">
      <alignment horizontal="center" vertical="center"/>
    </xf>
    <xf numFmtId="167" fontId="39" fillId="4" borderId="62" xfId="3" applyNumberFormat="1" applyFont="1" applyFill="1" applyBorder="1" applyAlignment="1">
      <alignment horizontal="center" vertical="center"/>
    </xf>
    <xf numFmtId="167" fontId="39" fillId="4" borderId="92" xfId="3" applyNumberFormat="1" applyFont="1" applyFill="1" applyBorder="1" applyAlignment="1">
      <alignment horizontal="center" vertical="center"/>
    </xf>
    <xf numFmtId="2" fontId="39" fillId="4" borderId="57" xfId="3" applyNumberFormat="1" applyFont="1" applyFill="1" applyBorder="1" applyAlignment="1">
      <alignment horizontal="center" vertical="center"/>
    </xf>
    <xf numFmtId="2" fontId="39" fillId="4" borderId="62" xfId="3" applyNumberFormat="1" applyFont="1" applyFill="1" applyBorder="1" applyAlignment="1">
      <alignment horizontal="center" vertical="center"/>
    </xf>
    <xf numFmtId="2" fontId="39" fillId="4" borderId="92" xfId="3" applyNumberFormat="1" applyFont="1" applyFill="1" applyBorder="1" applyAlignment="1">
      <alignment horizontal="center" vertical="center"/>
    </xf>
    <xf numFmtId="167" fontId="39" fillId="4" borderId="97" xfId="3" applyNumberFormat="1" applyFont="1" applyFill="1" applyBorder="1" applyAlignment="1">
      <alignment horizontal="center" vertical="center"/>
    </xf>
    <xf numFmtId="167" fontId="39" fillId="4" borderId="98" xfId="3" applyNumberFormat="1" applyFont="1" applyFill="1" applyBorder="1" applyAlignment="1">
      <alignment horizontal="center" vertical="center"/>
    </xf>
    <xf numFmtId="167" fontId="39" fillId="4" borderId="96" xfId="3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9" fillId="0" borderId="0" xfId="0" applyFont="1"/>
    <xf numFmtId="0" fontId="35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167" fontId="8" fillId="0" borderId="62" xfId="0" applyNumberFormat="1" applyFont="1" applyBorder="1"/>
    <xf numFmtId="0" fontId="10" fillId="0" borderId="0" xfId="0" applyNumberFormat="1" applyFont="1"/>
    <xf numFmtId="180" fontId="10" fillId="0" borderId="0" xfId="0" applyNumberFormat="1" applyFont="1"/>
    <xf numFmtId="0" fontId="18" fillId="0" borderId="62" xfId="0" applyFont="1" applyBorder="1" applyAlignment="1">
      <alignment vertical="center" wrapText="1"/>
    </xf>
    <xf numFmtId="0" fontId="39" fillId="0" borderId="0" xfId="0" applyNumberFormat="1" applyFont="1"/>
    <xf numFmtId="167" fontId="18" fillId="0" borderId="62" xfId="0" applyNumberFormat="1" applyFont="1" applyFill="1" applyBorder="1"/>
    <xf numFmtId="167" fontId="18" fillId="0" borderId="62" xfId="0" applyNumberFormat="1" applyFont="1" applyBorder="1"/>
    <xf numFmtId="0" fontId="39" fillId="11" borderId="62" xfId="0" applyFont="1" applyFill="1" applyBorder="1" applyAlignment="1">
      <alignment vertical="center" wrapText="1"/>
    </xf>
    <xf numFmtId="167" fontId="18" fillId="11" borderId="62" xfId="0" applyNumberFormat="1" applyFont="1" applyFill="1" applyBorder="1"/>
    <xf numFmtId="0" fontId="39" fillId="11" borderId="62" xfId="0" applyFont="1" applyFill="1" applyBorder="1" applyAlignment="1">
      <alignment wrapText="1"/>
    </xf>
    <xf numFmtId="0" fontId="18" fillId="11" borderId="62" xfId="0" applyFont="1" applyFill="1" applyBorder="1" applyAlignment="1">
      <alignment vertical="center" wrapText="1"/>
    </xf>
    <xf numFmtId="0" fontId="39" fillId="0" borderId="0" xfId="8" applyFont="1" applyAlignment="1">
      <alignment horizontal="center"/>
    </xf>
    <xf numFmtId="0" fontId="39" fillId="0" borderId="0" xfId="8" applyFont="1"/>
    <xf numFmtId="171" fontId="39" fillId="0" borderId="0" xfId="8" applyNumberFormat="1" applyFont="1"/>
    <xf numFmtId="0" fontId="60" fillId="0" borderId="0" xfId="0" applyFont="1" applyAlignment="1">
      <alignment horizontal="right"/>
    </xf>
    <xf numFmtId="167" fontId="18" fillId="0" borderId="92" xfId="0" applyNumberFormat="1" applyFont="1" applyBorder="1"/>
    <xf numFmtId="0" fontId="32" fillId="11" borderId="57" xfId="0" applyNumberFormat="1" applyFont="1" applyFill="1" applyBorder="1"/>
    <xf numFmtId="167" fontId="18" fillId="11" borderId="92" xfId="0" applyNumberFormat="1" applyFont="1" applyFill="1" applyBorder="1"/>
    <xf numFmtId="0" fontId="32" fillId="11" borderId="57" xfId="0" applyFont="1" applyFill="1" applyBorder="1"/>
    <xf numFmtId="0" fontId="32" fillId="11" borderId="97" xfId="0" applyFont="1" applyFill="1" applyBorder="1"/>
    <xf numFmtId="0" fontId="18" fillId="11" borderId="98" xfId="0" applyFont="1" applyFill="1" applyBorder="1" applyAlignment="1">
      <alignment vertical="center" wrapText="1"/>
    </xf>
    <xf numFmtId="167" fontId="18" fillId="11" borderId="98" xfId="0" applyNumberFormat="1" applyFont="1" applyFill="1" applyBorder="1"/>
    <xf numFmtId="167" fontId="18" fillId="11" borderId="96" xfId="0" applyNumberFormat="1" applyFont="1" applyFill="1" applyBorder="1"/>
    <xf numFmtId="0" fontId="10" fillId="4" borderId="8" xfId="4" applyFont="1" applyFill="1" applyBorder="1"/>
    <xf numFmtId="171" fontId="10" fillId="4" borderId="8" xfId="4" applyNumberFormat="1" applyFont="1" applyFill="1" applyBorder="1"/>
    <xf numFmtId="4" fontId="10" fillId="4" borderId="8" xfId="4" applyNumberFormat="1" applyFont="1" applyFill="1" applyBorder="1"/>
    <xf numFmtId="171" fontId="10" fillId="4" borderId="100" xfId="4" applyNumberFormat="1" applyFont="1" applyFill="1" applyBorder="1"/>
    <xf numFmtId="4" fontId="10" fillId="4" borderId="100" xfId="4" applyNumberFormat="1" applyFont="1" applyFill="1" applyBorder="1"/>
    <xf numFmtId="167" fontId="10" fillId="4" borderId="100" xfId="4" applyNumberFormat="1" applyFont="1" applyFill="1" applyBorder="1"/>
    <xf numFmtId="167" fontId="10" fillId="4" borderId="101" xfId="3" applyNumberFormat="1" applyFont="1" applyFill="1" applyBorder="1" applyAlignment="1">
      <alignment horizontal="center"/>
    </xf>
    <xf numFmtId="167" fontId="10" fillId="4" borderId="102" xfId="3" applyNumberFormat="1" applyFont="1" applyFill="1" applyBorder="1" applyAlignment="1">
      <alignment horizontal="center"/>
    </xf>
    <xf numFmtId="167" fontId="10" fillId="4" borderId="103" xfId="3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4" applyFont="1"/>
    <xf numFmtId="0" fontId="18" fillId="0" borderId="0" xfId="4" applyFont="1"/>
    <xf numFmtId="0" fontId="2" fillId="0" borderId="4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3" fontId="2" fillId="3" borderId="7" xfId="12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vertical="top" wrapText="1"/>
    </xf>
    <xf numFmtId="0" fontId="32" fillId="0" borderId="41" xfId="0" applyFont="1" applyBorder="1" applyAlignment="1">
      <alignment horizontal="center" vertical="top" wrapText="1"/>
    </xf>
    <xf numFmtId="0" fontId="32" fillId="0" borderId="28" xfId="0" applyFont="1" applyBorder="1" applyAlignment="1">
      <alignment horizontal="center" vertical="top" wrapText="1"/>
    </xf>
    <xf numFmtId="165" fontId="32" fillId="0" borderId="47" xfId="12" applyNumberFormat="1" applyFont="1" applyBorder="1" applyAlignment="1">
      <alignment horizontal="center" vertical="top" wrapText="1"/>
    </xf>
    <xf numFmtId="165" fontId="32" fillId="0" borderId="7" xfId="12" applyNumberFormat="1" applyFont="1" applyFill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47" xfId="0" applyFont="1" applyBorder="1" applyAlignment="1">
      <alignment horizontal="center" vertical="top" wrapText="1"/>
    </xf>
    <xf numFmtId="0" fontId="32" fillId="3" borderId="11" xfId="0" applyFont="1" applyFill="1" applyBorder="1" applyAlignment="1">
      <alignment horizontal="center" vertical="top" wrapText="1"/>
    </xf>
    <xf numFmtId="0" fontId="32" fillId="3" borderId="47" xfId="0" applyFont="1" applyFill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18" fillId="0" borderId="104" xfId="0" applyFont="1" applyBorder="1" applyAlignment="1">
      <alignment vertical="top" wrapText="1"/>
    </xf>
    <xf numFmtId="0" fontId="32" fillId="0" borderId="32" xfId="0" applyFont="1" applyBorder="1" applyAlignment="1">
      <alignment horizontal="center" vertical="top" wrapText="1"/>
    </xf>
    <xf numFmtId="165" fontId="32" fillId="0" borderId="48" xfId="12" applyNumberFormat="1" applyFont="1" applyBorder="1" applyAlignment="1">
      <alignment horizontal="center" vertical="top" wrapText="1"/>
    </xf>
    <xf numFmtId="165" fontId="32" fillId="0" borderId="10" xfId="12" applyNumberFormat="1" applyFont="1" applyFill="1" applyBorder="1" applyAlignment="1">
      <alignment horizontal="center" vertical="top" wrapText="1"/>
    </xf>
    <xf numFmtId="165" fontId="32" fillId="0" borderId="18" xfId="12" applyNumberFormat="1" applyFont="1" applyBorder="1" applyAlignment="1">
      <alignment horizontal="center" vertical="top" wrapText="1"/>
    </xf>
    <xf numFmtId="165" fontId="32" fillId="0" borderId="105" xfId="12" applyNumberFormat="1" applyFont="1" applyFill="1" applyBorder="1" applyAlignment="1">
      <alignment horizontal="center" vertical="top" wrapText="1"/>
    </xf>
    <xf numFmtId="165" fontId="32" fillId="0" borderId="26" xfId="12" applyNumberFormat="1" applyFont="1" applyFill="1" applyBorder="1" applyAlignment="1">
      <alignment horizontal="center" vertical="top" wrapText="1"/>
    </xf>
    <xf numFmtId="165" fontId="32" fillId="0" borderId="32" xfId="12" applyNumberFormat="1" applyFont="1" applyFill="1" applyBorder="1" applyAlignment="1">
      <alignment horizontal="center" vertical="top" wrapText="1"/>
    </xf>
    <xf numFmtId="165" fontId="32" fillId="0" borderId="16" xfId="12" applyNumberFormat="1" applyFont="1" applyFill="1" applyBorder="1" applyAlignment="1">
      <alignment horizontal="center" vertical="top" wrapText="1"/>
    </xf>
    <xf numFmtId="165" fontId="32" fillId="3" borderId="18" xfId="12" applyNumberFormat="1" applyFont="1" applyFill="1" applyBorder="1" applyAlignment="1">
      <alignment horizontal="center" vertical="top" wrapText="1"/>
    </xf>
    <xf numFmtId="165" fontId="32" fillId="3" borderId="26" xfId="12" applyNumberFormat="1" applyFont="1" applyFill="1" applyBorder="1" applyAlignment="1">
      <alignment horizontal="center" vertical="top" wrapText="1"/>
    </xf>
    <xf numFmtId="0" fontId="10" fillId="0" borderId="27" xfId="0" applyFont="1" applyBorder="1" applyAlignment="1">
      <alignment vertical="top" wrapText="1"/>
    </xf>
    <xf numFmtId="0" fontId="10" fillId="0" borderId="29" xfId="0" applyFont="1" applyBorder="1" applyAlignment="1">
      <alignment horizontal="center" vertical="top" wrapText="1"/>
    </xf>
    <xf numFmtId="165" fontId="10" fillId="0" borderId="43" xfId="12" applyNumberFormat="1" applyFont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right" vertical="center"/>
    </xf>
    <xf numFmtId="165" fontId="18" fillId="0" borderId="27" xfId="12" applyNumberFormat="1" applyFont="1" applyFill="1" applyBorder="1" applyAlignment="1">
      <alignment horizontal="center" vertical="center" wrapText="1"/>
    </xf>
    <xf numFmtId="165" fontId="18" fillId="0" borderId="29" xfId="12" applyNumberFormat="1" applyFont="1" applyFill="1" applyBorder="1" applyAlignment="1">
      <alignment horizontal="center" vertical="center" wrapText="1"/>
    </xf>
    <xf numFmtId="165" fontId="10" fillId="0" borderId="37" xfId="12" applyNumberFormat="1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right" vertical="center"/>
    </xf>
    <xf numFmtId="165" fontId="10" fillId="0" borderId="27" xfId="12" applyNumberFormat="1" applyFont="1" applyFill="1" applyBorder="1" applyAlignment="1">
      <alignment horizontal="center" vertical="center" wrapText="1"/>
    </xf>
    <xf numFmtId="165" fontId="10" fillId="0" borderId="29" xfId="12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top" wrapText="1"/>
    </xf>
    <xf numFmtId="165" fontId="0" fillId="0" borderId="8" xfId="12" applyNumberFormat="1" applyFont="1" applyFill="1" applyBorder="1" applyAlignment="1">
      <alignment horizontal="right" vertical="center"/>
    </xf>
    <xf numFmtId="165" fontId="10" fillId="0" borderId="29" xfId="12" applyNumberFormat="1" applyFont="1" applyFill="1" applyBorder="1" applyAlignment="1">
      <alignment horizontal="right" vertical="center" wrapText="1"/>
    </xf>
    <xf numFmtId="165" fontId="0" fillId="0" borderId="29" xfId="12" applyNumberFormat="1" applyFont="1" applyFill="1" applyBorder="1" applyAlignment="1">
      <alignment horizontal="right" vertical="center"/>
    </xf>
    <xf numFmtId="165" fontId="10" fillId="0" borderId="27" xfId="12" applyNumberFormat="1" applyFont="1" applyFill="1" applyBorder="1" applyAlignment="1">
      <alignment horizontal="right" vertical="center" wrapText="1"/>
    </xf>
    <xf numFmtId="165" fontId="10" fillId="0" borderId="8" xfId="12" applyNumberFormat="1" applyFont="1" applyFill="1" applyBorder="1" applyAlignment="1">
      <alignment horizontal="center" vertical="center" wrapText="1"/>
    </xf>
    <xf numFmtId="165" fontId="66" fillId="0" borderId="8" xfId="12" applyNumberFormat="1" applyFont="1" applyFill="1" applyBorder="1" applyAlignment="1">
      <alignment horizontal="right" vertical="center"/>
    </xf>
    <xf numFmtId="165" fontId="66" fillId="0" borderId="29" xfId="12" applyNumberFormat="1" applyFont="1" applyFill="1" applyBorder="1" applyAlignment="1">
      <alignment horizontal="right" vertical="center"/>
    </xf>
    <xf numFmtId="165" fontId="10" fillId="0" borderId="8" xfId="12" applyNumberFormat="1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horizontal="right" vertical="center"/>
    </xf>
    <xf numFmtId="0" fontId="18" fillId="0" borderId="40" xfId="0" applyFont="1" applyBorder="1" applyAlignment="1">
      <alignment horizontal="left" vertical="top" wrapText="1"/>
    </xf>
    <xf numFmtId="0" fontId="10" fillId="0" borderId="73" xfId="0" applyFont="1" applyBorder="1" applyAlignment="1">
      <alignment horizontal="center" vertical="top" wrapText="1"/>
    </xf>
    <xf numFmtId="165" fontId="10" fillId="0" borderId="106" xfId="12" applyNumberFormat="1" applyFont="1" applyBorder="1" applyAlignment="1">
      <alignment horizontal="right" vertical="center" wrapText="1"/>
    </xf>
    <xf numFmtId="165" fontId="18" fillId="0" borderId="9" xfId="12" applyNumberFormat="1" applyFont="1" applyFill="1" applyBorder="1" applyAlignment="1">
      <alignment horizontal="right" vertical="center" wrapText="1"/>
    </xf>
    <xf numFmtId="165" fontId="18" fillId="0" borderId="69" xfId="12" applyNumberFormat="1" applyFont="1" applyFill="1" applyBorder="1" applyAlignment="1">
      <alignment horizontal="right" vertical="center" wrapText="1"/>
    </xf>
    <xf numFmtId="165" fontId="18" fillId="0" borderId="54" xfId="12" applyNumberFormat="1" applyFont="1" applyFill="1" applyBorder="1" applyAlignment="1">
      <alignment horizontal="right" vertical="center" wrapText="1"/>
    </xf>
    <xf numFmtId="165" fontId="18" fillId="0" borderId="73" xfId="12" applyNumberFormat="1" applyFont="1" applyFill="1" applyBorder="1" applyAlignment="1">
      <alignment horizontal="right" vertical="center" wrapText="1"/>
    </xf>
    <xf numFmtId="0" fontId="18" fillId="0" borderId="41" xfId="0" applyFont="1" applyFill="1" applyBorder="1" applyAlignment="1">
      <alignment vertical="top" wrapText="1"/>
    </xf>
    <xf numFmtId="0" fontId="18" fillId="0" borderId="107" xfId="0" applyFont="1" applyFill="1" applyBorder="1" applyAlignment="1">
      <alignment horizontal="center" vertical="top" wrapText="1"/>
    </xf>
    <xf numFmtId="165" fontId="17" fillId="0" borderId="47" xfId="12" applyNumberFormat="1" applyFont="1" applyFill="1" applyBorder="1" applyAlignment="1">
      <alignment horizontal="right" vertical="center"/>
    </xf>
    <xf numFmtId="176" fontId="17" fillId="0" borderId="11" xfId="0" applyNumberFormat="1" applyFont="1" applyFill="1" applyBorder="1" applyAlignment="1">
      <alignment horizontal="right" vertical="center"/>
    </xf>
    <xf numFmtId="165" fontId="17" fillId="0" borderId="45" xfId="0" applyNumberFormat="1" applyFont="1" applyFill="1" applyBorder="1" applyAlignment="1">
      <alignment horizontal="right" vertical="center"/>
    </xf>
    <xf numFmtId="176" fontId="17" fillId="0" borderId="28" xfId="0" applyNumberFormat="1" applyFont="1" applyFill="1" applyBorder="1" applyAlignment="1">
      <alignment horizontal="right" vertical="center"/>
    </xf>
    <xf numFmtId="0" fontId="10" fillId="0" borderId="108" xfId="0" applyFont="1" applyFill="1" applyBorder="1" applyAlignment="1">
      <alignment horizontal="left" vertical="top" wrapText="1"/>
    </xf>
    <xf numFmtId="0" fontId="10" fillId="0" borderId="108" xfId="0" applyFont="1" applyFill="1" applyBorder="1" applyAlignment="1">
      <alignment vertical="top" wrapText="1"/>
    </xf>
    <xf numFmtId="0" fontId="32" fillId="0" borderId="107" xfId="0" applyFont="1" applyFill="1" applyBorder="1" applyAlignment="1">
      <alignment horizontal="center" vertical="top" wrapText="1"/>
    </xf>
    <xf numFmtId="165" fontId="1" fillId="0" borderId="109" xfId="12" applyNumberFormat="1" applyFont="1" applyFill="1" applyBorder="1" applyAlignment="1">
      <alignment horizontal="right" vertical="center"/>
    </xf>
    <xf numFmtId="165" fontId="1" fillId="0" borderId="110" xfId="0" applyNumberFormat="1" applyFont="1" applyFill="1" applyBorder="1" applyAlignment="1">
      <alignment horizontal="right" vertical="center"/>
    </xf>
    <xf numFmtId="165" fontId="17" fillId="0" borderId="110" xfId="0" applyNumberFormat="1" applyFont="1" applyFill="1" applyBorder="1" applyAlignment="1">
      <alignment horizontal="right" vertical="center"/>
    </xf>
    <xf numFmtId="176" fontId="1" fillId="0" borderId="44" xfId="12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17" fillId="0" borderId="108" xfId="0" applyNumberFormat="1" applyFont="1" applyFill="1" applyBorder="1" applyAlignment="1">
      <alignment horizontal="right" vertical="center"/>
    </xf>
    <xf numFmtId="165" fontId="17" fillId="0" borderId="44" xfId="0" applyNumberFormat="1" applyFont="1" applyFill="1" applyBorder="1" applyAlignment="1">
      <alignment horizontal="right" vertical="center"/>
    </xf>
    <xf numFmtId="165" fontId="17" fillId="0" borderId="111" xfId="0" applyNumberFormat="1" applyFont="1" applyFill="1" applyBorder="1" applyAlignment="1">
      <alignment horizontal="right" vertical="center"/>
    </xf>
    <xf numFmtId="165" fontId="17" fillId="3" borderId="112" xfId="0" applyNumberFormat="1" applyFont="1" applyFill="1" applyBorder="1" applyAlignment="1">
      <alignment horizontal="right" vertical="center"/>
    </xf>
    <xf numFmtId="165" fontId="17" fillId="3" borderId="108" xfId="0" applyNumberFormat="1" applyFont="1" applyFill="1" applyBorder="1" applyAlignment="1">
      <alignment horizontal="right" vertical="center"/>
    </xf>
    <xf numFmtId="165" fontId="17" fillId="4" borderId="52" xfId="0" applyNumberFormat="1" applyFont="1" applyFill="1" applyBorder="1" applyAlignment="1">
      <alignment horizontal="right" vertical="center"/>
    </xf>
    <xf numFmtId="165" fontId="17" fillId="4" borderId="111" xfId="0" applyNumberFormat="1" applyFont="1" applyFill="1" applyBorder="1" applyAlignment="1">
      <alignment horizontal="right" vertical="center"/>
    </xf>
    <xf numFmtId="165" fontId="17" fillId="5" borderId="113" xfId="0" applyNumberFormat="1" applyFont="1" applyFill="1" applyBorder="1" applyAlignment="1">
      <alignment horizontal="right" vertical="center"/>
    </xf>
    <xf numFmtId="165" fontId="17" fillId="5" borderId="112" xfId="0" applyNumberFormat="1" applyFont="1" applyFill="1" applyBorder="1" applyAlignment="1">
      <alignment horizontal="right" vertical="center"/>
    </xf>
    <xf numFmtId="165" fontId="17" fillId="5" borderId="44" xfId="0" applyNumberFormat="1" applyFont="1" applyFill="1" applyBorder="1" applyAlignment="1">
      <alignment horizontal="right" vertical="center"/>
    </xf>
    <xf numFmtId="0" fontId="10" fillId="0" borderId="44" xfId="0" applyFont="1" applyFill="1" applyBorder="1" applyAlignment="1">
      <alignment horizontal="center" vertical="top" wrapText="1"/>
    </xf>
    <xf numFmtId="176" fontId="1" fillId="0" borderId="108" xfId="12" applyNumberFormat="1" applyFont="1" applyFill="1" applyBorder="1" applyAlignment="1">
      <alignment horizontal="center" vertical="center"/>
    </xf>
    <xf numFmtId="165" fontId="1" fillId="0" borderId="44" xfId="12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left" vertical="top" wrapText="1"/>
    </xf>
    <xf numFmtId="0" fontId="10" fillId="0" borderId="26" xfId="0" applyFont="1" applyBorder="1" applyAlignment="1">
      <alignment vertical="top" wrapText="1"/>
    </xf>
    <xf numFmtId="165" fontId="10" fillId="0" borderId="48" xfId="12" applyNumberFormat="1" applyFont="1" applyBorder="1" applyAlignment="1">
      <alignment horizontal="right" vertical="center" wrapText="1"/>
    </xf>
    <xf numFmtId="176" fontId="0" fillId="0" borderId="32" xfId="12" applyNumberFormat="1" applyFont="1" applyFill="1" applyBorder="1" applyAlignment="1">
      <alignment horizontal="center" vertical="center"/>
    </xf>
    <xf numFmtId="0" fontId="0" fillId="0" borderId="105" xfId="0" applyFont="1" applyFill="1" applyBorder="1" applyAlignment="1">
      <alignment horizontal="right" vertical="center"/>
    </xf>
    <xf numFmtId="176" fontId="10" fillId="0" borderId="26" xfId="12" applyNumberFormat="1" applyFont="1" applyFill="1" applyBorder="1" applyAlignment="1">
      <alignment horizontal="center" vertical="center" wrapText="1"/>
    </xf>
    <xf numFmtId="176" fontId="10" fillId="0" borderId="32" xfId="12" applyNumberFormat="1" applyFont="1" applyFill="1" applyBorder="1" applyAlignment="1">
      <alignment horizontal="center" vertical="center" wrapText="1"/>
    </xf>
    <xf numFmtId="165" fontId="10" fillId="0" borderId="105" xfId="12" applyNumberFormat="1" applyFont="1" applyFill="1" applyBorder="1" applyAlignment="1">
      <alignment horizontal="right" vertical="center" wrapText="1"/>
    </xf>
    <xf numFmtId="0" fontId="10" fillId="0" borderId="42" xfId="0" applyFont="1" applyBorder="1" applyAlignment="1">
      <alignment vertical="top" wrapText="1"/>
    </xf>
    <xf numFmtId="0" fontId="10" fillId="0" borderId="44" xfId="0" applyFont="1" applyBorder="1" applyAlignment="1">
      <alignment horizontal="center" vertical="top" wrapText="1"/>
    </xf>
    <xf numFmtId="165" fontId="10" fillId="0" borderId="49" xfId="12" applyNumberFormat="1" applyFont="1" applyBorder="1" applyAlignment="1">
      <alignment horizontal="right" vertical="center" wrapText="1"/>
    </xf>
    <xf numFmtId="0" fontId="0" fillId="0" borderId="30" xfId="0" applyFont="1" applyFill="1" applyBorder="1" applyAlignment="1">
      <alignment horizontal="right" vertical="center"/>
    </xf>
    <xf numFmtId="0" fontId="0" fillId="0" borderId="46" xfId="0" applyFont="1" applyFill="1" applyBorder="1" applyAlignment="1">
      <alignment horizontal="right" vertical="center"/>
    </xf>
    <xf numFmtId="165" fontId="10" fillId="0" borderId="42" xfId="12" applyNumberFormat="1" applyFont="1" applyFill="1" applyBorder="1" applyAlignment="1">
      <alignment horizontal="right" vertical="center" wrapText="1"/>
    </xf>
    <xf numFmtId="165" fontId="10" fillId="0" borderId="30" xfId="12" applyNumberFormat="1" applyFont="1" applyFill="1" applyBorder="1" applyAlignment="1">
      <alignment horizontal="right" vertical="center" wrapText="1"/>
    </xf>
    <xf numFmtId="165" fontId="10" fillId="0" borderId="46" xfId="12" applyNumberFormat="1" applyFont="1" applyFill="1" applyBorder="1" applyAlignment="1">
      <alignment horizontal="right" vertical="center" wrapText="1"/>
    </xf>
    <xf numFmtId="0" fontId="18" fillId="2" borderId="41" xfId="0" applyFont="1" applyFill="1" applyBorder="1" applyAlignment="1">
      <alignment horizontal="left" vertical="top" wrapText="1"/>
    </xf>
    <xf numFmtId="0" fontId="18" fillId="2" borderId="41" xfId="0" applyFont="1" applyFill="1" applyBorder="1" applyAlignment="1">
      <alignment vertical="top" wrapText="1"/>
    </xf>
    <xf numFmtId="0" fontId="18" fillId="2" borderId="28" xfId="0" applyFont="1" applyFill="1" applyBorder="1" applyAlignment="1">
      <alignment horizontal="center" vertical="top" wrapText="1"/>
    </xf>
    <xf numFmtId="165" fontId="18" fillId="2" borderId="47" xfId="12" applyNumberFormat="1" applyFont="1" applyFill="1" applyBorder="1" applyAlignment="1">
      <alignment horizontal="right" vertical="center" wrapText="1"/>
    </xf>
    <xf numFmtId="176" fontId="17" fillId="2" borderId="11" xfId="0" applyNumberFormat="1" applyFont="1" applyFill="1" applyBorder="1" applyAlignment="1">
      <alignment horizontal="right" vertical="center"/>
    </xf>
    <xf numFmtId="165" fontId="17" fillId="2" borderId="45" xfId="0" applyNumberFormat="1" applyFont="1" applyFill="1" applyBorder="1" applyAlignment="1">
      <alignment horizontal="right" vertical="center"/>
    </xf>
    <xf numFmtId="176" fontId="17" fillId="2" borderId="28" xfId="0" applyNumberFormat="1" applyFont="1" applyFill="1" applyBorder="1" applyAlignment="1">
      <alignment horizontal="right" vertical="center"/>
    </xf>
    <xf numFmtId="0" fontId="10" fillId="0" borderId="32" xfId="0" applyFont="1" applyBorder="1" applyAlignment="1">
      <alignment horizontal="center" vertical="top" wrapText="1"/>
    </xf>
    <xf numFmtId="0" fontId="0" fillId="0" borderId="18" xfId="0" applyFont="1" applyFill="1" applyBorder="1" applyAlignment="1">
      <alignment horizontal="right" vertical="center"/>
    </xf>
    <xf numFmtId="165" fontId="10" fillId="0" borderId="26" xfId="12" applyNumberFormat="1" applyFont="1" applyFill="1" applyBorder="1" applyAlignment="1">
      <alignment horizontal="right" vertical="center" wrapText="1"/>
    </xf>
    <xf numFmtId="165" fontId="10" fillId="0" borderId="32" xfId="12" applyNumberFormat="1" applyFont="1" applyFill="1" applyBorder="1" applyAlignment="1">
      <alignment horizontal="right" vertical="center" wrapText="1"/>
    </xf>
    <xf numFmtId="0" fontId="18" fillId="0" borderId="27" xfId="0" applyFont="1" applyBorder="1" applyAlignment="1">
      <alignment vertical="top" wrapText="1"/>
    </xf>
    <xf numFmtId="165" fontId="0" fillId="0" borderId="8" xfId="0" applyNumberFormat="1" applyFont="1" applyFill="1" applyBorder="1" applyAlignment="1">
      <alignment horizontal="right" vertical="center"/>
    </xf>
    <xf numFmtId="165" fontId="0" fillId="0" borderId="29" xfId="0" applyNumberFormat="1" applyFont="1" applyFill="1" applyBorder="1" applyAlignment="1">
      <alignment horizontal="right" vertical="center"/>
    </xf>
    <xf numFmtId="165" fontId="10" fillId="0" borderId="43" xfId="12" applyNumberFormat="1" applyFont="1" applyFill="1" applyBorder="1" applyAlignment="1">
      <alignment horizontal="right" vertical="center" wrapText="1"/>
    </xf>
    <xf numFmtId="176" fontId="0" fillId="0" borderId="8" xfId="12" applyNumberFormat="1" applyFont="1" applyFill="1" applyBorder="1" applyAlignment="1">
      <alignment horizontal="center" vertical="center"/>
    </xf>
    <xf numFmtId="0" fontId="0" fillId="0" borderId="37" xfId="0" applyFont="1" applyBorder="1" applyAlignment="1">
      <alignment horizontal="right" vertical="center"/>
    </xf>
    <xf numFmtId="165" fontId="0" fillId="0" borderId="29" xfId="12" applyNumberFormat="1" applyFont="1" applyFill="1" applyBorder="1" applyAlignment="1">
      <alignment horizontal="center" vertical="center"/>
    </xf>
    <xf numFmtId="1" fontId="0" fillId="0" borderId="43" xfId="0" applyNumberFormat="1" applyFont="1" applyFill="1" applyBorder="1" applyAlignment="1">
      <alignment horizontal="right" vertical="center"/>
    </xf>
    <xf numFmtId="1" fontId="0" fillId="0" borderId="37" xfId="0" applyNumberFormat="1" applyFont="1" applyFill="1" applyBorder="1" applyAlignment="1">
      <alignment horizontal="right" vertical="center"/>
    </xf>
    <xf numFmtId="176" fontId="0" fillId="0" borderId="27" xfId="12" applyNumberFormat="1" applyFont="1" applyFill="1" applyBorder="1" applyAlignment="1">
      <alignment horizontal="center" vertical="center"/>
    </xf>
    <xf numFmtId="1" fontId="0" fillId="5" borderId="43" xfId="0" applyNumberFormat="1" applyFont="1" applyFill="1" applyBorder="1" applyAlignment="1">
      <alignment horizontal="right" vertical="center"/>
    </xf>
    <xf numFmtId="0" fontId="10" fillId="0" borderId="30" xfId="0" applyFont="1" applyBorder="1" applyAlignment="1">
      <alignment horizontal="center" vertical="top" wrapText="1"/>
    </xf>
    <xf numFmtId="1" fontId="0" fillId="0" borderId="5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1" fontId="0" fillId="0" borderId="49" xfId="0" applyNumberFormat="1" applyFont="1" applyFill="1" applyBorder="1" applyAlignment="1">
      <alignment horizontal="right" vertical="center"/>
    </xf>
    <xf numFmtId="1" fontId="0" fillId="0" borderId="46" xfId="0" applyNumberFormat="1" applyFont="1" applyFill="1" applyBorder="1" applyAlignment="1">
      <alignment horizontal="right" vertical="center"/>
    </xf>
    <xf numFmtId="165" fontId="18" fillId="3" borderId="19" xfId="12" applyNumberFormat="1" applyFont="1" applyFill="1" applyBorder="1" applyAlignment="1">
      <alignment horizontal="right" vertical="center" wrapText="1"/>
    </xf>
    <xf numFmtId="165" fontId="18" fillId="3" borderId="42" xfId="12" applyNumberFormat="1" applyFont="1" applyFill="1" applyBorder="1" applyAlignment="1">
      <alignment horizontal="right" vertical="center" wrapText="1"/>
    </xf>
    <xf numFmtId="0" fontId="18" fillId="0" borderId="41" xfId="0" applyFont="1" applyBorder="1" applyAlignment="1">
      <alignment horizontal="left" vertical="top" wrapText="1"/>
    </xf>
    <xf numFmtId="0" fontId="18" fillId="0" borderId="41" xfId="0" applyFont="1" applyBorder="1" applyAlignment="1">
      <alignment vertical="top" wrapText="1"/>
    </xf>
    <xf numFmtId="0" fontId="10" fillId="0" borderId="28" xfId="0" applyFont="1" applyBorder="1" applyAlignment="1">
      <alignment horizontal="center" vertical="top" wrapText="1"/>
    </xf>
    <xf numFmtId="165" fontId="0" fillId="0" borderId="47" xfId="12" applyNumberFormat="1" applyFont="1" applyFill="1" applyBorder="1" applyAlignment="1">
      <alignment horizontal="right" vertical="center"/>
    </xf>
    <xf numFmtId="165" fontId="0" fillId="0" borderId="7" xfId="12" applyNumberFormat="1" applyFont="1" applyFill="1" applyBorder="1" applyAlignment="1">
      <alignment horizontal="right" vertical="center"/>
    </xf>
    <xf numFmtId="165" fontId="10" fillId="0" borderId="15" xfId="12" applyNumberFormat="1" applyFont="1" applyFill="1" applyBorder="1" applyAlignment="1">
      <alignment horizontal="right" vertical="center" wrapText="1"/>
    </xf>
    <xf numFmtId="165" fontId="10" fillId="0" borderId="7" xfId="12" applyNumberFormat="1" applyFont="1" applyFill="1" applyBorder="1" applyAlignment="1">
      <alignment horizontal="right" vertical="center" wrapText="1"/>
    </xf>
    <xf numFmtId="176" fontId="18" fillId="0" borderId="11" xfId="12" applyNumberFormat="1" applyFont="1" applyFill="1" applyBorder="1" applyAlignment="1">
      <alignment horizontal="right" vertical="center" wrapText="1"/>
    </xf>
    <xf numFmtId="165" fontId="10" fillId="0" borderId="47" xfId="12" applyNumberFormat="1" applyFont="1" applyFill="1" applyBorder="1" applyAlignment="1">
      <alignment horizontal="right" vertical="center" wrapText="1"/>
    </xf>
    <xf numFmtId="176" fontId="18" fillId="0" borderId="28" xfId="12" applyNumberFormat="1" applyFont="1" applyFill="1" applyBorder="1" applyAlignment="1">
      <alignment horizontal="right" vertical="center" wrapText="1"/>
    </xf>
    <xf numFmtId="165" fontId="10" fillId="0" borderId="45" xfId="12" applyNumberFormat="1" applyFont="1" applyFill="1" applyBorder="1" applyAlignment="1">
      <alignment horizontal="right" vertical="center" wrapText="1"/>
    </xf>
    <xf numFmtId="165" fontId="10" fillId="3" borderId="11" xfId="12" applyNumberFormat="1" applyFont="1" applyFill="1" applyBorder="1" applyAlignment="1">
      <alignment horizontal="right" vertical="center" wrapText="1"/>
    </xf>
    <xf numFmtId="165" fontId="10" fillId="3" borderId="41" xfId="12" applyNumberFormat="1" applyFont="1" applyFill="1" applyBorder="1" applyAlignment="1">
      <alignment horizontal="right" vertical="center" wrapText="1"/>
    </xf>
    <xf numFmtId="165" fontId="10" fillId="0" borderId="47" xfId="12" applyNumberFormat="1" applyFont="1" applyBorder="1" applyAlignment="1">
      <alignment horizontal="right" vertical="center" wrapText="1"/>
    </xf>
    <xf numFmtId="165" fontId="18" fillId="0" borderId="11" xfId="12" applyNumberFormat="1" applyFont="1" applyFill="1" applyBorder="1" applyAlignment="1">
      <alignment horizontal="right" vertical="center" wrapText="1"/>
    </xf>
    <xf numFmtId="165" fontId="18" fillId="0" borderId="28" xfId="12" applyNumberFormat="1" applyFont="1" applyFill="1" applyBorder="1" applyAlignment="1">
      <alignment horizontal="right" vertical="center" wrapText="1"/>
    </xf>
    <xf numFmtId="0" fontId="18" fillId="0" borderId="0" xfId="0" applyFont="1"/>
    <xf numFmtId="0" fontId="7" fillId="0" borderId="0" xfId="3" applyFont="1" applyBorder="1" applyAlignment="1">
      <alignment horizontal="center"/>
    </xf>
    <xf numFmtId="168" fontId="7" fillId="0" borderId="0" xfId="3" applyNumberFormat="1" applyFont="1" applyFill="1" applyBorder="1"/>
    <xf numFmtId="43" fontId="10" fillId="3" borderId="7" xfId="12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wrapText="1"/>
    </xf>
    <xf numFmtId="171" fontId="51" fillId="7" borderId="1" xfId="12" applyNumberFormat="1" applyFont="1" applyFill="1" applyBorder="1" applyAlignment="1"/>
    <xf numFmtId="171" fontId="51" fillId="7" borderId="8" xfId="12" applyNumberFormat="1" applyFont="1" applyFill="1" applyBorder="1" applyAlignment="1"/>
    <xf numFmtId="0" fontId="51" fillId="7" borderId="22" xfId="0" applyFont="1" applyFill="1" applyBorder="1" applyAlignment="1">
      <alignment horizontal="left"/>
    </xf>
    <xf numFmtId="0" fontId="51" fillId="7" borderId="24" xfId="0" applyFont="1" applyFill="1" applyBorder="1" applyAlignment="1">
      <alignment horizontal="left"/>
    </xf>
    <xf numFmtId="0" fontId="10" fillId="7" borderId="25" xfId="0" applyFont="1" applyFill="1" applyBorder="1" applyAlignment="1">
      <alignment horizontal="left" wrapText="1"/>
    </xf>
    <xf numFmtId="171" fontId="51" fillId="7" borderId="25" xfId="12" applyNumberFormat="1" applyFont="1" applyFill="1" applyBorder="1" applyAlignment="1"/>
    <xf numFmtId="175" fontId="51" fillId="7" borderId="25" xfId="12" applyNumberFormat="1" applyFont="1" applyFill="1" applyBorder="1" applyAlignment="1"/>
    <xf numFmtId="171" fontId="51" fillId="7" borderId="20" xfId="12" applyNumberFormat="1" applyFont="1" applyFill="1" applyBorder="1" applyAlignment="1"/>
    <xf numFmtId="3" fontId="18" fillId="7" borderId="22" xfId="0" applyNumberFormat="1" applyFont="1" applyFill="1" applyBorder="1" applyAlignment="1">
      <alignment wrapText="1"/>
    </xf>
    <xf numFmtId="3" fontId="18" fillId="7" borderId="1" xfId="0" applyNumberFormat="1" applyFont="1" applyFill="1" applyBorder="1" applyAlignment="1">
      <alignment wrapText="1"/>
    </xf>
    <xf numFmtId="3" fontId="18" fillId="7" borderId="1" xfId="12" applyNumberFormat="1" applyFont="1" applyFill="1" applyBorder="1" applyAlignment="1">
      <alignment horizontal="right" wrapText="1"/>
    </xf>
    <xf numFmtId="3" fontId="17" fillId="7" borderId="1" xfId="12" applyNumberFormat="1" applyFont="1" applyFill="1" applyBorder="1" applyAlignment="1">
      <alignment horizontal="right"/>
    </xf>
    <xf numFmtId="3" fontId="17" fillId="7" borderId="13" xfId="12" applyNumberFormat="1" applyFont="1" applyFill="1" applyBorder="1" applyAlignment="1">
      <alignment horizontal="right"/>
    </xf>
    <xf numFmtId="3" fontId="17" fillId="7" borderId="1" xfId="12" applyNumberFormat="1" applyFont="1" applyFill="1" applyBorder="1" applyAlignment="1"/>
    <xf numFmtId="3" fontId="17" fillId="7" borderId="8" xfId="12" applyNumberFormat="1" applyFont="1" applyFill="1" applyBorder="1" applyAlignment="1">
      <alignment horizontal="right"/>
    </xf>
    <xf numFmtId="3" fontId="17" fillId="3" borderId="18" xfId="0" applyNumberFormat="1" applyFont="1" applyFill="1" applyBorder="1" applyAlignment="1">
      <alignment horizontal="right"/>
    </xf>
    <xf numFmtId="3" fontId="17" fillId="3" borderId="8" xfId="0" applyNumberFormat="1" applyFont="1" applyFill="1" applyBorder="1" applyAlignment="1">
      <alignment horizontal="right"/>
    </xf>
    <xf numFmtId="3" fontId="17" fillId="3" borderId="29" xfId="12" applyNumberFormat="1" applyFont="1" applyFill="1" applyBorder="1" applyAlignment="1">
      <alignment horizontal="right"/>
    </xf>
    <xf numFmtId="3" fontId="15" fillId="3" borderId="8" xfId="12" applyNumberFormat="1" applyFont="1" applyFill="1" applyBorder="1" applyAlignment="1">
      <alignment horizontal="right"/>
    </xf>
    <xf numFmtId="3" fontId="51" fillId="3" borderId="8" xfId="0" applyNumberFormat="1" applyFont="1" applyFill="1" applyBorder="1" applyAlignment="1">
      <alignment horizontal="right"/>
    </xf>
    <xf numFmtId="3" fontId="15" fillId="3" borderId="8" xfId="0" applyNumberFormat="1" applyFont="1" applyFill="1" applyBorder="1" applyAlignment="1">
      <alignment horizontal="right"/>
    </xf>
    <xf numFmtId="3" fontId="18" fillId="3" borderId="11" xfId="0" applyNumberFormat="1" applyFont="1" applyFill="1" applyBorder="1" applyAlignment="1">
      <alignment wrapText="1"/>
    </xf>
    <xf numFmtId="3" fontId="51" fillId="3" borderId="18" xfId="0" applyNumberFormat="1" applyFont="1" applyFill="1" applyBorder="1" applyAlignment="1">
      <alignment horizontal="right"/>
    </xf>
    <xf numFmtId="3" fontId="51" fillId="3" borderId="19" xfId="0" applyNumberFormat="1" applyFont="1" applyFill="1" applyBorder="1" applyAlignment="1">
      <alignment horizontal="right"/>
    </xf>
    <xf numFmtId="3" fontId="16" fillId="3" borderId="11" xfId="0" applyNumberFormat="1" applyFont="1" applyFill="1" applyBorder="1" applyAlignment="1">
      <alignment horizontal="right"/>
    </xf>
    <xf numFmtId="3" fontId="51" fillId="3" borderId="114" xfId="12" applyNumberFormat="1" applyFont="1" applyFill="1" applyBorder="1" applyAlignment="1">
      <alignment horizontal="right"/>
    </xf>
    <xf numFmtId="3" fontId="51" fillId="3" borderId="8" xfId="12" applyNumberFormat="1" applyFont="1" applyFill="1" applyBorder="1" applyAlignment="1"/>
    <xf numFmtId="171" fontId="51" fillId="3" borderId="8" xfId="12" applyNumberFormat="1" applyFont="1" applyFill="1" applyBorder="1" applyAlignment="1"/>
    <xf numFmtId="3" fontId="51" fillId="3" borderId="29" xfId="12" applyNumberFormat="1" applyFont="1" applyFill="1" applyBorder="1" applyAlignment="1"/>
    <xf numFmtId="171" fontId="51" fillId="3" borderId="29" xfId="12" applyNumberFormat="1" applyFont="1" applyFill="1" applyBorder="1" applyAlignment="1"/>
    <xf numFmtId="3" fontId="17" fillId="3" borderId="29" xfId="12" applyNumberFormat="1" applyFont="1" applyFill="1" applyBorder="1" applyAlignment="1"/>
    <xf numFmtId="171" fontId="51" fillId="3" borderId="51" xfId="12" applyNumberFormat="1" applyFont="1" applyFill="1" applyBorder="1" applyAlignment="1"/>
    <xf numFmtId="0" fontId="10" fillId="0" borderId="28" xfId="3" applyFont="1" applyFill="1" applyBorder="1" applyAlignment="1">
      <alignment horizontal="center" vertical="center" wrapText="1"/>
    </xf>
    <xf numFmtId="0" fontId="10" fillId="0" borderId="6" xfId="3" applyNumberFormat="1" applyFont="1" applyFill="1" applyBorder="1" applyAlignment="1" applyProtection="1">
      <alignment horizontal="center" vertical="center" wrapText="1"/>
    </xf>
    <xf numFmtId="0" fontId="10" fillId="0" borderId="7" xfId="3" applyNumberFormat="1" applyFont="1" applyFill="1" applyBorder="1" applyAlignment="1" applyProtection="1">
      <alignment horizontal="center" vertical="center" wrapText="1"/>
    </xf>
    <xf numFmtId="0" fontId="10" fillId="0" borderId="6" xfId="3" applyFont="1" applyFill="1" applyBorder="1" applyAlignment="1">
      <alignment horizontal="center"/>
    </xf>
    <xf numFmtId="0" fontId="10" fillId="0" borderId="7" xfId="3" applyFont="1" applyFill="1" applyBorder="1" applyAlignment="1">
      <alignment horizontal="center"/>
    </xf>
    <xf numFmtId="0" fontId="10" fillId="0" borderId="28" xfId="3" applyFont="1" applyFill="1" applyBorder="1" applyAlignment="1">
      <alignment horizontal="center"/>
    </xf>
    <xf numFmtId="167" fontId="61" fillId="0" borderId="57" xfId="3" applyNumberFormat="1" applyFont="1" applyFill="1" applyBorder="1" applyAlignment="1"/>
    <xf numFmtId="167" fontId="61" fillId="0" borderId="92" xfId="3" applyNumberFormat="1" applyFont="1" applyFill="1" applyBorder="1" applyAlignment="1"/>
    <xf numFmtId="167" fontId="32" fillId="0" borderId="57" xfId="3" applyNumberFormat="1" applyFont="1" applyFill="1" applyBorder="1" applyAlignment="1"/>
    <xf numFmtId="167" fontId="32" fillId="0" borderId="92" xfId="3" applyNumberFormat="1" applyFont="1" applyFill="1" applyBorder="1" applyAlignment="1"/>
    <xf numFmtId="167" fontId="32" fillId="0" borderId="97" xfId="3" applyNumberFormat="1" applyFont="1" applyFill="1" applyBorder="1" applyAlignment="1"/>
    <xf numFmtId="167" fontId="32" fillId="0" borderId="98" xfId="3" applyNumberFormat="1" applyFont="1" applyFill="1" applyBorder="1" applyAlignment="1"/>
    <xf numFmtId="167" fontId="32" fillId="0" borderId="96" xfId="3" applyNumberFormat="1" applyFont="1" applyFill="1" applyBorder="1" applyAlignment="1"/>
    <xf numFmtId="1" fontId="18" fillId="0" borderId="62" xfId="0" applyNumberFormat="1" applyFont="1" applyBorder="1"/>
    <xf numFmtId="1" fontId="18" fillId="0" borderId="92" xfId="0" applyNumberFormat="1" applyFont="1" applyBorder="1"/>
    <xf numFmtId="167" fontId="18" fillId="0" borderId="92" xfId="0" applyNumberFormat="1" applyFont="1" applyFill="1" applyBorder="1"/>
    <xf numFmtId="43" fontId="66" fillId="0" borderId="8" xfId="12" applyNumberFormat="1" applyFont="1" applyFill="1" applyBorder="1" applyAlignment="1">
      <alignment horizontal="right" vertical="center"/>
    </xf>
    <xf numFmtId="43" fontId="10" fillId="0" borderId="8" xfId="12" applyNumberFormat="1" applyFont="1" applyFill="1" applyBorder="1" applyAlignment="1">
      <alignment horizontal="right" vertical="center" wrapText="1"/>
    </xf>
    <xf numFmtId="43" fontId="17" fillId="0" borderId="11" xfId="0" applyNumberFormat="1" applyFont="1" applyFill="1" applyBorder="1" applyAlignment="1">
      <alignment horizontal="right" vertical="center"/>
    </xf>
    <xf numFmtId="43" fontId="0" fillId="0" borderId="32" xfId="12" applyNumberFormat="1" applyFont="1" applyFill="1" applyBorder="1" applyAlignment="1">
      <alignment horizontal="center" vertical="center"/>
    </xf>
    <xf numFmtId="43" fontId="17" fillId="2" borderId="11" xfId="0" applyNumberFormat="1" applyFont="1" applyFill="1" applyBorder="1" applyAlignment="1">
      <alignment horizontal="right" vertical="center"/>
    </xf>
    <xf numFmtId="43" fontId="0" fillId="0" borderId="8" xfId="12" applyNumberFormat="1" applyFont="1" applyFill="1" applyBorder="1" applyAlignment="1">
      <alignment horizontal="center" vertical="center"/>
    </xf>
    <xf numFmtId="43" fontId="0" fillId="0" borderId="19" xfId="0" applyNumberFormat="1" applyFont="1" applyFill="1" applyBorder="1" applyAlignment="1">
      <alignment horizontal="right" vertical="center"/>
    </xf>
    <xf numFmtId="0" fontId="32" fillId="0" borderId="7" xfId="0" applyFont="1" applyFill="1" applyBorder="1" applyAlignment="1">
      <alignment horizontal="center" vertical="top" wrapText="1"/>
    </xf>
    <xf numFmtId="165" fontId="32" fillId="0" borderId="21" xfId="12" applyNumberFormat="1" applyFont="1" applyFill="1" applyBorder="1" applyAlignment="1">
      <alignment horizontal="center" vertical="top" wrapText="1"/>
    </xf>
    <xf numFmtId="165" fontId="10" fillId="0" borderId="22" xfId="12" applyNumberFormat="1" applyFont="1" applyFill="1" applyBorder="1" applyAlignment="1">
      <alignment horizontal="right" vertical="center" wrapText="1"/>
    </xf>
    <xf numFmtId="165" fontId="10" fillId="0" borderId="23" xfId="12" applyNumberFormat="1" applyFont="1" applyFill="1" applyBorder="1" applyAlignment="1">
      <alignment horizontal="right" vertical="center" wrapText="1"/>
    </xf>
    <xf numFmtId="165" fontId="17" fillId="0" borderId="52" xfId="0" applyNumberFormat="1" applyFont="1" applyFill="1" applyBorder="1" applyAlignment="1">
      <alignment horizontal="right" vertical="center"/>
    </xf>
    <xf numFmtId="165" fontId="10" fillId="0" borderId="21" xfId="12" applyNumberFormat="1" applyFont="1" applyFill="1" applyBorder="1" applyAlignment="1">
      <alignment horizontal="right" vertical="center" wrapText="1"/>
    </xf>
    <xf numFmtId="176" fontId="10" fillId="0" borderId="21" xfId="12" applyNumberFormat="1" applyFont="1" applyFill="1" applyBorder="1" applyAlignment="1">
      <alignment horizontal="right" vertical="center" wrapText="1"/>
    </xf>
    <xf numFmtId="1" fontId="0" fillId="0" borderId="22" xfId="0" applyNumberFormat="1" applyFont="1" applyFill="1" applyBorder="1" applyAlignment="1">
      <alignment horizontal="center" vertical="center"/>
    </xf>
    <xf numFmtId="3" fontId="17" fillId="6" borderId="13" xfId="0" applyNumberFormat="1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left" wrapText="1"/>
    </xf>
    <xf numFmtId="171" fontId="17" fillId="0" borderId="44" xfId="0" applyNumberFormat="1" applyFont="1" applyFill="1" applyBorder="1" applyAlignment="1">
      <alignment horizontal="right"/>
    </xf>
    <xf numFmtId="0" fontId="10" fillId="7" borderId="22" xfId="0" applyFont="1" applyFill="1" applyBorder="1" applyAlignment="1">
      <alignment horizontal="left" wrapText="1"/>
    </xf>
    <xf numFmtId="172" fontId="17" fillId="0" borderId="8" xfId="0" applyNumberFormat="1" applyFont="1" applyFill="1" applyBorder="1" applyAlignment="1">
      <alignment horizontal="right"/>
    </xf>
    <xf numFmtId="172" fontId="17" fillId="7" borderId="8" xfId="12" applyNumberFormat="1" applyFont="1" applyFill="1" applyBorder="1" applyAlignment="1">
      <alignment horizontal="right"/>
    </xf>
    <xf numFmtId="3" fontId="18" fillId="3" borderId="45" xfId="0" applyNumberFormat="1" applyFont="1" applyFill="1" applyBorder="1" applyAlignment="1">
      <alignment wrapText="1"/>
    </xf>
    <xf numFmtId="3" fontId="17" fillId="0" borderId="41" xfId="0" applyNumberFormat="1" applyFont="1" applyFill="1" applyBorder="1" applyAlignment="1">
      <alignment horizontal="right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173" fontId="4" fillId="0" borderId="10" xfId="12" applyNumberFormat="1" applyFont="1" applyBorder="1"/>
    <xf numFmtId="0" fontId="53" fillId="3" borderId="41" xfId="0" applyFont="1" applyFill="1" applyBorder="1" applyAlignment="1">
      <alignment horizontal="center" vertical="center" wrapText="1"/>
    </xf>
    <xf numFmtId="0" fontId="4" fillId="3" borderId="27" xfId="0" applyFont="1" applyFill="1" applyBorder="1"/>
    <xf numFmtId="0" fontId="21" fillId="0" borderId="8" xfId="9" applyFont="1" applyFill="1" applyBorder="1" applyAlignment="1">
      <alignment horizontal="center"/>
    </xf>
    <xf numFmtId="3" fontId="25" fillId="0" borderId="18" xfId="9" applyNumberFormat="1" applyFont="1" applyFill="1" applyBorder="1" applyAlignment="1"/>
    <xf numFmtId="0" fontId="21" fillId="0" borderId="8" xfId="9" applyFont="1" applyFill="1" applyBorder="1" applyAlignment="1"/>
    <xf numFmtId="0" fontId="37" fillId="0" borderId="8" xfId="9" applyFont="1" applyFill="1" applyBorder="1" applyAlignment="1"/>
    <xf numFmtId="1" fontId="21" fillId="0" borderId="8" xfId="9" applyNumberFormat="1" applyFont="1" applyFill="1" applyBorder="1" applyAlignment="1"/>
    <xf numFmtId="3" fontId="37" fillId="0" borderId="8" xfId="9" applyNumberFormat="1" applyFont="1" applyFill="1" applyBorder="1" applyAlignment="1"/>
    <xf numFmtId="3" fontId="11" fillId="0" borderId="20" xfId="0" applyNumberFormat="1" applyFont="1" applyFill="1" applyBorder="1" applyAlignment="1">
      <alignment wrapText="1"/>
    </xf>
    <xf numFmtId="0" fontId="23" fillId="0" borderId="26" xfId="5" applyFont="1" applyFill="1" applyBorder="1" applyAlignment="1">
      <alignment horizontal="center" vertical="center" wrapText="1"/>
    </xf>
    <xf numFmtId="1" fontId="25" fillId="0" borderId="27" xfId="0" applyNumberFormat="1" applyFont="1" applyFill="1" applyBorder="1"/>
    <xf numFmtId="167" fontId="25" fillId="0" borderId="27" xfId="3" applyNumberFormat="1" applyFont="1" applyFill="1" applyBorder="1"/>
    <xf numFmtId="167" fontId="25" fillId="0" borderId="27" xfId="0" applyNumberFormat="1" applyFont="1" applyFill="1" applyBorder="1"/>
    <xf numFmtId="167" fontId="44" fillId="0" borderId="27" xfId="0" applyNumberFormat="1" applyFont="1" applyFill="1" applyBorder="1"/>
    <xf numFmtId="2" fontId="25" fillId="0" borderId="27" xfId="0" applyNumberFormat="1" applyFont="1" applyFill="1" applyBorder="1"/>
    <xf numFmtId="2" fontId="44" fillId="0" borderId="27" xfId="0" applyNumberFormat="1" applyFont="1" applyFill="1" applyBorder="1"/>
    <xf numFmtId="1" fontId="25" fillId="0" borderId="27" xfId="3" applyNumberFormat="1" applyFont="1" applyFill="1" applyBorder="1"/>
    <xf numFmtId="4" fontId="25" fillId="0" borderId="40" xfId="0" applyNumberFormat="1" applyFont="1" applyFill="1" applyBorder="1"/>
    <xf numFmtId="0" fontId="10" fillId="0" borderId="0" xfId="5" applyFont="1" applyBorder="1" applyAlignment="1">
      <alignment horizontal="center" vertical="center" wrapText="1"/>
    </xf>
    <xf numFmtId="3" fontId="68" fillId="0" borderId="8" xfId="12" applyNumberFormat="1" applyFont="1" applyFill="1" applyBorder="1" applyAlignment="1">
      <alignment horizontal="right"/>
    </xf>
    <xf numFmtId="171" fontId="68" fillId="7" borderId="8" xfId="12" applyNumberFormat="1" applyFont="1" applyFill="1" applyBorder="1" applyAlignment="1"/>
    <xf numFmtId="3" fontId="67" fillId="0" borderId="8" xfId="12" applyNumberFormat="1" applyFont="1" applyFill="1" applyBorder="1" applyAlignment="1">
      <alignment horizontal="right"/>
    </xf>
    <xf numFmtId="3" fontId="69" fillId="0" borderId="8" xfId="12" applyNumberFormat="1" applyFont="1" applyFill="1" applyBorder="1" applyAlignment="1">
      <alignment horizontal="right"/>
    </xf>
    <xf numFmtId="3" fontId="69" fillId="0" borderId="18" xfId="12" applyNumberFormat="1" applyFont="1" applyFill="1" applyBorder="1" applyAlignment="1">
      <alignment horizontal="right"/>
    </xf>
    <xf numFmtId="0" fontId="18" fillId="0" borderId="62" xfId="0" applyFont="1" applyBorder="1" applyAlignment="1">
      <alignment horizontal="center"/>
    </xf>
    <xf numFmtId="0" fontId="18" fillId="0" borderId="92" xfId="0" applyFont="1" applyBorder="1" applyAlignment="1">
      <alignment horizontal="center"/>
    </xf>
    <xf numFmtId="0" fontId="10" fillId="0" borderId="106" xfId="3" applyFont="1" applyFill="1" applyBorder="1" applyAlignment="1">
      <alignment horizontal="center"/>
    </xf>
    <xf numFmtId="0" fontId="10" fillId="0" borderId="69" xfId="3" applyFont="1" applyFill="1" applyBorder="1" applyAlignment="1">
      <alignment horizontal="center"/>
    </xf>
    <xf numFmtId="0" fontId="39" fillId="0" borderId="90" xfId="3" applyFont="1" applyFill="1" applyBorder="1" applyAlignment="1">
      <alignment wrapText="1"/>
    </xf>
    <xf numFmtId="0" fontId="10" fillId="4" borderId="115" xfId="3" applyNumberFormat="1" applyFont="1" applyFill="1" applyBorder="1" applyAlignment="1" applyProtection="1">
      <alignment horizontal="center" vertical="center" wrapText="1"/>
    </xf>
    <xf numFmtId="0" fontId="10" fillId="4" borderId="116" xfId="3" applyNumberFormat="1" applyFont="1" applyFill="1" applyBorder="1" applyAlignment="1" applyProtection="1">
      <alignment horizontal="center" vertical="center" wrapText="1"/>
    </xf>
    <xf numFmtId="0" fontId="10" fillId="4" borderId="60" xfId="3" applyNumberFormat="1" applyFont="1" applyFill="1" applyBorder="1" applyAlignment="1" applyProtection="1">
      <alignment horizontal="center" vertical="center" wrapText="1"/>
    </xf>
    <xf numFmtId="167" fontId="39" fillId="0" borderId="117" xfId="3" applyNumberFormat="1" applyFont="1" applyFill="1" applyBorder="1" applyAlignment="1">
      <alignment horizontal="center" vertical="center"/>
    </xf>
    <xf numFmtId="167" fontId="39" fillId="4" borderId="56" xfId="3" applyNumberFormat="1" applyFont="1" applyFill="1" applyBorder="1" applyAlignment="1">
      <alignment horizontal="center" vertical="center"/>
    </xf>
    <xf numFmtId="167" fontId="39" fillId="4" borderId="117" xfId="3" applyNumberFormat="1" applyFont="1" applyFill="1" applyBorder="1" applyAlignment="1">
      <alignment horizontal="center" vertical="center"/>
    </xf>
    <xf numFmtId="167" fontId="39" fillId="4" borderId="118" xfId="3" applyNumberFormat="1" applyFont="1" applyFill="1" applyBorder="1" applyAlignment="1">
      <alignment horizontal="center" vertical="center"/>
    </xf>
    <xf numFmtId="167" fontId="39" fillId="4" borderId="119" xfId="3" applyNumberFormat="1" applyFont="1" applyFill="1" applyBorder="1" applyAlignment="1">
      <alignment horizontal="center" vertical="center"/>
    </xf>
    <xf numFmtId="0" fontId="32" fillId="4" borderId="120" xfId="3" applyNumberFormat="1" applyFont="1" applyFill="1" applyBorder="1" applyAlignment="1" applyProtection="1">
      <alignment horizontal="center" vertical="top"/>
    </xf>
    <xf numFmtId="0" fontId="32" fillId="4" borderId="59" xfId="3" applyNumberFormat="1" applyFont="1" applyFill="1" applyBorder="1" applyAlignment="1" applyProtection="1">
      <alignment horizontal="center" vertical="top" wrapText="1"/>
    </xf>
    <xf numFmtId="0" fontId="32" fillId="4" borderId="59" xfId="3" applyNumberFormat="1" applyFont="1" applyFill="1" applyBorder="1" applyAlignment="1" applyProtection="1">
      <alignment horizontal="center" vertical="top"/>
    </xf>
    <xf numFmtId="0" fontId="32" fillId="4" borderId="121" xfId="3" applyNumberFormat="1" applyFont="1" applyFill="1" applyBorder="1" applyAlignment="1" applyProtection="1">
      <alignment horizontal="center" vertical="top"/>
    </xf>
    <xf numFmtId="0" fontId="32" fillId="4" borderId="55" xfId="3" applyNumberFormat="1" applyFont="1" applyFill="1" applyBorder="1" applyAlignment="1" applyProtection="1">
      <alignment horizontal="center" vertical="top"/>
    </xf>
    <xf numFmtId="3" fontId="68" fillId="6" borderId="1" xfId="0" applyNumberFormat="1" applyFont="1" applyFill="1" applyBorder="1" applyAlignment="1"/>
    <xf numFmtId="174" fontId="68" fillId="7" borderId="1" xfId="12" applyNumberFormat="1" applyFont="1" applyFill="1" applyBorder="1" applyAlignment="1"/>
    <xf numFmtId="3" fontId="67" fillId="6" borderId="1" xfId="12" applyNumberFormat="1" applyFont="1" applyFill="1" applyBorder="1" applyAlignment="1">
      <alignment horizontal="right"/>
    </xf>
    <xf numFmtId="3" fontId="68" fillId="3" borderId="43" xfId="12" applyNumberFormat="1" applyFont="1" applyFill="1" applyBorder="1" applyAlignment="1"/>
    <xf numFmtId="3" fontId="1" fillId="0" borderId="8" xfId="12" applyNumberFormat="1" applyFont="1" applyFill="1" applyBorder="1" applyAlignment="1">
      <alignment horizontal="right"/>
    </xf>
    <xf numFmtId="171" fontId="1" fillId="7" borderId="8" xfId="12" applyNumberFormat="1" applyFont="1" applyFill="1" applyBorder="1" applyAlignment="1"/>
    <xf numFmtId="171" fontId="1" fillId="7" borderId="31" xfId="12" applyNumberFormat="1" applyFont="1" applyFill="1" applyBorder="1" applyAlignment="1"/>
    <xf numFmtId="175" fontId="1" fillId="7" borderId="20" xfId="12" applyNumberFormat="1" applyFont="1" applyFill="1" applyBorder="1" applyAlignment="1"/>
    <xf numFmtId="0" fontId="5" fillId="0" borderId="11" xfId="0" applyFont="1" applyFill="1" applyBorder="1" applyAlignment="1">
      <alignment horizontal="center" vertical="center" wrapText="1"/>
    </xf>
    <xf numFmtId="43" fontId="18" fillId="0" borderId="7" xfId="12" applyFont="1" applyFill="1" applyBorder="1" applyAlignment="1">
      <alignment horizontal="center" vertical="center" wrapText="1"/>
    </xf>
    <xf numFmtId="176" fontId="10" fillId="0" borderId="8" xfId="12" applyNumberFormat="1" applyFont="1" applyFill="1" applyBorder="1" applyAlignment="1">
      <alignment horizontal="center" vertical="center" wrapText="1"/>
    </xf>
    <xf numFmtId="176" fontId="10" fillId="0" borderId="27" xfId="12" applyNumberFormat="1" applyFont="1" applyFill="1" applyBorder="1" applyAlignment="1">
      <alignment horizontal="center" vertical="center" wrapText="1"/>
    </xf>
    <xf numFmtId="165" fontId="0" fillId="0" borderId="8" xfId="12" applyNumberFormat="1" applyFont="1" applyFill="1" applyBorder="1" applyAlignment="1">
      <alignment horizontal="center" vertical="center"/>
    </xf>
    <xf numFmtId="43" fontId="0" fillId="0" borderId="30" xfId="0" applyNumberFormat="1" applyFont="1" applyFill="1" applyBorder="1" applyAlignment="1">
      <alignment horizontal="right" vertical="center"/>
    </xf>
    <xf numFmtId="43" fontId="18" fillId="0" borderId="11" xfId="12" applyNumberFormat="1" applyFont="1" applyFill="1" applyBorder="1" applyAlignment="1">
      <alignment horizontal="right" vertical="center" wrapText="1"/>
    </xf>
    <xf numFmtId="176" fontId="66" fillId="0" borderId="8" xfId="12" applyNumberFormat="1" applyFont="1" applyFill="1" applyBorder="1" applyAlignment="1">
      <alignment horizontal="right" vertical="center"/>
    </xf>
    <xf numFmtId="176" fontId="10" fillId="0" borderId="29" xfId="12" applyNumberFormat="1" applyFont="1" applyFill="1" applyBorder="1" applyAlignment="1">
      <alignment horizontal="right" vertical="center" wrapText="1"/>
    </xf>
    <xf numFmtId="3" fontId="51" fillId="7" borderId="8" xfId="12" applyNumberFormat="1" applyFont="1" applyFill="1" applyBorder="1" applyAlignment="1">
      <alignment horizontal="right"/>
    </xf>
    <xf numFmtId="3" fontId="51" fillId="7" borderId="1" xfId="0" applyNumberFormat="1" applyFont="1" applyFill="1" applyBorder="1" applyAlignment="1"/>
    <xf numFmtId="3" fontId="51" fillId="7" borderId="8" xfId="0" applyNumberFormat="1" applyFont="1" applyFill="1" applyBorder="1" applyAlignment="1">
      <alignment horizontal="right"/>
    </xf>
    <xf numFmtId="175" fontId="51" fillId="7" borderId="43" xfId="0" applyNumberFormat="1" applyFont="1" applyFill="1" applyBorder="1" applyAlignment="1">
      <alignment horizontal="right"/>
    </xf>
    <xf numFmtId="3" fontId="51" fillId="7" borderId="19" xfId="12" applyNumberFormat="1" applyFont="1" applyFill="1" applyBorder="1" applyAlignment="1">
      <alignment horizontal="right"/>
    </xf>
    <xf numFmtId="3" fontId="51" fillId="7" borderId="5" xfId="0" applyNumberFormat="1" applyFont="1" applyFill="1" applyBorder="1" applyAlignment="1"/>
    <xf numFmtId="3" fontId="51" fillId="7" borderId="46" xfId="12" applyNumberFormat="1" applyFont="1" applyFill="1" applyBorder="1" applyAlignment="1">
      <alignment horizontal="right"/>
    </xf>
    <xf numFmtId="3" fontId="51" fillId="7" borderId="49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3" borderId="43" xfId="0" applyNumberFormat="1" applyFont="1" applyFill="1" applyBorder="1" applyAlignment="1">
      <alignment horizontal="right"/>
    </xf>
    <xf numFmtId="170" fontId="25" fillId="0" borderId="43" xfId="11" applyNumberFormat="1" applyFont="1" applyFill="1" applyBorder="1" applyAlignment="1"/>
    <xf numFmtId="3" fontId="25" fillId="0" borderId="43" xfId="9" applyNumberFormat="1" applyFont="1" applyFill="1" applyBorder="1" applyAlignment="1"/>
    <xf numFmtId="4" fontId="26" fillId="0" borderId="43" xfId="9" applyNumberFormat="1" applyFont="1" applyFill="1" applyBorder="1" applyAlignment="1">
      <alignment wrapText="1"/>
    </xf>
    <xf numFmtId="170" fontId="25" fillId="0" borderId="22" xfId="11" applyNumberFormat="1" applyFont="1" applyBorder="1" applyAlignment="1"/>
    <xf numFmtId="3" fontId="25" fillId="0" borderId="22" xfId="9" applyNumberFormat="1" applyFont="1" applyBorder="1" applyAlignment="1"/>
    <xf numFmtId="172" fontId="26" fillId="0" borderId="8" xfId="9" applyNumberFormat="1" applyFont="1" applyBorder="1" applyAlignment="1">
      <alignment wrapText="1"/>
    </xf>
    <xf numFmtId="3" fontId="26" fillId="0" borderId="8" xfId="9" applyNumberFormat="1" applyFont="1" applyBorder="1" applyAlignment="1">
      <alignment wrapText="1"/>
    </xf>
    <xf numFmtId="3" fontId="11" fillId="0" borderId="8" xfId="0" applyNumberFormat="1" applyFont="1" applyFill="1" applyBorder="1" applyAlignment="1">
      <alignment wrapText="1"/>
    </xf>
    <xf numFmtId="0" fontId="11" fillId="0" borderId="13" xfId="10" applyFont="1" applyFill="1" applyBorder="1" applyAlignment="1">
      <alignment horizontal="center" vertical="center" wrapText="1"/>
    </xf>
    <xf numFmtId="3" fontId="21" fillId="0" borderId="13" xfId="9" applyNumberFormat="1" applyFont="1" applyFill="1" applyBorder="1" applyAlignment="1"/>
    <xf numFmtId="170" fontId="25" fillId="0" borderId="13" xfId="11" applyNumberFormat="1" applyFont="1" applyFill="1" applyBorder="1" applyAlignment="1"/>
    <xf numFmtId="3" fontId="25" fillId="0" borderId="13" xfId="9" applyNumberFormat="1" applyFont="1" applyFill="1" applyBorder="1" applyAlignment="1"/>
    <xf numFmtId="3" fontId="41" fillId="0" borderId="13" xfId="0" applyNumberFormat="1" applyFont="1" applyFill="1" applyBorder="1" applyAlignment="1">
      <alignment wrapText="1"/>
    </xf>
    <xf numFmtId="3" fontId="26" fillId="0" borderId="13" xfId="9" applyNumberFormat="1" applyFont="1" applyFill="1" applyBorder="1" applyAlignment="1">
      <alignment wrapText="1"/>
    </xf>
    <xf numFmtId="1" fontId="21" fillId="0" borderId="22" xfId="9" applyNumberFormat="1" applyFont="1" applyFill="1" applyBorder="1" applyAlignment="1"/>
    <xf numFmtId="170" fontId="25" fillId="0" borderId="8" xfId="11" applyNumberFormat="1" applyFont="1" applyBorder="1" applyAlignment="1"/>
    <xf numFmtId="3" fontId="25" fillId="0" borderId="8" xfId="9" applyNumberFormat="1" applyFont="1" applyBorder="1" applyAlignment="1"/>
    <xf numFmtId="0" fontId="21" fillId="0" borderId="22" xfId="9" applyFont="1" applyFill="1" applyBorder="1" applyAlignment="1">
      <alignment horizontal="center"/>
    </xf>
    <xf numFmtId="0" fontId="21" fillId="0" borderId="43" xfId="9" applyFont="1" applyFill="1" applyBorder="1" applyAlignment="1">
      <alignment horizontal="center"/>
    </xf>
    <xf numFmtId="0" fontId="21" fillId="0" borderId="13" xfId="9" applyFont="1" applyFill="1" applyBorder="1" applyAlignment="1">
      <alignment horizontal="center"/>
    </xf>
    <xf numFmtId="3" fontId="25" fillId="0" borderId="21" xfId="9" applyNumberFormat="1" applyFont="1" applyFill="1" applyBorder="1" applyAlignment="1"/>
    <xf numFmtId="3" fontId="25" fillId="0" borderId="48" xfId="9" applyNumberFormat="1" applyFont="1" applyFill="1" applyBorder="1" applyAlignment="1"/>
    <xf numFmtId="3" fontId="25" fillId="0" borderId="16" xfId="9" applyNumberFormat="1" applyFont="1" applyFill="1" applyBorder="1" applyAlignment="1"/>
    <xf numFmtId="0" fontId="21" fillId="0" borderId="43" xfId="9" applyFont="1" applyFill="1" applyBorder="1" applyAlignment="1"/>
    <xf numFmtId="0" fontId="21" fillId="0" borderId="13" xfId="9" applyFont="1" applyFill="1" applyBorder="1" applyAlignment="1"/>
    <xf numFmtId="0" fontId="37" fillId="0" borderId="22" xfId="9" applyFont="1" applyFill="1" applyBorder="1" applyAlignment="1"/>
    <xf numFmtId="0" fontId="37" fillId="0" borderId="43" xfId="9" applyFont="1" applyFill="1" applyBorder="1" applyAlignment="1"/>
    <xf numFmtId="0" fontId="37" fillId="0" borderId="13" xfId="9" applyFont="1" applyFill="1" applyBorder="1" applyAlignment="1"/>
    <xf numFmtId="1" fontId="21" fillId="0" borderId="13" xfId="9" applyNumberFormat="1" applyFont="1" applyFill="1" applyBorder="1" applyAlignment="1"/>
    <xf numFmtId="170" fontId="25" fillId="0" borderId="22" xfId="11" applyNumberFormat="1" applyFont="1" applyFill="1" applyBorder="1" applyAlignment="1"/>
    <xf numFmtId="0" fontId="26" fillId="0" borderId="113" xfId="0" applyFont="1" applyFill="1" applyBorder="1"/>
    <xf numFmtId="0" fontId="26" fillId="0" borderId="44" xfId="0" applyFont="1" applyFill="1" applyBorder="1"/>
    <xf numFmtId="3" fontId="25" fillId="0" borderId="22" xfId="9" applyNumberFormat="1" applyFont="1" applyFill="1" applyBorder="1" applyAlignment="1"/>
    <xf numFmtId="3" fontId="25" fillId="0" borderId="29" xfId="9" applyNumberFormat="1" applyFont="1" applyFill="1" applyBorder="1" applyAlignment="1"/>
    <xf numFmtId="3" fontId="37" fillId="0" borderId="22" xfId="9" applyNumberFormat="1" applyFont="1" applyFill="1" applyBorder="1" applyAlignment="1"/>
    <xf numFmtId="3" fontId="37" fillId="0" borderId="43" xfId="9" applyNumberFormat="1" applyFont="1" applyFill="1" applyBorder="1" applyAlignment="1"/>
    <xf numFmtId="3" fontId="37" fillId="0" borderId="13" xfId="9" applyNumberFormat="1" applyFont="1" applyFill="1" applyBorder="1" applyAlignment="1"/>
    <xf numFmtId="4" fontId="40" fillId="0" borderId="13" xfId="9" applyNumberFormat="1" applyFont="1" applyFill="1" applyBorder="1" applyAlignment="1">
      <alignment wrapText="1"/>
    </xf>
    <xf numFmtId="4" fontId="26" fillId="0" borderId="22" xfId="9" applyNumberFormat="1" applyFont="1" applyFill="1" applyBorder="1" applyAlignment="1">
      <alignment wrapText="1"/>
    </xf>
    <xf numFmtId="4" fontId="26" fillId="0" borderId="8" xfId="9" applyNumberFormat="1" applyFont="1" applyFill="1" applyBorder="1" applyAlignment="1">
      <alignment wrapText="1"/>
    </xf>
    <xf numFmtId="165" fontId="21" fillId="0" borderId="22" xfId="12" applyNumberFormat="1" applyFont="1" applyFill="1" applyBorder="1" applyAlignment="1"/>
    <xf numFmtId="3" fontId="11" fillId="0" borderId="22" xfId="0" applyNumberFormat="1" applyFont="1" applyFill="1" applyBorder="1" applyAlignment="1">
      <alignment wrapText="1"/>
    </xf>
    <xf numFmtId="3" fontId="11" fillId="0" borderId="43" xfId="0" applyNumberFormat="1" applyFont="1" applyFill="1" applyBorder="1" applyAlignment="1">
      <alignment wrapText="1"/>
    </xf>
    <xf numFmtId="4" fontId="11" fillId="0" borderId="8" xfId="0" applyNumberFormat="1" applyFont="1" applyFill="1" applyBorder="1" applyAlignment="1">
      <alignment wrapText="1"/>
    </xf>
    <xf numFmtId="3" fontId="11" fillId="0" borderId="24" xfId="0" applyNumberFormat="1" applyFont="1" applyFill="1" applyBorder="1" applyAlignment="1">
      <alignment wrapText="1"/>
    </xf>
    <xf numFmtId="3" fontId="11" fillId="0" borderId="53" xfId="0" applyNumberFormat="1" applyFont="1" applyFill="1" applyBorder="1" applyAlignment="1">
      <alignment wrapText="1"/>
    </xf>
    <xf numFmtId="3" fontId="11" fillId="0" borderId="31" xfId="0" applyNumberFormat="1" applyFont="1" applyFill="1" applyBorder="1" applyAlignment="1">
      <alignment wrapText="1"/>
    </xf>
    <xf numFmtId="170" fontId="25" fillId="0" borderId="29" xfId="11" applyNumberFormat="1" applyFont="1" applyBorder="1" applyAlignment="1"/>
    <xf numFmtId="3" fontId="25" fillId="0" borderId="29" xfId="9" applyNumberFormat="1" applyFont="1" applyBorder="1" applyAlignment="1"/>
    <xf numFmtId="3" fontId="21" fillId="0" borderId="27" xfId="9" applyNumberFormat="1" applyFont="1" applyBorder="1" applyAlignment="1"/>
    <xf numFmtId="3" fontId="21" fillId="0" borderId="29" xfId="9" applyNumberFormat="1" applyFont="1" applyFill="1" applyBorder="1" applyAlignment="1"/>
    <xf numFmtId="0" fontId="11" fillId="3" borderId="13" xfId="10" applyFont="1" applyFill="1" applyBorder="1" applyAlignment="1">
      <alignment horizontal="center" vertical="center" wrapText="1"/>
    </xf>
    <xf numFmtId="0" fontId="21" fillId="3" borderId="13" xfId="9" applyFont="1" applyFill="1" applyBorder="1" applyAlignment="1">
      <alignment horizontal="center"/>
    </xf>
    <xf numFmtId="3" fontId="25" fillId="3" borderId="16" xfId="9" applyNumberFormat="1" applyFont="1" applyFill="1" applyBorder="1" applyAlignment="1"/>
    <xf numFmtId="0" fontId="21" fillId="3" borderId="13" xfId="9" applyFont="1" applyFill="1" applyBorder="1" applyAlignment="1"/>
    <xf numFmtId="3" fontId="21" fillId="3" borderId="13" xfId="9" applyNumberFormat="1" applyFont="1" applyFill="1" applyBorder="1" applyAlignment="1"/>
    <xf numFmtId="0" fontId="37" fillId="3" borderId="13" xfId="9" applyFont="1" applyFill="1" applyBorder="1" applyAlignment="1"/>
    <xf numFmtId="1" fontId="21" fillId="3" borderId="13" xfId="9" applyNumberFormat="1" applyFont="1" applyFill="1" applyBorder="1" applyAlignment="1"/>
    <xf numFmtId="170" fontId="25" fillId="3" borderId="13" xfId="11" applyNumberFormat="1" applyFont="1" applyFill="1" applyBorder="1" applyAlignment="1"/>
    <xf numFmtId="3" fontId="25" fillId="3" borderId="13" xfId="9" applyNumberFormat="1" applyFont="1" applyFill="1" applyBorder="1" applyAlignment="1"/>
    <xf numFmtId="3" fontId="37" fillId="3" borderId="13" xfId="9" applyNumberFormat="1" applyFont="1" applyFill="1" applyBorder="1" applyAlignment="1"/>
    <xf numFmtId="171" fontId="26" fillId="3" borderId="13" xfId="9" applyNumberFormat="1" applyFont="1" applyFill="1" applyBorder="1" applyAlignment="1">
      <alignment wrapText="1"/>
    </xf>
    <xf numFmtId="3" fontId="41" fillId="3" borderId="13" xfId="0" applyNumberFormat="1" applyFont="1" applyFill="1" applyBorder="1" applyAlignment="1">
      <alignment wrapText="1"/>
    </xf>
    <xf numFmtId="3" fontId="26" fillId="3" borderId="13" xfId="0" applyNumberFormat="1" applyFont="1" applyFill="1" applyBorder="1" applyAlignment="1">
      <alignment wrapText="1"/>
    </xf>
    <xf numFmtId="3" fontId="11" fillId="3" borderId="31" xfId="0" applyNumberFormat="1" applyFont="1" applyFill="1" applyBorder="1" applyAlignment="1">
      <alignment wrapText="1"/>
    </xf>
    <xf numFmtId="0" fontId="21" fillId="0" borderId="26" xfId="3" applyFont="1" applyBorder="1" applyAlignment="1">
      <alignment horizontal="center"/>
    </xf>
    <xf numFmtId="0" fontId="21" fillId="0" borderId="27" xfId="3" applyFont="1" applyBorder="1" applyAlignment="1">
      <alignment horizontal="center" vertical="center"/>
    </xf>
    <xf numFmtId="16" fontId="21" fillId="0" borderId="27" xfId="3" applyNumberFormat="1" applyFont="1" applyBorder="1" applyAlignment="1">
      <alignment horizontal="center" vertical="center"/>
    </xf>
    <xf numFmtId="0" fontId="21" fillId="0" borderId="40" xfId="3" applyFont="1" applyBorder="1" applyAlignment="1">
      <alignment horizontal="center" vertical="center"/>
    </xf>
    <xf numFmtId="0" fontId="21" fillId="0" borderId="27" xfId="3" applyFont="1" applyBorder="1" applyAlignment="1">
      <alignment wrapText="1"/>
    </xf>
    <xf numFmtId="0" fontId="21" fillId="0" borderId="27" xfId="9" applyFont="1" applyBorder="1" applyAlignment="1">
      <alignment wrapText="1"/>
    </xf>
    <xf numFmtId="0" fontId="21" fillId="0" borderId="40" xfId="3" applyFont="1" applyBorder="1" applyAlignment="1">
      <alignment wrapText="1"/>
    </xf>
    <xf numFmtId="0" fontId="23" fillId="0" borderId="48" xfId="5" applyFont="1" applyFill="1" applyBorder="1" applyAlignment="1">
      <alignment horizontal="center" vertical="center" wrapText="1"/>
    </xf>
    <xf numFmtId="171" fontId="25" fillId="0" borderId="43" xfId="0" applyNumberFormat="1" applyFont="1" applyBorder="1"/>
    <xf numFmtId="1" fontId="25" fillId="0" borderId="43" xfId="0" applyNumberFormat="1" applyFont="1" applyBorder="1"/>
    <xf numFmtId="167" fontId="25" fillId="0" borderId="43" xfId="3" applyNumberFormat="1" applyFont="1" applyFill="1" applyBorder="1"/>
    <xf numFmtId="167" fontId="44" fillId="0" borderId="43" xfId="0" applyNumberFormat="1" applyFont="1" applyFill="1" applyBorder="1"/>
    <xf numFmtId="2" fontId="25" fillId="0" borderId="43" xfId="0" applyNumberFormat="1" applyFont="1" applyFill="1" applyBorder="1"/>
    <xf numFmtId="2" fontId="44" fillId="0" borderId="43" xfId="0" applyNumberFormat="1" applyFont="1" applyFill="1" applyBorder="1"/>
    <xf numFmtId="2" fontId="25" fillId="0" borderId="43" xfId="3" applyNumberFormat="1" applyFont="1" applyFill="1" applyBorder="1"/>
    <xf numFmtId="1" fontId="25" fillId="0" borderId="43" xfId="3" applyNumberFormat="1" applyFont="1" applyFill="1" applyBorder="1"/>
    <xf numFmtId="1" fontId="25" fillId="0" borderId="43" xfId="0" applyNumberFormat="1" applyFont="1" applyFill="1" applyBorder="1"/>
    <xf numFmtId="4" fontId="25" fillId="0" borderId="43" xfId="0" applyNumberFormat="1" applyFont="1" applyFill="1" applyBorder="1"/>
    <xf numFmtId="4" fontId="25" fillId="0" borderId="53" xfId="0" applyNumberFormat="1" applyFont="1" applyFill="1" applyBorder="1"/>
    <xf numFmtId="0" fontId="43" fillId="0" borderId="27" xfId="3" applyFont="1" applyBorder="1" applyAlignment="1">
      <alignment horizontal="center" wrapText="1"/>
    </xf>
    <xf numFmtId="0" fontId="21" fillId="0" borderId="27" xfId="3" applyFont="1" applyBorder="1" applyAlignment="1">
      <alignment horizontal="center"/>
    </xf>
    <xf numFmtId="0" fontId="21" fillId="0" borderId="40" xfId="3" applyFont="1" applyBorder="1" applyAlignment="1">
      <alignment horizontal="center"/>
    </xf>
    <xf numFmtId="3" fontId="25" fillId="0" borderId="27" xfId="0" applyNumberFormat="1" applyFont="1" applyBorder="1"/>
    <xf numFmtId="1" fontId="25" fillId="0" borderId="27" xfId="0" applyNumberFormat="1" applyFont="1" applyBorder="1"/>
    <xf numFmtId="3" fontId="25" fillId="0" borderId="27" xfId="0" applyNumberFormat="1" applyFont="1" applyFill="1" applyBorder="1"/>
    <xf numFmtId="3" fontId="25" fillId="0" borderId="40" xfId="0" applyNumberFormat="1" applyFont="1" applyFill="1" applyBorder="1"/>
    <xf numFmtId="0" fontId="23" fillId="0" borderId="32" xfId="5" applyFont="1" applyFill="1" applyBorder="1" applyAlignment="1">
      <alignment horizontal="center" vertical="center" wrapText="1"/>
    </xf>
    <xf numFmtId="167" fontId="25" fillId="0" borderId="29" xfId="3" applyNumberFormat="1" applyFont="1" applyFill="1" applyBorder="1"/>
    <xf numFmtId="167" fontId="25" fillId="0" borderId="29" xfId="0" applyNumberFormat="1" applyFont="1" applyFill="1" applyBorder="1"/>
    <xf numFmtId="167" fontId="44" fillId="0" borderId="29" xfId="0" applyNumberFormat="1" applyFont="1" applyFill="1" applyBorder="1"/>
    <xf numFmtId="2" fontId="25" fillId="0" borderId="29" xfId="0" applyNumberFormat="1" applyFont="1" applyFill="1" applyBorder="1"/>
    <xf numFmtId="2" fontId="44" fillId="0" borderId="29" xfId="0" applyNumberFormat="1" applyFont="1" applyFill="1" applyBorder="1"/>
    <xf numFmtId="2" fontId="25" fillId="0" borderId="29" xfId="3" applyNumberFormat="1" applyFont="1" applyFill="1" applyBorder="1"/>
    <xf numFmtId="1" fontId="25" fillId="0" borderId="29" xfId="3" applyNumberFormat="1" applyFont="1" applyFill="1" applyBorder="1"/>
    <xf numFmtId="1" fontId="25" fillId="0" borderId="29" xfId="0" applyNumberFormat="1" applyFont="1" applyFill="1" applyBorder="1"/>
    <xf numFmtId="3" fontId="25" fillId="0" borderId="8" xfId="0" applyNumberFormat="1" applyFont="1" applyFill="1" applyBorder="1"/>
    <xf numFmtId="2" fontId="25" fillId="0" borderId="27" xfId="3" applyNumberFormat="1" applyFont="1" applyFill="1" applyBorder="1"/>
    <xf numFmtId="4" fontId="25" fillId="0" borderId="27" xfId="0" applyNumberFormat="1" applyFont="1" applyFill="1" applyBorder="1"/>
    <xf numFmtId="3" fontId="25" fillId="0" borderId="43" xfId="0" applyNumberFormat="1" applyFont="1" applyFill="1" applyBorder="1"/>
    <xf numFmtId="0" fontId="23" fillId="3" borderId="33" xfId="5" applyFont="1" applyFill="1" applyBorder="1" applyAlignment="1">
      <alignment horizontal="center" vertical="center" wrapText="1"/>
    </xf>
    <xf numFmtId="3" fontId="25" fillId="3" borderId="34" xfId="0" applyNumberFormat="1" applyFont="1" applyFill="1" applyBorder="1"/>
    <xf numFmtId="1" fontId="25" fillId="3" borderId="34" xfId="0" applyNumberFormat="1" applyFont="1" applyFill="1" applyBorder="1"/>
    <xf numFmtId="167" fontId="25" fillId="3" borderId="34" xfId="3" applyNumberFormat="1" applyFont="1" applyFill="1" applyBorder="1"/>
    <xf numFmtId="167" fontId="25" fillId="3" borderId="34" xfId="0" applyNumberFormat="1" applyFont="1" applyFill="1" applyBorder="1"/>
    <xf numFmtId="167" fontId="44" fillId="3" borderId="34" xfId="0" applyNumberFormat="1" applyFont="1" applyFill="1" applyBorder="1"/>
    <xf numFmtId="2" fontId="25" fillId="3" borderId="34" xfId="0" applyNumberFormat="1" applyFont="1" applyFill="1" applyBorder="1"/>
    <xf numFmtId="2" fontId="44" fillId="3" borderId="34" xfId="0" applyNumberFormat="1" applyFont="1" applyFill="1" applyBorder="1"/>
    <xf numFmtId="1" fontId="25" fillId="3" borderId="34" xfId="3" applyNumberFormat="1" applyFont="1" applyFill="1" applyBorder="1"/>
    <xf numFmtId="4" fontId="25" fillId="3" borderId="34" xfId="0" applyNumberFormat="1" applyFont="1" applyFill="1" applyBorder="1"/>
    <xf numFmtId="4" fontId="25" fillId="3" borderId="122" xfId="0" applyNumberFormat="1" applyFont="1" applyFill="1" applyBorder="1"/>
    <xf numFmtId="3" fontId="25" fillId="0" borderId="29" xfId="0" applyNumberFormat="1" applyFont="1" applyFill="1" applyBorder="1"/>
    <xf numFmtId="3" fontId="17" fillId="0" borderId="105" xfId="12" applyNumberFormat="1" applyFont="1" applyFill="1" applyBorder="1" applyAlignment="1">
      <alignment horizontal="right"/>
    </xf>
    <xf numFmtId="3" fontId="17" fillId="0" borderId="37" xfId="12" applyNumberFormat="1" applyFont="1" applyFill="1" applyBorder="1" applyAlignment="1">
      <alignment horizontal="right"/>
    </xf>
    <xf numFmtId="3" fontId="15" fillId="0" borderId="37" xfId="12" applyNumberFormat="1" applyFont="1" applyFill="1" applyBorder="1" applyAlignment="1">
      <alignment horizontal="right"/>
    </xf>
    <xf numFmtId="3" fontId="17" fillId="7" borderId="37" xfId="12" applyNumberFormat="1" applyFont="1" applyFill="1" applyBorder="1" applyAlignment="1">
      <alignment horizontal="right"/>
    </xf>
    <xf numFmtId="3" fontId="15" fillId="6" borderId="37" xfId="12" applyNumberFormat="1" applyFont="1" applyFill="1" applyBorder="1" applyAlignment="1">
      <alignment horizontal="right"/>
    </xf>
    <xf numFmtId="3" fontId="17" fillId="6" borderId="37" xfId="12" applyNumberFormat="1" applyFont="1" applyFill="1" applyBorder="1" applyAlignment="1">
      <alignment horizontal="right"/>
    </xf>
    <xf numFmtId="3" fontId="51" fillId="6" borderId="37" xfId="12" applyNumberFormat="1" applyFont="1" applyFill="1" applyBorder="1" applyAlignment="1">
      <alignment horizontal="right"/>
    </xf>
    <xf numFmtId="3" fontId="18" fillId="6" borderId="37" xfId="12" applyNumberFormat="1" applyFont="1" applyFill="1" applyBorder="1" applyAlignment="1">
      <alignment horizontal="right" wrapText="1"/>
    </xf>
    <xf numFmtId="3" fontId="15" fillId="0" borderId="105" xfId="12" applyNumberFormat="1" applyFont="1" applyFill="1" applyBorder="1" applyAlignment="1">
      <alignment horizontal="right"/>
    </xf>
    <xf numFmtId="3" fontId="51" fillId="6" borderId="105" xfId="12" applyNumberFormat="1" applyFont="1" applyFill="1" applyBorder="1" applyAlignment="1">
      <alignment horizontal="right"/>
    </xf>
    <xf numFmtId="3" fontId="51" fillId="7" borderId="37" xfId="12" applyNumberFormat="1" applyFont="1" applyFill="1" applyBorder="1" applyAlignment="1">
      <alignment horizontal="right"/>
    </xf>
    <xf numFmtId="3" fontId="17" fillId="6" borderId="37" xfId="0" applyNumberFormat="1" applyFont="1" applyFill="1" applyBorder="1" applyAlignment="1">
      <alignment horizontal="right"/>
    </xf>
    <xf numFmtId="3" fontId="68" fillId="6" borderId="37" xfId="12" applyNumberFormat="1" applyFont="1" applyFill="1" applyBorder="1" applyAlignment="1">
      <alignment horizontal="right"/>
    </xf>
    <xf numFmtId="171" fontId="68" fillId="7" borderId="37" xfId="12" applyNumberFormat="1" applyFont="1" applyFill="1" applyBorder="1" applyAlignment="1"/>
    <xf numFmtId="3" fontId="67" fillId="6" borderId="37" xfId="12" applyNumberFormat="1" applyFont="1" applyFill="1" applyBorder="1" applyAlignment="1">
      <alignment horizontal="right"/>
    </xf>
    <xf numFmtId="171" fontId="51" fillId="7" borderId="37" xfId="12" applyNumberFormat="1" applyFont="1" applyFill="1" applyBorder="1" applyAlignment="1"/>
    <xf numFmtId="171" fontId="51" fillId="7" borderId="38" xfId="12" applyNumberFormat="1" applyFont="1" applyFill="1" applyBorder="1" applyAlignment="1"/>
    <xf numFmtId="1" fontId="51" fillId="0" borderId="41" xfId="12" applyNumberFormat="1" applyFont="1" applyFill="1" applyBorder="1" applyAlignment="1">
      <alignment horizontal="center" vertical="center"/>
    </xf>
    <xf numFmtId="3" fontId="17" fillId="0" borderId="27" xfId="12" applyNumberFormat="1" applyFont="1" applyFill="1" applyBorder="1" applyAlignment="1">
      <alignment horizontal="right"/>
    </xf>
    <xf numFmtId="3" fontId="15" fillId="0" borderId="27" xfId="12" applyNumberFormat="1" applyFont="1" applyFill="1" applyBorder="1" applyAlignment="1">
      <alignment horizontal="right"/>
    </xf>
    <xf numFmtId="3" fontId="17" fillId="7" borderId="27" xfId="12" applyNumberFormat="1" applyFont="1" applyFill="1" applyBorder="1" applyAlignment="1">
      <alignment horizontal="right"/>
    </xf>
    <xf numFmtId="3" fontId="51" fillId="0" borderId="27" xfId="12" applyNumberFormat="1" applyFont="1" applyFill="1" applyBorder="1" applyAlignment="1">
      <alignment horizontal="right"/>
    </xf>
    <xf numFmtId="3" fontId="18" fillId="0" borderId="27" xfId="12" applyNumberFormat="1" applyFont="1" applyFill="1" applyBorder="1" applyAlignment="1">
      <alignment horizontal="right" wrapText="1"/>
    </xf>
    <xf numFmtId="3" fontId="15" fillId="0" borderId="42" xfId="12" applyNumberFormat="1" applyFont="1" applyFill="1" applyBorder="1" applyAlignment="1">
      <alignment horizontal="right"/>
    </xf>
    <xf numFmtId="3" fontId="15" fillId="0" borderId="26" xfId="12" applyNumberFormat="1" applyFont="1" applyFill="1" applyBorder="1" applyAlignment="1">
      <alignment horizontal="right"/>
    </xf>
    <xf numFmtId="3" fontId="15" fillId="0" borderId="40" xfId="12" applyNumberFormat="1" applyFont="1" applyFill="1" applyBorder="1" applyAlignment="1">
      <alignment horizontal="right"/>
    </xf>
    <xf numFmtId="3" fontId="18" fillId="0" borderId="41" xfId="0" applyNumberFormat="1" applyFont="1" applyFill="1" applyBorder="1" applyAlignment="1">
      <alignment horizontal="right" wrapText="1"/>
    </xf>
    <xf numFmtId="3" fontId="51" fillId="0" borderId="26" xfId="12" applyNumberFormat="1" applyFont="1" applyFill="1" applyBorder="1" applyAlignment="1">
      <alignment horizontal="right"/>
    </xf>
    <xf numFmtId="3" fontId="51" fillId="7" borderId="27" xfId="12" applyNumberFormat="1" applyFont="1" applyFill="1" applyBorder="1" applyAlignment="1">
      <alignment horizontal="right"/>
    </xf>
    <xf numFmtId="3" fontId="51" fillId="7" borderId="42" xfId="12" applyNumberFormat="1" applyFont="1" applyFill="1" applyBorder="1" applyAlignment="1">
      <alignment horizontal="right"/>
    </xf>
    <xf numFmtId="3" fontId="16" fillId="0" borderId="41" xfId="12" applyNumberFormat="1" applyFont="1" applyFill="1" applyBorder="1" applyAlignment="1">
      <alignment horizontal="right"/>
    </xf>
    <xf numFmtId="3" fontId="17" fillId="0" borderId="27" xfId="0" applyNumberFormat="1" applyFont="1" applyFill="1" applyBorder="1" applyAlignment="1">
      <alignment horizontal="right"/>
    </xf>
    <xf numFmtId="171" fontId="17" fillId="0" borderId="108" xfId="0" applyNumberFormat="1" applyFont="1" applyFill="1" applyBorder="1" applyAlignment="1">
      <alignment horizontal="right"/>
    </xf>
    <xf numFmtId="3" fontId="1" fillId="0" borderId="27" xfId="12" applyNumberFormat="1" applyFont="1" applyFill="1" applyBorder="1" applyAlignment="1">
      <alignment horizontal="right"/>
    </xf>
    <xf numFmtId="171" fontId="68" fillId="7" borderId="27" xfId="12" applyNumberFormat="1" applyFont="1" applyFill="1" applyBorder="1" applyAlignment="1"/>
    <xf numFmtId="3" fontId="67" fillId="0" borderId="27" xfId="12" applyNumberFormat="1" applyFont="1" applyFill="1" applyBorder="1" applyAlignment="1">
      <alignment horizontal="right"/>
    </xf>
    <xf numFmtId="171" fontId="51" fillId="7" borderId="27" xfId="12" applyNumberFormat="1" applyFont="1" applyFill="1" applyBorder="1" applyAlignment="1"/>
    <xf numFmtId="171" fontId="51" fillId="7" borderId="40" xfId="12" applyNumberFormat="1" applyFont="1" applyFill="1" applyBorder="1" applyAlignment="1"/>
    <xf numFmtId="172" fontId="17" fillId="0" borderId="27" xfId="12" applyNumberFormat="1" applyFont="1" applyFill="1" applyBorder="1" applyAlignment="1">
      <alignment horizontal="right"/>
    </xf>
    <xf numFmtId="172" fontId="17" fillId="7" borderId="27" xfId="12" applyNumberFormat="1" applyFont="1" applyFill="1" applyBorder="1" applyAlignment="1">
      <alignment horizontal="right"/>
    </xf>
    <xf numFmtId="172" fontId="15" fillId="0" borderId="27" xfId="12" applyNumberFormat="1" applyFont="1" applyFill="1" applyBorder="1" applyAlignment="1">
      <alignment horizontal="right"/>
    </xf>
    <xf numFmtId="172" fontId="15" fillId="0" borderId="42" xfId="12" applyNumberFormat="1" applyFont="1" applyFill="1" applyBorder="1" applyAlignment="1">
      <alignment horizontal="right"/>
    </xf>
    <xf numFmtId="43" fontId="2" fillId="3" borderId="47" xfId="12" applyFont="1" applyFill="1" applyBorder="1" applyAlignment="1">
      <alignment horizontal="center" vertical="center" wrapText="1"/>
    </xf>
    <xf numFmtId="1" fontId="51" fillId="3" borderId="45" xfId="0" applyNumberFormat="1" applyFont="1" applyFill="1" applyBorder="1" applyAlignment="1">
      <alignment horizontal="center" vertical="center"/>
    </xf>
    <xf numFmtId="3" fontId="17" fillId="3" borderId="105" xfId="0" applyNumberFormat="1" applyFont="1" applyFill="1" applyBorder="1" applyAlignment="1">
      <alignment horizontal="right"/>
    </xf>
    <xf numFmtId="3" fontId="17" fillId="3" borderId="37" xfId="0" applyNumberFormat="1" applyFont="1" applyFill="1" applyBorder="1" applyAlignment="1">
      <alignment horizontal="right"/>
    </xf>
    <xf numFmtId="3" fontId="17" fillId="3" borderId="37" xfId="12" applyNumberFormat="1" applyFont="1" applyFill="1" applyBorder="1" applyAlignment="1">
      <alignment horizontal="right"/>
    </xf>
    <xf numFmtId="3" fontId="51" fillId="3" borderId="105" xfId="0" applyNumberFormat="1" applyFont="1" applyFill="1" applyBorder="1" applyAlignment="1">
      <alignment horizontal="right"/>
    </xf>
    <xf numFmtId="3" fontId="51" fillId="3" borderId="37" xfId="0" applyNumberFormat="1" applyFont="1" applyFill="1" applyBorder="1" applyAlignment="1">
      <alignment horizontal="right"/>
    </xf>
    <xf numFmtId="4" fontId="51" fillId="3" borderId="46" xfId="0" applyNumberFormat="1" applyFont="1" applyFill="1" applyBorder="1" applyAlignment="1">
      <alignment horizontal="right"/>
    </xf>
    <xf numFmtId="3" fontId="16" fillId="3" borderId="45" xfId="0" applyNumberFormat="1" applyFont="1" applyFill="1" applyBorder="1" applyAlignment="1">
      <alignment horizontal="right"/>
    </xf>
    <xf numFmtId="3" fontId="51" fillId="3" borderId="46" xfId="0" applyNumberFormat="1" applyFont="1" applyFill="1" applyBorder="1" applyAlignment="1">
      <alignment horizontal="right"/>
    </xf>
    <xf numFmtId="3" fontId="51" fillId="3" borderId="123" xfId="12" applyNumberFormat="1" applyFont="1" applyFill="1" applyBorder="1" applyAlignment="1">
      <alignment horizontal="right"/>
    </xf>
    <xf numFmtId="3" fontId="51" fillId="3" borderId="37" xfId="12" applyNumberFormat="1" applyFont="1" applyFill="1" applyBorder="1" applyAlignment="1"/>
    <xf numFmtId="171" fontId="51" fillId="3" borderId="37" xfId="12" applyNumberFormat="1" applyFont="1" applyFill="1" applyBorder="1" applyAlignment="1"/>
    <xf numFmtId="3" fontId="17" fillId="3" borderId="37" xfId="12" applyNumberFormat="1" applyFont="1" applyFill="1" applyBorder="1" applyAlignment="1"/>
    <xf numFmtId="171" fontId="51" fillId="3" borderId="38" xfId="12" applyNumberFormat="1" applyFont="1" applyFill="1" applyBorder="1" applyAlignment="1"/>
    <xf numFmtId="1" fontId="51" fillId="0" borderId="41" xfId="0" applyNumberFormat="1" applyFont="1" applyFill="1" applyBorder="1" applyAlignment="1">
      <alignment horizontal="center" vertical="center"/>
    </xf>
    <xf numFmtId="3" fontId="17" fillId="0" borderId="26" xfId="0" applyNumberFormat="1" applyFont="1" applyFill="1" applyBorder="1" applyAlignment="1">
      <alignment horizontal="right"/>
    </xf>
    <xf numFmtId="3" fontId="51" fillId="0" borderId="27" xfId="0" applyNumberFormat="1" applyFont="1" applyFill="1" applyBorder="1" applyAlignment="1">
      <alignment horizontal="right"/>
    </xf>
    <xf numFmtId="3" fontId="15" fillId="0" borderId="27" xfId="0" applyNumberFormat="1" applyFont="1" applyFill="1" applyBorder="1" applyAlignment="1">
      <alignment horizontal="right"/>
    </xf>
    <xf numFmtId="172" fontId="17" fillId="0" borderId="27" xfId="0" applyNumberFormat="1" applyFont="1" applyFill="1" applyBorder="1" applyAlignment="1">
      <alignment horizontal="right"/>
    </xf>
    <xf numFmtId="3" fontId="17" fillId="0" borderId="19" xfId="0" applyNumberFormat="1" applyFont="1" applyFill="1" applyBorder="1" applyAlignment="1">
      <alignment horizontal="right"/>
    </xf>
    <xf numFmtId="3" fontId="51" fillId="0" borderId="26" xfId="0" applyNumberFormat="1" applyFont="1" applyFill="1" applyBorder="1" applyAlignment="1">
      <alignment horizontal="right"/>
    </xf>
    <xf numFmtId="3" fontId="51" fillId="7" borderId="27" xfId="0" applyNumberFormat="1" applyFont="1" applyFill="1" applyBorder="1" applyAlignment="1">
      <alignment horizontal="right"/>
    </xf>
    <xf numFmtId="3" fontId="51" fillId="7" borderId="42" xfId="0" applyNumberFormat="1" applyFont="1" applyFill="1" applyBorder="1" applyAlignment="1">
      <alignment horizontal="right"/>
    </xf>
    <xf numFmtId="4" fontId="51" fillId="7" borderId="19" xfId="0" applyNumberFormat="1" applyFont="1" applyFill="1" applyBorder="1" applyAlignment="1">
      <alignment horizontal="right"/>
    </xf>
    <xf numFmtId="3" fontId="51" fillId="0" borderId="114" xfId="12" applyNumberFormat="1" applyFont="1" applyFill="1" applyBorder="1" applyAlignment="1">
      <alignment horizontal="right"/>
    </xf>
    <xf numFmtId="3" fontId="1" fillId="0" borderId="27" xfId="0" applyNumberFormat="1" applyFont="1" applyFill="1" applyBorder="1" applyAlignment="1">
      <alignment horizontal="right"/>
    </xf>
    <xf numFmtId="3" fontId="51" fillId="0" borderId="8" xfId="12" applyNumberFormat="1" applyFont="1" applyFill="1" applyBorder="1" applyAlignment="1"/>
    <xf numFmtId="3" fontId="68" fillId="0" borderId="8" xfId="12" applyNumberFormat="1" applyFont="1" applyFill="1" applyBorder="1" applyAlignment="1"/>
    <xf numFmtId="3" fontId="17" fillId="0" borderId="8" xfId="12" applyNumberFormat="1" applyFont="1" applyFill="1" applyBorder="1" applyAlignment="1"/>
    <xf numFmtId="3" fontId="17" fillId="9" borderId="37" xfId="12" applyNumberFormat="1" applyFont="1" applyFill="1" applyBorder="1" applyAlignment="1">
      <alignment horizontal="right"/>
    </xf>
    <xf numFmtId="171" fontId="68" fillId="9" borderId="37" xfId="12" applyNumberFormat="1" applyFont="1" applyFill="1" applyBorder="1" applyAlignment="1"/>
    <xf numFmtId="0" fontId="6" fillId="0" borderId="0" xfId="0" applyFont="1" applyFill="1"/>
    <xf numFmtId="0" fontId="4" fillId="3" borderId="26" xfId="0" applyFont="1" applyFill="1" applyBorder="1"/>
    <xf numFmtId="0" fontId="4" fillId="3" borderId="41" xfId="0" applyFont="1" applyFill="1" applyBorder="1" applyAlignment="1">
      <alignment horizontal="center"/>
    </xf>
    <xf numFmtId="0" fontId="12" fillId="0" borderId="41" xfId="0" applyFont="1" applyBorder="1" applyAlignment="1">
      <alignment horizontal="center" vertical="top" wrapText="1"/>
    </xf>
    <xf numFmtId="0" fontId="12" fillId="0" borderId="26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173" fontId="4" fillId="0" borderId="26" xfId="12" applyNumberFormat="1" applyFont="1" applyBorder="1"/>
    <xf numFmtId="173" fontId="4" fillId="0" borderId="27" xfId="12" applyNumberFormat="1" applyFont="1" applyBorder="1"/>
    <xf numFmtId="182" fontId="4" fillId="0" borderId="27" xfId="12" applyNumberFormat="1" applyFont="1" applyBorder="1"/>
    <xf numFmtId="0" fontId="4" fillId="0" borderId="41" xfId="0" applyFont="1" applyBorder="1" applyAlignment="1">
      <alignment horizontal="center"/>
    </xf>
    <xf numFmtId="0" fontId="53" fillId="0" borderId="124" xfId="0" applyFont="1" applyBorder="1" applyAlignment="1">
      <alignment horizontal="center" vertical="top" wrapText="1"/>
    </xf>
    <xf numFmtId="0" fontId="53" fillId="0" borderId="29" xfId="0" applyFont="1" applyBorder="1" applyAlignment="1">
      <alignment vertical="top" wrapText="1"/>
    </xf>
    <xf numFmtId="0" fontId="53" fillId="0" borderId="51" xfId="0" applyFont="1" applyBorder="1" applyAlignment="1">
      <alignment vertical="top" wrapText="1"/>
    </xf>
    <xf numFmtId="0" fontId="53" fillId="0" borderId="39" xfId="0" applyFont="1" applyBorder="1" applyAlignment="1">
      <alignment horizontal="center" vertical="top" wrapText="1"/>
    </xf>
    <xf numFmtId="0" fontId="53" fillId="0" borderId="27" xfId="0" applyFont="1" applyBorder="1" applyAlignment="1">
      <alignment horizontal="center" vertical="top" wrapText="1"/>
    </xf>
    <xf numFmtId="0" fontId="53" fillId="0" borderId="40" xfId="0" applyFont="1" applyBorder="1" applyAlignment="1">
      <alignment horizontal="center" vertical="top" wrapText="1"/>
    </xf>
    <xf numFmtId="2" fontId="53" fillId="0" borderId="27" xfId="0" applyNumberFormat="1" applyFont="1" applyBorder="1" applyAlignment="1">
      <alignment horizontal="center" vertical="center" wrapText="1"/>
    </xf>
    <xf numFmtId="2" fontId="53" fillId="0" borderId="27" xfId="0" applyNumberFormat="1" applyFont="1" applyBorder="1" applyAlignment="1">
      <alignment horizontal="center" vertical="center"/>
    </xf>
    <xf numFmtId="2" fontId="53" fillId="0" borderId="27" xfId="0" applyNumberFormat="1" applyFont="1" applyFill="1" applyBorder="1" applyAlignment="1">
      <alignment horizontal="center" vertical="center" wrapText="1"/>
    </xf>
    <xf numFmtId="2" fontId="53" fillId="0" borderId="40" xfId="0" applyNumberFormat="1" applyFont="1" applyBorder="1" applyAlignment="1">
      <alignment horizontal="center" vertical="center" wrapText="1"/>
    </xf>
    <xf numFmtId="2" fontId="53" fillId="0" borderId="40" xfId="0" applyNumberFormat="1" applyFont="1" applyBorder="1" applyAlignment="1">
      <alignment horizontal="center" vertical="center"/>
    </xf>
    <xf numFmtId="0" fontId="53" fillId="0" borderId="123" xfId="0" applyFont="1" applyFill="1" applyBorder="1" applyAlignment="1">
      <alignment horizontal="center" vertical="center" wrapText="1"/>
    </xf>
    <xf numFmtId="2" fontId="53" fillId="0" borderId="37" xfId="0" applyNumberFormat="1" applyFont="1" applyBorder="1" applyAlignment="1">
      <alignment horizontal="center" vertical="center"/>
    </xf>
    <xf numFmtId="2" fontId="53" fillId="0" borderId="37" xfId="0" applyNumberFormat="1" applyFont="1" applyBorder="1" applyAlignment="1">
      <alignment horizontal="center" vertical="center" wrapText="1"/>
    </xf>
    <xf numFmtId="0" fontId="53" fillId="0" borderId="37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0" fontId="53" fillId="4" borderId="39" xfId="0" applyFont="1" applyFill="1" applyBorder="1" applyAlignment="1">
      <alignment horizontal="center" vertical="center" wrapText="1"/>
    </xf>
    <xf numFmtId="0" fontId="53" fillId="3" borderId="27" xfId="0" applyFont="1" applyFill="1" applyBorder="1" applyAlignment="1">
      <alignment horizontal="center" vertical="center"/>
    </xf>
    <xf numFmtId="0" fontId="53" fillId="3" borderId="27" xfId="0" applyFont="1" applyFill="1" applyBorder="1" applyAlignment="1">
      <alignment horizontal="center" vertical="center" wrapText="1"/>
    </xf>
    <xf numFmtId="2" fontId="54" fillId="3" borderId="27" xfId="0" applyNumberFormat="1" applyFont="1" applyFill="1" applyBorder="1" applyAlignment="1">
      <alignment horizontal="center" vertical="center" wrapText="1"/>
    </xf>
    <xf numFmtId="0" fontId="53" fillId="3" borderId="40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top" wrapText="1"/>
    </xf>
    <xf numFmtId="0" fontId="12" fillId="0" borderId="42" xfId="0" applyFont="1" applyBorder="1" applyAlignment="1">
      <alignment vertical="top" wrapText="1"/>
    </xf>
    <xf numFmtId="173" fontId="4" fillId="0" borderId="42" xfId="12" applyNumberFormat="1" applyFont="1" applyBorder="1"/>
    <xf numFmtId="0" fontId="4" fillId="3" borderId="42" xfId="0" applyFont="1" applyFill="1" applyBorder="1"/>
    <xf numFmtId="0" fontId="46" fillId="0" borderId="41" xfId="0" applyFont="1" applyBorder="1" applyAlignment="1">
      <alignment vertical="top" wrapText="1"/>
    </xf>
    <xf numFmtId="182" fontId="36" fillId="0" borderId="41" xfId="12" applyNumberFormat="1" applyFont="1" applyBorder="1" applyAlignment="1"/>
    <xf numFmtId="0" fontId="36" fillId="3" borderId="41" xfId="0" applyFont="1" applyFill="1" applyBorder="1" applyAlignment="1"/>
    <xf numFmtId="43" fontId="18" fillId="0" borderId="27" xfId="12" applyNumberFormat="1" applyFont="1" applyFill="1" applyBorder="1" applyAlignment="1">
      <alignment horizontal="center" vertical="center" wrapText="1"/>
    </xf>
    <xf numFmtId="43" fontId="18" fillId="0" borderId="29" xfId="12" applyNumberFormat="1" applyFont="1" applyFill="1" applyBorder="1" applyAlignment="1">
      <alignment horizontal="center" vertical="center" wrapText="1"/>
    </xf>
    <xf numFmtId="43" fontId="10" fillId="0" borderId="27" xfId="12" applyNumberFormat="1" applyFont="1" applyFill="1" applyBorder="1" applyAlignment="1">
      <alignment horizontal="center" vertical="center" wrapText="1"/>
    </xf>
    <xf numFmtId="43" fontId="10" fillId="0" borderId="29" xfId="12" applyNumberFormat="1" applyFont="1" applyFill="1" applyBorder="1" applyAlignment="1">
      <alignment horizontal="center" vertical="center" wrapText="1"/>
    </xf>
    <xf numFmtId="43" fontId="0" fillId="0" borderId="8" xfId="0" applyNumberFormat="1" applyFont="1" applyFill="1" applyBorder="1" applyAlignment="1">
      <alignment horizontal="right" vertical="center"/>
    </xf>
    <xf numFmtId="43" fontId="0" fillId="0" borderId="29" xfId="0" applyNumberFormat="1" applyFont="1" applyFill="1" applyBorder="1" applyAlignment="1">
      <alignment horizontal="right" vertical="center"/>
    </xf>
    <xf numFmtId="4" fontId="15" fillId="0" borderId="42" xfId="12" applyNumberFormat="1" applyFont="1" applyFill="1" applyBorder="1" applyAlignment="1">
      <alignment horizontal="right"/>
    </xf>
    <xf numFmtId="172" fontId="1" fillId="0" borderId="27" xfId="12" applyNumberFormat="1" applyFont="1" applyFill="1" applyBorder="1" applyAlignment="1">
      <alignment horizontal="right"/>
    </xf>
    <xf numFmtId="172" fontId="1" fillId="0" borderId="27" xfId="0" applyNumberFormat="1" applyFont="1" applyFill="1" applyBorder="1" applyAlignment="1">
      <alignment horizontal="right"/>
    </xf>
    <xf numFmtId="172" fontId="1" fillId="3" borderId="43" xfId="0" applyNumberFormat="1" applyFont="1" applyFill="1" applyBorder="1" applyAlignment="1">
      <alignment horizontal="right"/>
    </xf>
    <xf numFmtId="172" fontId="1" fillId="0" borderId="8" xfId="0" applyNumberFormat="1" applyFont="1" applyFill="1" applyBorder="1" applyAlignment="1">
      <alignment horizontal="right"/>
    </xf>
    <xf numFmtId="165" fontId="17" fillId="0" borderId="11" xfId="0" applyNumberFormat="1" applyFont="1" applyFill="1" applyBorder="1" applyAlignment="1">
      <alignment horizontal="right" vertical="center"/>
    </xf>
    <xf numFmtId="165" fontId="0" fillId="0" borderId="19" xfId="0" applyNumberFormat="1" applyFont="1" applyFill="1" applyBorder="1" applyAlignment="1">
      <alignment horizontal="right" vertical="center"/>
    </xf>
    <xf numFmtId="181" fontId="4" fillId="0" borderId="27" xfId="12" applyNumberFormat="1" applyFont="1" applyBorder="1"/>
    <xf numFmtId="181" fontId="36" fillId="0" borderId="41" xfId="12" applyNumberFormat="1" applyFont="1" applyBorder="1" applyAlignment="1"/>
    <xf numFmtId="172" fontId="15" fillId="0" borderId="27" xfId="0" applyNumberFormat="1" applyFont="1" applyFill="1" applyBorder="1" applyAlignment="1">
      <alignment horizontal="right"/>
    </xf>
    <xf numFmtId="4" fontId="17" fillId="0" borderId="8" xfId="0" applyNumberFormat="1" applyFont="1" applyFill="1" applyBorder="1" applyAlignment="1">
      <alignment horizontal="right"/>
    </xf>
    <xf numFmtId="3" fontId="17" fillId="0" borderId="26" xfId="12" applyNumberFormat="1" applyFont="1" applyFill="1" applyBorder="1" applyAlignment="1">
      <alignment horizontal="right"/>
    </xf>
    <xf numFmtId="3" fontId="17" fillId="0" borderId="48" xfId="0" applyNumberFormat="1" applyFont="1" applyFill="1" applyBorder="1" applyAlignment="1">
      <alignment horizontal="right"/>
    </xf>
    <xf numFmtId="3" fontId="17" fillId="0" borderId="18" xfId="0" applyNumberFormat="1" applyFont="1" applyFill="1" applyBorder="1" applyAlignment="1">
      <alignment horizontal="right"/>
    </xf>
    <xf numFmtId="3" fontId="17" fillId="0" borderId="43" xfId="0" applyNumberFormat="1" applyFont="1" applyFill="1" applyBorder="1" applyAlignment="1">
      <alignment horizontal="right"/>
    </xf>
    <xf numFmtId="3" fontId="15" fillId="0" borderId="43" xfId="0" applyNumberFormat="1" applyFont="1" applyFill="1" applyBorder="1" applyAlignment="1"/>
    <xf numFmtId="172" fontId="17" fillId="0" borderId="8" xfId="12" applyNumberFormat="1" applyFont="1" applyFill="1" applyBorder="1" applyAlignment="1">
      <alignment horizontal="right"/>
    </xf>
    <xf numFmtId="3" fontId="51" fillId="0" borderId="1" xfId="0" applyNumberFormat="1" applyFont="1" applyFill="1" applyBorder="1" applyAlignment="1"/>
    <xf numFmtId="3" fontId="51" fillId="0" borderId="37" xfId="12" applyNumberFormat="1" applyFont="1" applyFill="1" applyBorder="1" applyAlignment="1">
      <alignment horizontal="right"/>
    </xf>
    <xf numFmtId="3" fontId="51" fillId="0" borderId="43" xfId="0" applyNumberFormat="1" applyFont="1" applyFill="1" applyBorder="1" applyAlignment="1">
      <alignment horizontal="right"/>
    </xf>
    <xf numFmtId="3" fontId="15" fillId="0" borderId="43" xfId="0" applyNumberFormat="1" applyFont="1" applyFill="1" applyBorder="1" applyAlignment="1">
      <alignment horizontal="right"/>
    </xf>
    <xf numFmtId="4" fontId="17" fillId="0" borderId="27" xfId="0" applyNumberFormat="1" applyFont="1" applyFill="1" applyBorder="1" applyAlignment="1">
      <alignment horizontal="right"/>
    </xf>
    <xf numFmtId="4" fontId="15" fillId="0" borderId="43" xfId="0" applyNumberFormat="1" applyFont="1" applyFill="1" applyBorder="1" applyAlignment="1">
      <alignment horizontal="right"/>
    </xf>
    <xf numFmtId="3" fontId="18" fillId="0" borderId="1" xfId="12" applyNumberFormat="1" applyFont="1" applyFill="1" applyBorder="1" applyAlignment="1">
      <alignment wrapText="1"/>
    </xf>
    <xf numFmtId="3" fontId="18" fillId="0" borderId="37" xfId="12" applyNumberFormat="1" applyFont="1" applyFill="1" applyBorder="1" applyAlignment="1">
      <alignment horizontal="right" wrapText="1"/>
    </xf>
    <xf numFmtId="3" fontId="15" fillId="0" borderId="1" xfId="12" applyNumberFormat="1" applyFont="1" applyFill="1" applyBorder="1" applyAlignment="1"/>
    <xf numFmtId="172" fontId="15" fillId="0" borderId="43" xfId="0" applyNumberFormat="1" applyFont="1" applyFill="1" applyBorder="1" applyAlignment="1">
      <alignment horizontal="right"/>
    </xf>
    <xf numFmtId="4" fontId="17" fillId="0" borderId="27" xfId="12" applyNumberFormat="1" applyFont="1" applyFill="1" applyBorder="1" applyAlignment="1">
      <alignment horizontal="right"/>
    </xf>
    <xf numFmtId="171" fontId="1" fillId="7" borderId="27" xfId="12" applyNumberFormat="1" applyFont="1" applyFill="1" applyBorder="1" applyAlignment="1"/>
    <xf numFmtId="3" fontId="1" fillId="0" borderId="8" xfId="12" applyNumberFormat="1" applyFont="1" applyFill="1" applyBorder="1" applyAlignment="1"/>
    <xf numFmtId="43" fontId="18" fillId="0" borderId="11" xfId="12" applyFont="1" applyFill="1" applyBorder="1" applyAlignment="1">
      <alignment horizontal="center" vertical="center" wrapText="1"/>
    </xf>
    <xf numFmtId="43" fontId="18" fillId="0" borderId="41" xfId="12" applyFont="1" applyFill="1" applyBorder="1" applyAlignment="1">
      <alignment horizontal="center" vertical="center" wrapText="1"/>
    </xf>
    <xf numFmtId="167" fontId="18" fillId="12" borderId="125" xfId="4" applyNumberFormat="1" applyFont="1" applyFill="1" applyBorder="1" applyAlignment="1">
      <alignment horizontal="right"/>
    </xf>
    <xf numFmtId="167" fontId="18" fillId="0" borderId="62" xfId="3" applyNumberFormat="1" applyFont="1" applyFill="1" applyBorder="1" applyAlignment="1">
      <alignment horizontal="center"/>
    </xf>
    <xf numFmtId="167" fontId="18" fillId="0" borderId="57" xfId="3" applyNumberFormat="1" applyFont="1" applyFill="1" applyBorder="1" applyAlignment="1">
      <alignment horizontal="center"/>
    </xf>
    <xf numFmtId="2" fontId="18" fillId="0" borderId="57" xfId="3" applyNumberFormat="1" applyFont="1" applyFill="1" applyBorder="1" applyAlignment="1">
      <alignment horizontal="center"/>
    </xf>
    <xf numFmtId="2" fontId="18" fillId="0" borderId="92" xfId="3" applyNumberFormat="1" applyFont="1" applyFill="1" applyBorder="1" applyAlignment="1">
      <alignment horizontal="center"/>
    </xf>
    <xf numFmtId="0" fontId="18" fillId="0" borderId="57" xfId="3" applyNumberFormat="1" applyFont="1" applyFill="1" applyBorder="1" applyAlignment="1">
      <alignment horizontal="center"/>
    </xf>
    <xf numFmtId="1" fontId="18" fillId="0" borderId="62" xfId="3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2" fontId="11" fillId="0" borderId="0" xfId="0" applyNumberFormat="1" applyFont="1"/>
    <xf numFmtId="2" fontId="26" fillId="0" borderId="0" xfId="0" applyNumberFormat="1" applyFont="1"/>
    <xf numFmtId="2" fontId="26" fillId="0" borderId="43" xfId="0" applyNumberFormat="1" applyFont="1" applyBorder="1"/>
    <xf numFmtId="0" fontId="21" fillId="0" borderId="8" xfId="9" applyFont="1" applyBorder="1" applyAlignment="1">
      <alignment horizontal="center" wrapText="1"/>
    </xf>
    <xf numFmtId="0" fontId="25" fillId="0" borderId="8" xfId="9" applyFont="1" applyBorder="1" applyAlignment="1">
      <alignment horizontal="center" wrapText="1"/>
    </xf>
    <xf numFmtId="0" fontId="37" fillId="0" borderId="8" xfId="9" applyFont="1" applyBorder="1" applyAlignment="1">
      <alignment horizontal="center" wrapText="1"/>
    </xf>
    <xf numFmtId="0" fontId="21" fillId="0" borderId="8" xfId="9" applyFont="1" applyBorder="1" applyAlignment="1">
      <alignment horizontal="right" wrapText="1"/>
    </xf>
    <xf numFmtId="0" fontId="26" fillId="0" borderId="8" xfId="9" applyFont="1" applyBorder="1" applyAlignment="1">
      <alignment horizontal="center" wrapText="1"/>
    </xf>
    <xf numFmtId="0" fontId="11" fillId="0" borderId="8" xfId="9" applyFont="1" applyBorder="1" applyAlignment="1">
      <alignment horizontal="center" wrapText="1"/>
    </xf>
    <xf numFmtId="2" fontId="11" fillId="0" borderId="8" xfId="9" applyNumberFormat="1" applyFont="1" applyBorder="1" applyAlignment="1">
      <alignment horizontal="center" wrapText="1"/>
    </xf>
    <xf numFmtId="2" fontId="21" fillId="0" borderId="8" xfId="9" applyNumberFormat="1" applyFont="1" applyBorder="1" applyAlignment="1">
      <alignment horizontal="center" wrapText="1"/>
    </xf>
    <xf numFmtId="2" fontId="21" fillId="0" borderId="20" xfId="9" applyNumberFormat="1" applyFont="1" applyBorder="1" applyAlignment="1">
      <alignment horizontal="center" wrapText="1"/>
    </xf>
    <xf numFmtId="4" fontId="11" fillId="0" borderId="22" xfId="0" applyNumberFormat="1" applyFont="1" applyFill="1" applyBorder="1" applyAlignment="1">
      <alignment wrapText="1"/>
    </xf>
    <xf numFmtId="4" fontId="25" fillId="0" borderId="8" xfId="0" applyNumberFormat="1" applyFont="1" applyFill="1" applyBorder="1"/>
    <xf numFmtId="0" fontId="70" fillId="0" borderId="0" xfId="0" applyFont="1"/>
    <xf numFmtId="43" fontId="0" fillId="0" borderId="27" xfId="12" applyNumberFormat="1" applyFont="1" applyFill="1" applyBorder="1" applyAlignment="1">
      <alignment horizontal="center" vertical="center"/>
    </xf>
    <xf numFmtId="171" fontId="1" fillId="7" borderId="20" xfId="12" applyNumberFormat="1" applyFont="1" applyFill="1" applyBorder="1" applyAlignment="1"/>
    <xf numFmtId="165" fontId="0" fillId="0" borderId="22" xfId="12" applyNumberFormat="1" applyFont="1" applyFill="1" applyBorder="1" applyAlignment="1">
      <alignment horizontal="center" vertical="center"/>
    </xf>
    <xf numFmtId="4" fontId="15" fillId="0" borderId="19" xfId="12" applyNumberFormat="1" applyFont="1" applyFill="1" applyBorder="1" applyAlignment="1">
      <alignment horizontal="right"/>
    </xf>
    <xf numFmtId="172" fontId="1" fillId="0" borderId="8" xfId="12" applyNumberFormat="1" applyFont="1" applyFill="1" applyBorder="1" applyAlignment="1">
      <alignment horizontal="right"/>
    </xf>
    <xf numFmtId="1" fontId="10" fillId="0" borderId="126" xfId="4" applyNumberFormat="1" applyFont="1" applyBorder="1" applyAlignment="1">
      <alignment horizontal="center"/>
    </xf>
    <xf numFmtId="1" fontId="10" fillId="0" borderId="127" xfId="4" applyNumberFormat="1" applyFont="1" applyBorder="1" applyAlignment="1">
      <alignment horizontal="center"/>
    </xf>
    <xf numFmtId="1" fontId="10" fillId="0" borderId="128" xfId="4" applyNumberFormat="1" applyFont="1" applyBorder="1" applyAlignment="1">
      <alignment horizontal="center"/>
    </xf>
    <xf numFmtId="1" fontId="10" fillId="0" borderId="129" xfId="4" applyNumberFormat="1" applyFont="1" applyFill="1" applyBorder="1" applyAlignment="1">
      <alignment horizontal="center"/>
    </xf>
    <xf numFmtId="0" fontId="10" fillId="4" borderId="127" xfId="4" applyFont="1" applyFill="1" applyBorder="1" applyAlignment="1">
      <alignment horizontal="center"/>
    </xf>
    <xf numFmtId="0" fontId="10" fillId="4" borderId="11" xfId="4" applyFont="1" applyFill="1" applyBorder="1" applyAlignment="1">
      <alignment horizontal="center"/>
    </xf>
    <xf numFmtId="1" fontId="10" fillId="4" borderId="28" xfId="4" applyNumberFormat="1" applyFont="1" applyFill="1" applyBorder="1" applyAlignment="1">
      <alignment horizontal="center"/>
    </xf>
    <xf numFmtId="0" fontId="10" fillId="4" borderId="18" xfId="4" applyFont="1" applyFill="1" applyBorder="1"/>
    <xf numFmtId="2" fontId="10" fillId="4" borderId="101" xfId="4" applyNumberFormat="1" applyFont="1" applyFill="1" applyBorder="1"/>
    <xf numFmtId="2" fontId="10" fillId="4" borderId="102" xfId="4" applyNumberFormat="1" applyFont="1" applyFill="1" applyBorder="1"/>
    <xf numFmtId="167" fontId="10" fillId="4" borderId="119" xfId="4" applyNumberFormat="1" applyFont="1" applyFill="1" applyBorder="1"/>
    <xf numFmtId="177" fontId="10" fillId="4" borderId="102" xfId="4" applyNumberFormat="1" applyFont="1" applyFill="1" applyBorder="1"/>
    <xf numFmtId="0" fontId="10" fillId="4" borderId="73" xfId="4" applyFont="1" applyFill="1" applyBorder="1"/>
    <xf numFmtId="167" fontId="10" fillId="4" borderId="103" xfId="4" applyNumberFormat="1" applyFont="1" applyFill="1" applyBorder="1"/>
    <xf numFmtId="2" fontId="18" fillId="0" borderId="74" xfId="4" applyNumberFormat="1" applyFont="1" applyFill="1" applyBorder="1"/>
    <xf numFmtId="2" fontId="10" fillId="0" borderId="130" xfId="4" applyNumberFormat="1" applyFont="1" applyFill="1" applyBorder="1"/>
    <xf numFmtId="2" fontId="10" fillId="0" borderId="117" xfId="4" applyNumberFormat="1" applyFont="1" applyBorder="1"/>
    <xf numFmtId="2" fontId="10" fillId="0" borderId="118" xfId="4" applyNumberFormat="1" applyFont="1" applyBorder="1"/>
    <xf numFmtId="2" fontId="10" fillId="0" borderId="16" xfId="4" applyNumberFormat="1" applyFont="1" applyBorder="1"/>
    <xf numFmtId="2" fontId="10" fillId="0" borderId="131" xfId="4" applyNumberFormat="1" applyFont="1" applyFill="1" applyBorder="1"/>
    <xf numFmtId="167" fontId="18" fillId="0" borderId="132" xfId="4" applyNumberFormat="1" applyFont="1" applyBorder="1"/>
    <xf numFmtId="167" fontId="18" fillId="0" borderId="62" xfId="4" applyNumberFormat="1" applyFont="1" applyBorder="1"/>
    <xf numFmtId="167" fontId="18" fillId="0" borderId="63" xfId="4" applyNumberFormat="1" applyFont="1" applyBorder="1"/>
    <xf numFmtId="167" fontId="18" fillId="0" borderId="13" xfId="4" applyNumberFormat="1" applyFont="1" applyBorder="1"/>
    <xf numFmtId="167" fontId="18" fillId="0" borderId="125" xfId="4" applyNumberFormat="1" applyFont="1" applyFill="1" applyBorder="1"/>
    <xf numFmtId="2" fontId="18" fillId="0" borderId="132" xfId="4" applyNumberFormat="1" applyFont="1" applyBorder="1"/>
    <xf numFmtId="2" fontId="18" fillId="0" borderId="62" xfId="4" applyNumberFormat="1" applyFont="1" applyBorder="1"/>
    <xf numFmtId="2" fontId="18" fillId="0" borderId="63" xfId="4" applyNumberFormat="1" applyFont="1" applyBorder="1"/>
    <xf numFmtId="2" fontId="18" fillId="0" borderId="13" xfId="4" applyNumberFormat="1" applyFont="1" applyBorder="1"/>
    <xf numFmtId="2" fontId="18" fillId="0" borderId="125" xfId="4" applyNumberFormat="1" applyFont="1" applyFill="1" applyBorder="1"/>
    <xf numFmtId="2" fontId="18" fillId="0" borderId="125" xfId="4" applyNumberFormat="1" applyFont="1" applyBorder="1"/>
    <xf numFmtId="166" fontId="18" fillId="0" borderId="63" xfId="4" applyNumberFormat="1" applyFont="1" applyBorder="1"/>
    <xf numFmtId="166" fontId="18" fillId="0" borderId="13" xfId="4" applyNumberFormat="1" applyFont="1" applyBorder="1"/>
    <xf numFmtId="167" fontId="18" fillId="0" borderId="125" xfId="4" applyNumberFormat="1" applyFont="1" applyBorder="1"/>
    <xf numFmtId="167" fontId="18" fillId="0" borderId="133" xfId="4" applyNumberFormat="1" applyFont="1" applyBorder="1"/>
    <xf numFmtId="167" fontId="18" fillId="0" borderId="98" xfId="4" applyNumberFormat="1" applyFont="1" applyBorder="1"/>
    <xf numFmtId="167" fontId="18" fillId="0" borderId="99" xfId="4" applyNumberFormat="1" applyFont="1" applyBorder="1"/>
    <xf numFmtId="167" fontId="18" fillId="0" borderId="31" xfId="4" applyNumberFormat="1" applyFont="1" applyBorder="1"/>
    <xf numFmtId="167" fontId="18" fillId="0" borderId="134" xfId="4" applyNumberFormat="1" applyFont="1" applyFill="1" applyBorder="1"/>
    <xf numFmtId="1" fontId="18" fillId="0" borderId="135" xfId="4" applyNumberFormat="1" applyFont="1" applyBorder="1" applyAlignment="1">
      <alignment horizontal="center"/>
    </xf>
    <xf numFmtId="1" fontId="18" fillId="0" borderId="126" xfId="4" applyNumberFormat="1" applyFont="1" applyBorder="1" applyAlignment="1">
      <alignment horizontal="center"/>
    </xf>
    <xf numFmtId="49" fontId="18" fillId="0" borderId="57" xfId="4" applyNumberFormat="1" applyFont="1" applyBorder="1" applyAlignment="1">
      <alignment horizontal="center" vertical="top" wrapText="1"/>
    </xf>
    <xf numFmtId="49" fontId="18" fillId="0" borderId="92" xfId="4" applyNumberFormat="1" applyFont="1" applyBorder="1" applyAlignment="1">
      <alignment wrapText="1"/>
    </xf>
    <xf numFmtId="49" fontId="18" fillId="0" borderId="92" xfId="4" applyNumberFormat="1" applyFont="1" applyBorder="1" applyAlignment="1">
      <alignment vertical="top" wrapText="1"/>
    </xf>
    <xf numFmtId="49" fontId="71" fillId="0" borderId="92" xfId="4" applyNumberFormat="1" applyFont="1" applyBorder="1" applyAlignment="1">
      <alignment wrapText="1"/>
    </xf>
    <xf numFmtId="49" fontId="18" fillId="0" borderId="97" xfId="4" applyNumberFormat="1" applyFont="1" applyBorder="1" applyAlignment="1">
      <alignment horizontal="center" vertical="top" wrapText="1"/>
    </xf>
    <xf numFmtId="49" fontId="18" fillId="0" borderId="96" xfId="4" applyNumberFormat="1" applyFont="1" applyBorder="1" applyAlignment="1">
      <alignment wrapText="1"/>
    </xf>
    <xf numFmtId="0" fontId="18" fillId="0" borderId="120" xfId="4" applyFont="1" applyBorder="1" applyAlignment="1">
      <alignment horizontal="center" vertical="center"/>
    </xf>
    <xf numFmtId="0" fontId="18" fillId="0" borderId="55" xfId="5" applyFont="1" applyBorder="1" applyAlignment="1">
      <alignment horizontal="center" vertical="center"/>
    </xf>
    <xf numFmtId="0" fontId="18" fillId="0" borderId="28" xfId="5" applyFont="1" applyBorder="1" applyAlignment="1">
      <alignment horizontal="center" vertical="center" wrapText="1"/>
    </xf>
    <xf numFmtId="0" fontId="18" fillId="0" borderId="120" xfId="4" applyFont="1" applyFill="1" applyBorder="1" applyAlignment="1">
      <alignment horizontal="center"/>
    </xf>
    <xf numFmtId="0" fontId="18" fillId="0" borderId="55" xfId="4" applyFont="1" applyFill="1" applyBorder="1" applyAlignment="1">
      <alignment horizontal="center"/>
    </xf>
    <xf numFmtId="0" fontId="18" fillId="0" borderId="28" xfId="4" applyFont="1" applyFill="1" applyBorder="1" applyAlignment="1">
      <alignment horizontal="center"/>
    </xf>
    <xf numFmtId="0" fontId="18" fillId="0" borderId="119" xfId="4" applyFont="1" applyFill="1" applyBorder="1" applyAlignment="1">
      <alignment wrapText="1"/>
    </xf>
    <xf numFmtId="0" fontId="18" fillId="0" borderId="101" xfId="4" applyFont="1" applyFill="1" applyBorder="1" applyAlignment="1">
      <alignment horizontal="center"/>
    </xf>
    <xf numFmtId="0" fontId="18" fillId="0" borderId="57" xfId="4" applyFont="1" applyFill="1" applyBorder="1"/>
    <xf numFmtId="0" fontId="18" fillId="0" borderId="92" xfId="4" applyFont="1" applyFill="1" applyBorder="1"/>
    <xf numFmtId="0" fontId="18" fillId="0" borderId="102" xfId="4" applyFont="1" applyFill="1" applyBorder="1" applyAlignment="1">
      <alignment horizontal="center"/>
    </xf>
    <xf numFmtId="0" fontId="18" fillId="0" borderId="92" xfId="3" applyFont="1" applyBorder="1" applyAlignment="1">
      <alignment wrapText="1"/>
    </xf>
    <xf numFmtId="0" fontId="18" fillId="0" borderId="92" xfId="0" applyNumberFormat="1" applyFont="1" applyFill="1" applyBorder="1" applyAlignment="1" applyProtection="1">
      <alignment wrapText="1"/>
    </xf>
    <xf numFmtId="16" fontId="18" fillId="0" borderId="57" xfId="4" applyNumberFormat="1" applyFont="1" applyFill="1" applyBorder="1"/>
    <xf numFmtId="0" fontId="18" fillId="0" borderId="97" xfId="4" applyFont="1" applyFill="1" applyBorder="1"/>
    <xf numFmtId="0" fontId="18" fillId="0" borderId="96" xfId="4" applyFont="1" applyFill="1" applyBorder="1"/>
    <xf numFmtId="0" fontId="18" fillId="0" borderId="103" xfId="4" applyFont="1" applyFill="1" applyBorder="1" applyAlignment="1">
      <alignment horizontal="center"/>
    </xf>
    <xf numFmtId="167" fontId="18" fillId="0" borderId="21" xfId="3" applyNumberFormat="1" applyFont="1" applyFill="1" applyBorder="1" applyAlignment="1">
      <alignment horizontal="center"/>
    </xf>
    <xf numFmtId="167" fontId="18" fillId="0" borderId="136" xfId="3" applyNumberFormat="1" applyFont="1" applyFill="1" applyBorder="1" applyAlignment="1">
      <alignment horizontal="center"/>
    </xf>
    <xf numFmtId="167" fontId="18" fillId="0" borderId="117" xfId="3" applyNumberFormat="1" applyFont="1" applyFill="1" applyBorder="1" applyAlignment="1">
      <alignment horizontal="center"/>
    </xf>
    <xf numFmtId="167" fontId="18" fillId="0" borderId="119" xfId="3" applyNumberFormat="1" applyFont="1" applyFill="1" applyBorder="1" applyAlignment="1">
      <alignment horizontal="center"/>
    </xf>
    <xf numFmtId="167" fontId="18" fillId="0" borderId="56" xfId="3" applyNumberFormat="1" applyFont="1" applyFill="1" applyBorder="1" applyAlignment="1">
      <alignment horizontal="center"/>
    </xf>
    <xf numFmtId="167" fontId="18" fillId="0" borderId="92" xfId="3" applyNumberFormat="1" applyFont="1" applyFill="1" applyBorder="1" applyAlignment="1">
      <alignment horizontal="center"/>
    </xf>
    <xf numFmtId="1" fontId="18" fillId="0" borderId="92" xfId="3" applyNumberFormat="1" applyFont="1" applyFill="1" applyBorder="1" applyAlignment="1">
      <alignment horizontal="center"/>
    </xf>
    <xf numFmtId="167" fontId="18" fillId="0" borderId="97" xfId="3" applyNumberFormat="1" applyFont="1" applyFill="1" applyBorder="1" applyAlignment="1">
      <alignment horizontal="center"/>
    </xf>
    <xf numFmtId="167" fontId="18" fillId="0" borderId="98" xfId="3" applyNumberFormat="1" applyFont="1" applyFill="1" applyBorder="1" applyAlignment="1">
      <alignment horizontal="center"/>
    </xf>
    <xf numFmtId="2" fontId="18" fillId="0" borderId="119" xfId="3" applyNumberFormat="1" applyFont="1" applyFill="1" applyBorder="1" applyAlignment="1">
      <alignment horizontal="center"/>
    </xf>
    <xf numFmtId="1" fontId="18" fillId="0" borderId="119" xfId="3" applyNumberFormat="1" applyFont="1" applyFill="1" applyBorder="1" applyAlignment="1">
      <alignment horizontal="center"/>
    </xf>
    <xf numFmtId="1" fontId="18" fillId="0" borderId="57" xfId="3" applyNumberFormat="1" applyFont="1" applyFill="1" applyBorder="1" applyAlignment="1">
      <alignment horizontal="center"/>
    </xf>
    <xf numFmtId="167" fontId="18" fillId="0" borderId="96" xfId="3" applyNumberFormat="1" applyFont="1" applyFill="1" applyBorder="1" applyAlignment="1">
      <alignment horizontal="center"/>
    </xf>
    <xf numFmtId="167" fontId="18" fillId="0" borderId="74" xfId="3" applyNumberFormat="1" applyFont="1" applyFill="1" applyBorder="1" applyAlignment="1">
      <alignment horizontal="center"/>
    </xf>
    <xf numFmtId="167" fontId="18" fillId="0" borderId="100" xfId="3" applyNumberFormat="1" applyFont="1" applyFill="1" applyBorder="1" applyAlignment="1">
      <alignment horizontal="center"/>
    </xf>
    <xf numFmtId="167" fontId="18" fillId="0" borderId="75" xfId="3" applyNumberFormat="1" applyFont="1" applyFill="1" applyBorder="1" applyAlignment="1">
      <alignment horizontal="center"/>
    </xf>
    <xf numFmtId="2" fontId="18" fillId="0" borderId="75" xfId="3" applyNumberFormat="1" applyFont="1" applyFill="1" applyBorder="1" applyAlignment="1">
      <alignment horizontal="center"/>
    </xf>
    <xf numFmtId="0" fontId="18" fillId="0" borderId="100" xfId="3" applyNumberFormat="1" applyFont="1" applyFill="1" applyBorder="1" applyAlignment="1">
      <alignment horizontal="center"/>
    </xf>
    <xf numFmtId="1" fontId="18" fillId="0" borderId="75" xfId="3" applyNumberFormat="1" applyFont="1" applyFill="1" applyBorder="1" applyAlignment="1">
      <alignment horizontal="center"/>
    </xf>
    <xf numFmtId="167" fontId="18" fillId="0" borderId="10" xfId="3" applyNumberFormat="1" applyFont="1" applyFill="1" applyBorder="1" applyAlignment="1">
      <alignment horizontal="center"/>
    </xf>
    <xf numFmtId="167" fontId="18" fillId="0" borderId="22" xfId="3" applyNumberFormat="1" applyFont="1" applyFill="1" applyBorder="1" applyAlignment="1">
      <alignment horizontal="center"/>
    </xf>
    <xf numFmtId="167" fontId="18" fillId="0" borderId="1" xfId="3" applyNumberFormat="1" applyFont="1" applyFill="1" applyBorder="1" applyAlignment="1">
      <alignment horizontal="center"/>
    </xf>
    <xf numFmtId="1" fontId="18" fillId="0" borderId="1" xfId="3" applyNumberFormat="1" applyFont="1" applyFill="1" applyBorder="1" applyAlignment="1">
      <alignment horizontal="center"/>
    </xf>
    <xf numFmtId="0" fontId="5" fillId="0" borderId="137" xfId="3" applyFont="1" applyFill="1" applyBorder="1" applyAlignment="1">
      <alignment vertical="center" wrapText="1"/>
    </xf>
    <xf numFmtId="0" fontId="5" fillId="0" borderId="138" xfId="3" applyFont="1" applyFill="1" applyBorder="1" applyAlignment="1">
      <alignment vertical="center" wrapText="1"/>
    </xf>
    <xf numFmtId="0" fontId="5" fillId="0" borderId="91" xfId="3" applyFont="1" applyFill="1" applyBorder="1" applyAlignment="1">
      <alignment horizontal="center" vertical="center" wrapText="1"/>
    </xf>
    <xf numFmtId="0" fontId="18" fillId="0" borderId="139" xfId="3" applyFont="1" applyFill="1" applyBorder="1" applyAlignment="1">
      <alignment horizontal="center" vertical="center" wrapText="1"/>
    </xf>
    <xf numFmtId="0" fontId="5" fillId="0" borderId="140" xfId="3" applyFont="1" applyFill="1" applyBorder="1" applyAlignment="1">
      <alignment horizontal="center" vertical="center" wrapText="1"/>
    </xf>
    <xf numFmtId="0" fontId="18" fillId="0" borderId="141" xfId="3" applyFont="1" applyFill="1" applyBorder="1" applyAlignment="1">
      <alignment horizontal="center" vertical="center" wrapText="1"/>
    </xf>
    <xf numFmtId="49" fontId="18" fillId="0" borderId="142" xfId="4" applyNumberFormat="1" applyFont="1" applyFill="1" applyBorder="1" applyAlignment="1">
      <alignment vertical="center" wrapText="1"/>
    </xf>
    <xf numFmtId="0" fontId="18" fillId="0" borderId="143" xfId="3" applyFont="1" applyFill="1" applyBorder="1" applyAlignment="1">
      <alignment horizontal="center" vertical="center" wrapText="1"/>
    </xf>
    <xf numFmtId="0" fontId="18" fillId="0" borderId="91" xfId="3" applyFont="1" applyFill="1" applyBorder="1" applyAlignment="1">
      <alignment horizontal="center" vertical="center" wrapText="1"/>
    </xf>
    <xf numFmtId="49" fontId="18" fillId="0" borderId="139" xfId="4" applyNumberFormat="1" applyFont="1" applyFill="1" applyBorder="1" applyAlignment="1">
      <alignment vertical="center" wrapText="1"/>
    </xf>
    <xf numFmtId="0" fontId="18" fillId="0" borderId="140" xfId="3" applyFont="1" applyFill="1" applyBorder="1" applyAlignment="1">
      <alignment horizontal="center" vertical="center" wrapText="1"/>
    </xf>
    <xf numFmtId="0" fontId="18" fillId="0" borderId="95" xfId="3" applyFont="1" applyFill="1" applyBorder="1" applyAlignment="1">
      <alignment horizontal="center" vertical="center" wrapText="1"/>
    </xf>
    <xf numFmtId="49" fontId="18" fillId="0" borderId="144" xfId="4" applyNumberFormat="1" applyFont="1" applyFill="1" applyBorder="1" applyAlignment="1">
      <alignment vertical="center" wrapText="1"/>
    </xf>
    <xf numFmtId="0" fontId="18" fillId="0" borderId="145" xfId="3" applyFont="1" applyFill="1" applyBorder="1" applyAlignment="1">
      <alignment horizontal="center" vertical="center" wrapText="1"/>
    </xf>
    <xf numFmtId="167" fontId="60" fillId="0" borderId="146" xfId="3" applyNumberFormat="1" applyFont="1" applyFill="1" applyBorder="1" applyAlignment="1">
      <alignment horizontal="center"/>
    </xf>
    <xf numFmtId="167" fontId="60" fillId="0" borderId="117" xfId="3" applyNumberFormat="1" applyFont="1" applyFill="1" applyBorder="1" applyAlignment="1">
      <alignment horizontal="center"/>
    </xf>
    <xf numFmtId="1" fontId="60" fillId="0" borderId="89" xfId="3" applyNumberFormat="1" applyFont="1" applyFill="1" applyBorder="1" applyAlignment="1">
      <alignment horizontal="center"/>
    </xf>
    <xf numFmtId="1" fontId="60" fillId="0" borderId="90" xfId="3" applyNumberFormat="1" applyFont="1" applyFill="1" applyBorder="1" applyAlignment="1">
      <alignment horizontal="center"/>
    </xf>
    <xf numFmtId="2" fontId="60" fillId="0" borderId="140" xfId="3" applyNumberFormat="1" applyFont="1" applyFill="1" applyBorder="1" applyAlignment="1">
      <alignment horizontal="center"/>
    </xf>
    <xf numFmtId="2" fontId="60" fillId="0" borderId="132" xfId="3" applyNumberFormat="1" applyFont="1" applyFill="1" applyBorder="1" applyAlignment="1">
      <alignment horizontal="center"/>
    </xf>
    <xf numFmtId="2" fontId="60" fillId="0" borderId="62" xfId="3" applyNumberFormat="1" applyFont="1" applyFill="1" applyBorder="1" applyAlignment="1">
      <alignment horizontal="center"/>
    </xf>
    <xf numFmtId="167" fontId="72" fillId="0" borderId="89" xfId="3" applyNumberFormat="1" applyFont="1" applyFill="1" applyBorder="1" applyAlignment="1">
      <alignment horizontal="center"/>
    </xf>
    <xf numFmtId="1" fontId="72" fillId="0" borderId="62" xfId="3" applyNumberFormat="1" applyFont="1" applyFill="1" applyBorder="1" applyAlignment="1">
      <alignment horizontal="center"/>
    </xf>
    <xf numFmtId="167" fontId="72" fillId="0" borderId="62" xfId="3" applyNumberFormat="1" applyFont="1" applyFill="1" applyBorder="1" applyAlignment="1">
      <alignment horizontal="center"/>
    </xf>
    <xf numFmtId="167" fontId="72" fillId="0" borderId="90" xfId="3" applyNumberFormat="1" applyFont="1" applyFill="1" applyBorder="1" applyAlignment="1">
      <alignment horizontal="center"/>
    </xf>
    <xf numFmtId="167" fontId="60" fillId="0" borderId="117" xfId="3" quotePrefix="1" applyNumberFormat="1" applyFont="1" applyFill="1" applyBorder="1" applyAlignment="1">
      <alignment horizontal="center"/>
    </xf>
    <xf numFmtId="167" fontId="60" fillId="0" borderId="118" xfId="3" applyNumberFormat="1" applyFont="1" applyFill="1" applyBorder="1" applyAlignment="1">
      <alignment horizontal="center"/>
    </xf>
    <xf numFmtId="1" fontId="60" fillId="0" borderId="63" xfId="3" applyNumberFormat="1" applyFont="1" applyFill="1" applyBorder="1" applyAlignment="1">
      <alignment horizontal="center"/>
    </xf>
    <xf numFmtId="2" fontId="60" fillId="0" borderId="89" xfId="3" applyNumberFormat="1" applyFont="1" applyFill="1" applyBorder="1" applyAlignment="1">
      <alignment horizontal="center"/>
    </xf>
    <xf numFmtId="2" fontId="60" fillId="0" borderId="63" xfId="3" applyNumberFormat="1" applyFont="1" applyFill="1" applyBorder="1" applyAlignment="1">
      <alignment horizontal="center"/>
    </xf>
    <xf numFmtId="1" fontId="72" fillId="0" borderId="147" xfId="3" applyNumberFormat="1" applyFont="1" applyFill="1" applyBorder="1" applyAlignment="1">
      <alignment horizontal="center"/>
    </xf>
    <xf numFmtId="167" fontId="72" fillId="0" borderId="63" xfId="3" applyNumberFormat="1" applyFont="1" applyFill="1" applyBorder="1" applyAlignment="1">
      <alignment horizontal="center"/>
    </xf>
    <xf numFmtId="167" fontId="60" fillId="0" borderId="140" xfId="3" applyNumberFormat="1" applyFont="1" applyFill="1" applyBorder="1" applyAlignment="1">
      <alignment horizontal="center"/>
    </xf>
    <xf numFmtId="167" fontId="60" fillId="0" borderId="1" xfId="3" applyNumberFormat="1" applyFont="1" applyFill="1" applyBorder="1" applyAlignment="1">
      <alignment horizontal="center"/>
    </xf>
    <xf numFmtId="167" fontId="60" fillId="0" borderId="100" xfId="3" applyNumberFormat="1" applyFont="1" applyFill="1" applyBorder="1" applyAlignment="1">
      <alignment horizontal="center"/>
    </xf>
    <xf numFmtId="167" fontId="61" fillId="0" borderId="75" xfId="3" applyNumberFormat="1" applyFont="1" applyFill="1" applyBorder="1" applyAlignment="1"/>
    <xf numFmtId="0" fontId="18" fillId="0" borderId="82" xfId="3" applyNumberFormat="1" applyFont="1" applyFill="1" applyBorder="1" applyAlignment="1" applyProtection="1">
      <alignment horizontal="center" vertical="center" wrapText="1"/>
    </xf>
    <xf numFmtId="0" fontId="18" fillId="0" borderId="83" xfId="3" applyNumberFormat="1" applyFont="1" applyFill="1" applyBorder="1" applyAlignment="1" applyProtection="1">
      <alignment horizontal="center" vertical="center" wrapText="1"/>
    </xf>
    <xf numFmtId="0" fontId="18" fillId="0" borderId="84" xfId="3" applyNumberFormat="1" applyFont="1" applyFill="1" applyBorder="1" applyAlignment="1" applyProtection="1">
      <alignment horizontal="center" vertical="center" wrapText="1"/>
    </xf>
    <xf numFmtId="0" fontId="18" fillId="0" borderId="94" xfId="3" applyNumberFormat="1" applyFont="1" applyFill="1" applyBorder="1" applyAlignment="1" applyProtection="1">
      <alignment horizontal="center" vertical="center" wrapText="1"/>
    </xf>
    <xf numFmtId="0" fontId="18" fillId="0" borderId="148" xfId="3" applyNumberFormat="1" applyFont="1" applyFill="1" applyBorder="1" applyAlignment="1" applyProtection="1">
      <alignment horizontal="center" vertical="center" wrapText="1"/>
    </xf>
    <xf numFmtId="0" fontId="18" fillId="0" borderId="149" xfId="3" applyNumberFormat="1" applyFont="1" applyFill="1" applyBorder="1" applyAlignment="1" applyProtection="1">
      <alignment horizontal="center" vertical="center" wrapText="1"/>
    </xf>
    <xf numFmtId="0" fontId="18" fillId="0" borderId="150" xfId="3" applyNumberFormat="1" applyFont="1" applyFill="1" applyBorder="1" applyAlignment="1" applyProtection="1">
      <alignment horizontal="center" vertical="center" wrapText="1"/>
    </xf>
    <xf numFmtId="0" fontId="18" fillId="0" borderId="115" xfId="3" applyNumberFormat="1" applyFont="1" applyFill="1" applyBorder="1" applyAlignment="1" applyProtection="1">
      <alignment horizontal="center" vertical="center" wrapText="1"/>
    </xf>
    <xf numFmtId="0" fontId="18" fillId="0" borderId="116" xfId="3" applyNumberFormat="1" applyFont="1" applyFill="1" applyBorder="1" applyAlignment="1" applyProtection="1">
      <alignment horizontal="center" vertical="center" wrapText="1"/>
    </xf>
    <xf numFmtId="0" fontId="18" fillId="0" borderId="60" xfId="3" applyNumberFormat="1" applyFont="1" applyFill="1" applyBorder="1" applyAlignment="1" applyProtection="1">
      <alignment horizontal="center" vertical="center" wrapText="1"/>
    </xf>
    <xf numFmtId="0" fontId="18" fillId="0" borderId="135" xfId="3" applyNumberFormat="1" applyFont="1" applyFill="1" applyBorder="1" applyAlignment="1" applyProtection="1">
      <alignment horizontal="center" vertical="center" wrapText="1"/>
    </xf>
    <xf numFmtId="0" fontId="18" fillId="0" borderId="128" xfId="3" applyNumberFormat="1" applyFont="1" applyFill="1" applyBorder="1" applyAlignment="1" applyProtection="1">
      <alignment horizontal="center" vertical="center" wrapText="1"/>
    </xf>
    <xf numFmtId="0" fontId="18" fillId="0" borderId="126" xfId="3" applyNumberFormat="1" applyFont="1" applyFill="1" applyBorder="1" applyAlignment="1" applyProtection="1">
      <alignment horizontal="center" vertical="center" wrapText="1"/>
    </xf>
    <xf numFmtId="0" fontId="18" fillId="4" borderId="135" xfId="3" applyNumberFormat="1" applyFont="1" applyFill="1" applyBorder="1" applyAlignment="1" applyProtection="1">
      <alignment horizontal="center" vertical="center" wrapText="1"/>
    </xf>
    <xf numFmtId="0" fontId="18" fillId="4" borderId="128" xfId="3" applyNumberFormat="1" applyFont="1" applyFill="1" applyBorder="1" applyAlignment="1" applyProtection="1">
      <alignment horizontal="center" vertical="center" wrapText="1"/>
    </xf>
    <xf numFmtId="0" fontId="18" fillId="4" borderId="126" xfId="3" applyNumberFormat="1" applyFont="1" applyFill="1" applyBorder="1" applyAlignment="1" applyProtection="1">
      <alignment horizontal="center" vertical="center" wrapText="1"/>
    </xf>
    <xf numFmtId="167" fontId="60" fillId="0" borderId="141" xfId="3" applyNumberFormat="1" applyFont="1" applyFill="1" applyBorder="1" applyAlignment="1">
      <alignment horizontal="center"/>
    </xf>
    <xf numFmtId="167" fontId="60" fillId="0" borderId="130" xfId="3" applyNumberFormat="1" applyFont="1" applyFill="1" applyBorder="1" applyAlignment="1">
      <alignment horizontal="center"/>
    </xf>
    <xf numFmtId="167" fontId="60" fillId="0" borderId="119" xfId="3" applyNumberFormat="1" applyFont="1" applyFill="1" applyBorder="1" applyAlignment="1">
      <alignment horizontal="center"/>
    </xf>
    <xf numFmtId="1" fontId="60" fillId="0" borderId="91" xfId="3" applyNumberFormat="1" applyFont="1" applyFill="1" applyBorder="1" applyAlignment="1">
      <alignment horizontal="center"/>
    </xf>
    <xf numFmtId="1" fontId="60" fillId="0" borderId="92" xfId="3" applyNumberFormat="1" applyFont="1" applyFill="1" applyBorder="1" applyAlignment="1">
      <alignment horizontal="center"/>
    </xf>
    <xf numFmtId="2" fontId="60" fillId="0" borderId="91" xfId="3" applyNumberFormat="1" applyFont="1" applyFill="1" applyBorder="1" applyAlignment="1">
      <alignment horizontal="center"/>
    </xf>
    <xf numFmtId="2" fontId="60" fillId="0" borderId="92" xfId="3" applyNumberFormat="1" applyFont="1" applyFill="1" applyBorder="1" applyAlignment="1">
      <alignment horizontal="center"/>
    </xf>
    <xf numFmtId="167" fontId="72" fillId="0" borderId="91" xfId="3" applyNumberFormat="1" applyFont="1" applyFill="1" applyBorder="1" applyAlignment="1">
      <alignment horizontal="center"/>
    </xf>
    <xf numFmtId="167" fontId="72" fillId="0" borderId="92" xfId="3" applyNumberFormat="1" applyFont="1" applyFill="1" applyBorder="1" applyAlignment="1">
      <alignment horizontal="center"/>
    </xf>
    <xf numFmtId="167" fontId="62" fillId="0" borderId="75" xfId="3" applyNumberFormat="1" applyFont="1" applyFill="1" applyBorder="1" applyAlignment="1"/>
    <xf numFmtId="167" fontId="62" fillId="0" borderId="102" xfId="3" applyNumberFormat="1" applyFont="1" applyFill="1" applyBorder="1" applyAlignment="1"/>
    <xf numFmtId="167" fontId="63" fillId="0" borderId="99" xfId="3" applyNumberFormat="1" applyFont="1" applyFill="1" applyBorder="1" applyAlignment="1"/>
    <xf numFmtId="167" fontId="73" fillId="0" borderId="91" xfId="3" applyNumberFormat="1" applyFont="1" applyFill="1" applyBorder="1" applyAlignment="1"/>
    <xf numFmtId="167" fontId="73" fillId="0" borderId="75" xfId="3" applyNumberFormat="1" applyFont="1" applyFill="1" applyBorder="1" applyAlignment="1"/>
    <xf numFmtId="167" fontId="73" fillId="0" borderId="102" xfId="3" applyNumberFormat="1" applyFont="1" applyFill="1" applyBorder="1" applyAlignment="1"/>
    <xf numFmtId="167" fontId="74" fillId="0" borderId="91" xfId="3" applyNumberFormat="1" applyFont="1" applyFill="1" applyBorder="1" applyAlignment="1"/>
    <xf numFmtId="167" fontId="74" fillId="0" borderId="63" xfId="3" applyNumberFormat="1" applyFont="1" applyFill="1" applyBorder="1" applyAlignment="1"/>
    <xf numFmtId="167" fontId="74" fillId="0" borderId="92" xfId="3" applyNumberFormat="1" applyFont="1" applyFill="1" applyBorder="1" applyAlignment="1"/>
    <xf numFmtId="167" fontId="74" fillId="0" borderId="95" xfId="3" applyNumberFormat="1" applyFont="1" applyFill="1" applyBorder="1" applyAlignment="1"/>
    <xf numFmtId="167" fontId="74" fillId="0" borderId="99" xfId="3" applyNumberFormat="1" applyFont="1" applyFill="1" applyBorder="1" applyAlignment="1"/>
    <xf numFmtId="167" fontId="74" fillId="0" borderId="96" xfId="3" applyNumberFormat="1" applyFont="1" applyFill="1" applyBorder="1" applyAlignment="1"/>
    <xf numFmtId="167" fontId="60" fillId="0" borderId="56" xfId="3" applyNumberFormat="1" applyFont="1" applyFill="1" applyBorder="1" applyAlignment="1">
      <alignment horizontal="center"/>
    </xf>
    <xf numFmtId="1" fontId="60" fillId="0" borderId="57" xfId="3" applyNumberFormat="1" applyFont="1" applyFill="1" applyBorder="1" applyAlignment="1">
      <alignment horizontal="center"/>
    </xf>
    <xf numFmtId="167" fontId="72" fillId="0" borderId="57" xfId="3" applyNumberFormat="1" applyFont="1" applyFill="1" applyBorder="1" applyAlignment="1">
      <alignment horizontal="center"/>
    </xf>
    <xf numFmtId="167" fontId="73" fillId="0" borderId="57" xfId="3" applyNumberFormat="1" applyFont="1" applyFill="1" applyBorder="1" applyAlignment="1"/>
    <xf numFmtId="167" fontId="73" fillId="0" borderId="62" xfId="3" applyNumberFormat="1" applyFont="1" applyFill="1" applyBorder="1" applyAlignment="1"/>
    <xf numFmtId="167" fontId="73" fillId="0" borderId="92" xfId="3" applyNumberFormat="1" applyFont="1" applyFill="1" applyBorder="1" applyAlignment="1"/>
    <xf numFmtId="167" fontId="74" fillId="0" borderId="57" xfId="3" applyNumberFormat="1" applyFont="1" applyFill="1" applyBorder="1" applyAlignment="1"/>
    <xf numFmtId="167" fontId="74" fillId="0" borderId="62" xfId="3" applyNumberFormat="1" applyFont="1" applyFill="1" applyBorder="1" applyAlignment="1"/>
    <xf numFmtId="167" fontId="74" fillId="0" borderId="97" xfId="3" applyNumberFormat="1" applyFont="1" applyFill="1" applyBorder="1" applyAlignment="1"/>
    <xf numFmtId="167" fontId="74" fillId="0" borderId="98" xfId="3" applyNumberFormat="1" applyFont="1" applyFill="1" applyBorder="1" applyAlignment="1"/>
    <xf numFmtId="167" fontId="18" fillId="0" borderId="56" xfId="3" applyNumberFormat="1" applyFont="1" applyFill="1" applyBorder="1" applyAlignment="1">
      <alignment horizontal="center" vertical="center"/>
    </xf>
    <xf numFmtId="167" fontId="18" fillId="0" borderId="117" xfId="3" applyNumberFormat="1" applyFont="1" applyFill="1" applyBorder="1" applyAlignment="1">
      <alignment horizontal="center" vertical="center"/>
    </xf>
    <xf numFmtId="167" fontId="18" fillId="0" borderId="119" xfId="3" applyNumberFormat="1" applyFont="1" applyFill="1" applyBorder="1" applyAlignment="1">
      <alignment horizontal="center" vertical="center"/>
    </xf>
    <xf numFmtId="167" fontId="18" fillId="0" borderId="57" xfId="3" applyNumberFormat="1" applyFont="1" applyFill="1" applyBorder="1" applyAlignment="1">
      <alignment horizontal="center" vertical="center"/>
    </xf>
    <xf numFmtId="167" fontId="18" fillId="0" borderId="62" xfId="3" applyNumberFormat="1" applyFont="1" applyFill="1" applyBorder="1" applyAlignment="1">
      <alignment horizontal="center" vertical="center"/>
    </xf>
    <xf numFmtId="167" fontId="18" fillId="0" borderId="92" xfId="3" applyNumberFormat="1" applyFont="1" applyFill="1" applyBorder="1" applyAlignment="1">
      <alignment horizontal="center" vertical="center"/>
    </xf>
    <xf numFmtId="2" fontId="18" fillId="0" borderId="57" xfId="3" applyNumberFormat="1" applyFont="1" applyFill="1" applyBorder="1" applyAlignment="1">
      <alignment horizontal="center" vertical="center"/>
    </xf>
    <xf numFmtId="2" fontId="18" fillId="0" borderId="62" xfId="3" applyNumberFormat="1" applyFont="1" applyFill="1" applyBorder="1" applyAlignment="1">
      <alignment horizontal="center" vertical="center"/>
    </xf>
    <xf numFmtId="2" fontId="18" fillId="0" borderId="92" xfId="3" applyNumberFormat="1" applyFont="1" applyFill="1" applyBorder="1" applyAlignment="1">
      <alignment horizontal="center" vertical="center"/>
    </xf>
    <xf numFmtId="167" fontId="75" fillId="0" borderId="62" xfId="3" applyNumberFormat="1" applyFont="1" applyFill="1" applyBorder="1" applyAlignment="1">
      <alignment horizontal="center" vertical="center"/>
    </xf>
    <xf numFmtId="167" fontId="75" fillId="0" borderId="57" xfId="3" applyNumberFormat="1" applyFont="1" applyFill="1" applyBorder="1" applyAlignment="1">
      <alignment horizontal="center" vertical="center"/>
    </xf>
    <xf numFmtId="167" fontId="18" fillId="0" borderId="97" xfId="3" applyNumberFormat="1" applyFont="1" applyFill="1" applyBorder="1" applyAlignment="1">
      <alignment horizontal="center" vertical="center"/>
    </xf>
    <xf numFmtId="167" fontId="18" fillId="0" borderId="98" xfId="3" applyNumberFormat="1" applyFont="1" applyFill="1" applyBorder="1" applyAlignment="1">
      <alignment horizontal="center" vertical="center"/>
    </xf>
    <xf numFmtId="167" fontId="18" fillId="0" borderId="96" xfId="3" applyNumberFormat="1" applyFont="1" applyFill="1" applyBorder="1" applyAlignment="1">
      <alignment horizontal="center" vertical="center"/>
    </xf>
    <xf numFmtId="167" fontId="18" fillId="0" borderId="100" xfId="3" applyNumberFormat="1" applyFont="1" applyFill="1" applyBorder="1" applyAlignment="1">
      <alignment horizontal="center" vertical="center"/>
    </xf>
    <xf numFmtId="167" fontId="18" fillId="0" borderId="63" xfId="3" applyNumberFormat="1" applyFont="1" applyFill="1" applyBorder="1" applyAlignment="1">
      <alignment horizontal="center" vertical="center"/>
    </xf>
    <xf numFmtId="167" fontId="18" fillId="0" borderId="151" xfId="3" applyNumberFormat="1" applyFont="1" applyFill="1" applyBorder="1" applyAlignment="1">
      <alignment horizontal="center" vertical="center"/>
    </xf>
    <xf numFmtId="167" fontId="18" fillId="0" borderId="83" xfId="3" applyNumberFormat="1" applyFont="1" applyFill="1" applyBorder="1" applyAlignment="1">
      <alignment horizontal="center" vertical="center"/>
    </xf>
    <xf numFmtId="167" fontId="18" fillId="0" borderId="94" xfId="3" applyNumberFormat="1" applyFont="1" applyFill="1" applyBorder="1" applyAlignment="1">
      <alignment horizontal="center" vertical="center"/>
    </xf>
    <xf numFmtId="167" fontId="18" fillId="0" borderId="118" xfId="3" applyNumberFormat="1" applyFont="1" applyFill="1" applyBorder="1" applyAlignment="1">
      <alignment horizontal="center" vertical="center"/>
    </xf>
    <xf numFmtId="167" fontId="18" fillId="0" borderId="147" xfId="3" applyNumberFormat="1" applyFont="1" applyFill="1" applyBorder="1" applyAlignment="1">
      <alignment horizontal="center" vertical="center"/>
    </xf>
    <xf numFmtId="167" fontId="18" fillId="0" borderId="91" xfId="3" applyNumberFormat="1" applyFont="1" applyFill="1" applyBorder="1" applyAlignment="1">
      <alignment horizontal="center" vertical="center"/>
    </xf>
    <xf numFmtId="167" fontId="18" fillId="0" borderId="1" xfId="3" applyNumberFormat="1" applyFont="1" applyFill="1" applyBorder="1" applyAlignment="1">
      <alignment horizontal="center" vertical="center"/>
    </xf>
    <xf numFmtId="167" fontId="18" fillId="0" borderId="75" xfId="3" applyNumberFormat="1" applyFont="1" applyFill="1" applyBorder="1" applyAlignment="1">
      <alignment horizontal="center" vertical="center"/>
    </xf>
    <xf numFmtId="2" fontId="18" fillId="0" borderId="91" xfId="3" applyNumberFormat="1" applyFont="1" applyFill="1" applyBorder="1" applyAlignment="1">
      <alignment horizontal="center" vertical="center"/>
    </xf>
    <xf numFmtId="2" fontId="18" fillId="0" borderId="1" xfId="3" applyNumberFormat="1" applyFont="1" applyFill="1" applyBorder="1" applyAlignment="1">
      <alignment horizontal="center" vertical="center"/>
    </xf>
    <xf numFmtId="2" fontId="18" fillId="0" borderId="75" xfId="3" applyNumberFormat="1" applyFont="1" applyFill="1" applyBorder="1" applyAlignment="1">
      <alignment horizontal="center" vertical="center"/>
    </xf>
    <xf numFmtId="167" fontId="75" fillId="0" borderId="1" xfId="3" applyNumberFormat="1" applyFont="1" applyFill="1" applyBorder="1" applyAlignment="1">
      <alignment horizontal="center" vertical="center"/>
    </xf>
    <xf numFmtId="167" fontId="75" fillId="0" borderId="91" xfId="3" applyNumberFormat="1" applyFont="1" applyFill="1" applyBorder="1" applyAlignment="1">
      <alignment horizontal="center" vertical="center"/>
    </xf>
    <xf numFmtId="167" fontId="39" fillId="0" borderId="10" xfId="3" applyNumberFormat="1" applyFont="1" applyFill="1" applyBorder="1" applyAlignment="1">
      <alignment horizontal="center" vertical="center"/>
    </xf>
    <xf numFmtId="0" fontId="60" fillId="0" borderId="120" xfId="3" applyNumberFormat="1" applyFont="1" applyFill="1" applyBorder="1" applyAlignment="1" applyProtection="1">
      <alignment horizontal="center" vertical="top"/>
    </xf>
    <xf numFmtId="0" fontId="60" fillId="0" borderId="59" xfId="3" applyNumberFormat="1" applyFont="1" applyFill="1" applyBorder="1" applyAlignment="1" applyProtection="1">
      <alignment horizontal="center" vertical="top" wrapText="1"/>
    </xf>
    <xf numFmtId="0" fontId="60" fillId="0" borderId="146" xfId="3" applyFont="1" applyBorder="1" applyAlignment="1">
      <alignment horizontal="center" wrapText="1"/>
    </xf>
    <xf numFmtId="0" fontId="18" fillId="0" borderId="117" xfId="3" applyFont="1" applyBorder="1" applyAlignment="1">
      <alignment wrapText="1"/>
    </xf>
    <xf numFmtId="0" fontId="60" fillId="0" borderId="89" xfId="3" applyFont="1" applyBorder="1" applyAlignment="1">
      <alignment horizontal="center" wrapText="1"/>
    </xf>
    <xf numFmtId="0" fontId="18" fillId="0" borderId="62" xfId="3" applyFont="1" applyBorder="1" applyAlignment="1">
      <alignment wrapText="1"/>
    </xf>
    <xf numFmtId="0" fontId="18" fillId="0" borderId="62" xfId="3" applyFont="1" applyBorder="1" applyAlignment="1">
      <alignment horizontal="justify" wrapText="1"/>
    </xf>
    <xf numFmtId="0" fontId="60" fillId="0" borderId="82" xfId="3" applyFont="1" applyBorder="1" applyAlignment="1">
      <alignment horizontal="center" wrapText="1"/>
    </xf>
    <xf numFmtId="0" fontId="18" fillId="0" borderId="83" xfId="3" applyFont="1" applyBorder="1" applyAlignment="1">
      <alignment wrapText="1"/>
    </xf>
    <xf numFmtId="167" fontId="18" fillId="0" borderId="21" xfId="3" applyNumberFormat="1" applyFont="1" applyFill="1" applyBorder="1" applyAlignment="1">
      <alignment horizontal="center" vertical="center"/>
    </xf>
    <xf numFmtId="167" fontId="18" fillId="0" borderId="10" xfId="3" applyNumberFormat="1" applyFont="1" applyFill="1" applyBorder="1" applyAlignment="1">
      <alignment horizontal="center" vertical="center"/>
    </xf>
    <xf numFmtId="167" fontId="18" fillId="0" borderId="18" xfId="3" applyNumberFormat="1" applyFont="1" applyFill="1" applyBorder="1" applyAlignment="1">
      <alignment horizontal="center" vertical="center"/>
    </xf>
    <xf numFmtId="167" fontId="18" fillId="0" borderId="22" xfId="3" applyNumberFormat="1" applyFont="1" applyFill="1" applyBorder="1" applyAlignment="1">
      <alignment horizontal="center" vertical="center"/>
    </xf>
    <xf numFmtId="167" fontId="18" fillId="0" borderId="8" xfId="3" applyNumberFormat="1" applyFont="1" applyFill="1" applyBorder="1" applyAlignment="1">
      <alignment horizontal="center" vertical="center"/>
    </xf>
    <xf numFmtId="167" fontId="18" fillId="0" borderId="29" xfId="3" applyNumberFormat="1" applyFont="1" applyFill="1" applyBorder="1" applyAlignment="1">
      <alignment horizontal="center" vertical="center"/>
    </xf>
    <xf numFmtId="167" fontId="18" fillId="0" borderId="13" xfId="3" applyNumberFormat="1" applyFont="1" applyFill="1" applyBorder="1" applyAlignment="1">
      <alignment horizontal="center" vertical="center"/>
    </xf>
    <xf numFmtId="2" fontId="18" fillId="0" borderId="63" xfId="3" applyNumberFormat="1" applyFont="1" applyFill="1" applyBorder="1" applyAlignment="1">
      <alignment horizontal="center" vertical="center"/>
    </xf>
    <xf numFmtId="2" fontId="18" fillId="0" borderId="100" xfId="3" applyNumberFormat="1" applyFont="1" applyFill="1" applyBorder="1" applyAlignment="1">
      <alignment horizontal="center" vertical="center"/>
    </xf>
    <xf numFmtId="0" fontId="18" fillId="0" borderId="152" xfId="3" applyNumberFormat="1" applyFont="1" applyFill="1" applyBorder="1" applyAlignment="1" applyProtection="1">
      <alignment horizontal="center" vertical="center" wrapText="1"/>
    </xf>
    <xf numFmtId="0" fontId="60" fillId="0" borderId="120" xfId="3" applyNumberFormat="1" applyFont="1" applyFill="1" applyBorder="1" applyAlignment="1" applyProtection="1">
      <alignment horizontal="center" vertical="top" wrapText="1"/>
    </xf>
    <xf numFmtId="0" fontId="60" fillId="0" borderId="59" xfId="3" applyNumberFormat="1" applyFont="1" applyFill="1" applyBorder="1" applyAlignment="1" applyProtection="1">
      <alignment horizontal="center" vertical="top"/>
    </xf>
    <xf numFmtId="0" fontId="60" fillId="0" borderId="55" xfId="3" applyNumberFormat="1" applyFont="1" applyFill="1" applyBorder="1" applyAlignment="1" applyProtection="1">
      <alignment horizontal="center" vertical="top" wrapText="1"/>
    </xf>
    <xf numFmtId="0" fontId="60" fillId="0" borderId="58" xfId="3" applyNumberFormat="1" applyFont="1" applyFill="1" applyBorder="1" applyAlignment="1" applyProtection="1">
      <alignment horizontal="center" vertical="top" wrapText="1"/>
    </xf>
    <xf numFmtId="0" fontId="60" fillId="0" borderId="121" xfId="3" applyNumberFormat="1" applyFont="1" applyFill="1" applyBorder="1" applyAlignment="1" applyProtection="1">
      <alignment horizontal="center" vertical="top" wrapText="1"/>
    </xf>
    <xf numFmtId="0" fontId="60" fillId="0" borderId="6" xfId="3" applyNumberFormat="1" applyFont="1" applyFill="1" applyBorder="1" applyAlignment="1" applyProtection="1">
      <alignment horizontal="center" vertical="top"/>
    </xf>
    <xf numFmtId="0" fontId="60" fillId="0" borderId="7" xfId="3" applyNumberFormat="1" applyFont="1" applyFill="1" applyBorder="1" applyAlignment="1" applyProtection="1">
      <alignment horizontal="center" vertical="top" wrapText="1"/>
    </xf>
    <xf numFmtId="0" fontId="60" fillId="0" borderId="7" xfId="3" applyNumberFormat="1" applyFont="1" applyFill="1" applyBorder="1" applyAlignment="1" applyProtection="1">
      <alignment horizontal="center" vertical="top"/>
    </xf>
    <xf numFmtId="0" fontId="60" fillId="0" borderId="11" xfId="3" applyNumberFormat="1" applyFont="1" applyFill="1" applyBorder="1" applyAlignment="1" applyProtection="1">
      <alignment horizontal="center" vertical="top" wrapText="1"/>
    </xf>
    <xf numFmtId="0" fontId="60" fillId="0" borderId="121" xfId="3" applyNumberFormat="1" applyFont="1" applyFill="1" applyBorder="1" applyAlignment="1" applyProtection="1">
      <alignment horizontal="center" vertical="top"/>
    </xf>
    <xf numFmtId="2" fontId="60" fillId="0" borderId="102" xfId="3" applyNumberFormat="1" applyFont="1" applyFill="1" applyBorder="1" applyAlignment="1">
      <alignment horizontal="center"/>
    </xf>
    <xf numFmtId="167" fontId="60" fillId="0" borderId="147" xfId="3" applyNumberFormat="1" applyFont="1" applyFill="1" applyBorder="1" applyAlignment="1">
      <alignment horizontal="center"/>
    </xf>
    <xf numFmtId="2" fontId="60" fillId="0" borderId="1" xfId="3" applyNumberFormat="1" applyFont="1" applyFill="1" applyBorder="1" applyAlignment="1">
      <alignment horizontal="center"/>
    </xf>
    <xf numFmtId="167" fontId="18" fillId="0" borderId="135" xfId="0" applyNumberFormat="1" applyFont="1" applyFill="1" applyBorder="1"/>
    <xf numFmtId="167" fontId="18" fillId="0" borderId="128" xfId="0" applyNumberFormat="1" applyFont="1" applyFill="1" applyBorder="1"/>
    <xf numFmtId="167" fontId="18" fillId="0" borderId="126" xfId="0" applyNumberFormat="1" applyFont="1" applyFill="1" applyBorder="1"/>
    <xf numFmtId="167" fontId="18" fillId="0" borderId="128" xfId="0" applyNumberFormat="1" applyFont="1" applyBorder="1"/>
    <xf numFmtId="1" fontId="18" fillId="0" borderId="135" xfId="0" applyNumberFormat="1" applyFont="1" applyBorder="1"/>
    <xf numFmtId="1" fontId="18" fillId="0" borderId="128" xfId="0" applyNumberFormat="1" applyFont="1" applyBorder="1"/>
    <xf numFmtId="167" fontId="8" fillId="0" borderId="128" xfId="0" applyNumberFormat="1" applyFont="1" applyBorder="1"/>
    <xf numFmtId="1" fontId="18" fillId="0" borderId="126" xfId="0" applyNumberFormat="1" applyFont="1" applyBorder="1"/>
    <xf numFmtId="167" fontId="18" fillId="0" borderId="57" xfId="0" applyNumberFormat="1" applyFont="1" applyFill="1" applyBorder="1"/>
    <xf numFmtId="1" fontId="18" fillId="0" borderId="57" xfId="0" applyNumberFormat="1" applyFont="1" applyBorder="1"/>
    <xf numFmtId="167" fontId="18" fillId="0" borderId="57" xfId="0" applyNumberFormat="1" applyFont="1" applyBorder="1"/>
    <xf numFmtId="167" fontId="18" fillId="0" borderId="97" xfId="0" applyNumberFormat="1" applyFont="1" applyBorder="1"/>
    <xf numFmtId="167" fontId="18" fillId="0" borderId="98" xfId="0" applyNumberFormat="1" applyFont="1" applyFill="1" applyBorder="1"/>
    <xf numFmtId="167" fontId="18" fillId="0" borderId="96" xfId="0" applyNumberFormat="1" applyFont="1" applyFill="1" applyBorder="1"/>
    <xf numFmtId="167" fontId="18" fillId="0" borderId="97" xfId="0" applyNumberFormat="1" applyFont="1" applyFill="1" applyBorder="1"/>
    <xf numFmtId="167" fontId="18" fillId="0" borderId="98" xfId="0" applyNumberFormat="1" applyFont="1" applyBorder="1"/>
    <xf numFmtId="1" fontId="18" fillId="0" borderId="97" xfId="0" applyNumberFormat="1" applyFont="1" applyBorder="1"/>
    <xf numFmtId="1" fontId="18" fillId="0" borderId="98" xfId="0" applyNumberFormat="1" applyFont="1" applyBorder="1"/>
    <xf numFmtId="167" fontId="8" fillId="0" borderId="98" xfId="0" applyNumberFormat="1" applyFont="1" applyBorder="1"/>
    <xf numFmtId="1" fontId="18" fillId="0" borderId="96" xfId="0" applyNumberFormat="1" applyFont="1" applyBorder="1"/>
    <xf numFmtId="0" fontId="10" fillId="0" borderId="153" xfId="0" applyFont="1" applyBorder="1"/>
    <xf numFmtId="0" fontId="10" fillId="0" borderId="154" xfId="0" applyFont="1" applyBorder="1"/>
    <xf numFmtId="0" fontId="10" fillId="0" borderId="114" xfId="0" applyFont="1" applyBorder="1"/>
    <xf numFmtId="167" fontId="18" fillId="0" borderId="56" xfId="0" applyNumberFormat="1" applyFont="1" applyFill="1" applyBorder="1"/>
    <xf numFmtId="167" fontId="18" fillId="0" borderId="117" xfId="0" applyNumberFormat="1" applyFont="1" applyFill="1" applyBorder="1"/>
    <xf numFmtId="167" fontId="18" fillId="0" borderId="119" xfId="0" applyNumberFormat="1" applyFont="1" applyFill="1" applyBorder="1"/>
    <xf numFmtId="167" fontId="18" fillId="0" borderId="56" xfId="0" applyNumberFormat="1" applyFont="1" applyBorder="1"/>
    <xf numFmtId="167" fontId="18" fillId="0" borderId="117" xfId="0" applyNumberFormat="1" applyFont="1" applyBorder="1"/>
    <xf numFmtId="167" fontId="18" fillId="0" borderId="119" xfId="0" applyNumberFormat="1" applyFont="1" applyBorder="1"/>
    <xf numFmtId="167" fontId="18" fillId="0" borderId="96" xfId="0" applyNumberFormat="1" applyFont="1" applyBorder="1"/>
    <xf numFmtId="1" fontId="18" fillId="0" borderId="155" xfId="0" applyNumberFormat="1" applyFont="1" applyBorder="1"/>
    <xf numFmtId="0" fontId="18" fillId="0" borderId="98" xfId="0" applyFont="1" applyBorder="1" applyAlignment="1">
      <alignment vertical="center" wrapText="1"/>
    </xf>
    <xf numFmtId="0" fontId="5" fillId="0" borderId="57" xfId="0" applyFont="1" applyBorder="1" applyAlignment="1">
      <alignment horizontal="center"/>
    </xf>
    <xf numFmtId="0" fontId="5" fillId="0" borderId="62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/>
    </xf>
    <xf numFmtId="0" fontId="5" fillId="0" borderId="92" xfId="0" applyFont="1" applyBorder="1" applyAlignment="1">
      <alignment horizontal="center"/>
    </xf>
    <xf numFmtId="0" fontId="60" fillId="0" borderId="135" xfId="0" applyFont="1" applyBorder="1" applyAlignment="1">
      <alignment horizontal="center" vertical="center"/>
    </xf>
    <xf numFmtId="0" fontId="18" fillId="0" borderId="128" xfId="0" applyFont="1" applyBorder="1" applyAlignment="1">
      <alignment vertical="center" wrapText="1"/>
    </xf>
    <xf numFmtId="0" fontId="60" fillId="0" borderId="57" xfId="0" applyFont="1" applyBorder="1" applyAlignment="1">
      <alignment horizontal="center" vertical="center"/>
    </xf>
    <xf numFmtId="0" fontId="18" fillId="0" borderId="62" xfId="0" applyFont="1" applyFill="1" applyBorder="1" applyAlignment="1">
      <alignment wrapText="1"/>
    </xf>
    <xf numFmtId="0" fontId="60" fillId="0" borderId="97" xfId="0" applyFont="1" applyBorder="1"/>
    <xf numFmtId="167" fontId="8" fillId="0" borderId="128" xfId="0" applyNumberFormat="1" applyFont="1" applyFill="1" applyBorder="1"/>
    <xf numFmtId="1" fontId="18" fillId="0" borderId="156" xfId="0" applyNumberFormat="1" applyFont="1" applyBorder="1"/>
    <xf numFmtId="1" fontId="18" fillId="0" borderId="157" xfId="0" applyNumberFormat="1" applyFont="1" applyBorder="1"/>
    <xf numFmtId="167" fontId="18" fillId="0" borderId="157" xfId="0" applyNumberFormat="1" applyFont="1" applyBorder="1"/>
    <xf numFmtId="1" fontId="18" fillId="0" borderId="158" xfId="0" applyNumberFormat="1" applyFont="1" applyBorder="1"/>
    <xf numFmtId="0" fontId="10" fillId="0" borderId="159" xfId="0" applyFont="1" applyBorder="1"/>
    <xf numFmtId="167" fontId="18" fillId="0" borderId="118" xfId="0" applyNumberFormat="1" applyFont="1" applyBorder="1"/>
    <xf numFmtId="167" fontId="18" fillId="0" borderId="63" xfId="0" applyNumberFormat="1" applyFont="1" applyFill="1" applyBorder="1"/>
    <xf numFmtId="167" fontId="18" fillId="0" borderId="99" xfId="0" applyNumberFormat="1" applyFont="1" applyBorder="1"/>
    <xf numFmtId="0" fontId="39" fillId="0" borderId="153" xfId="0" applyFont="1" applyBorder="1"/>
    <xf numFmtId="0" fontId="39" fillId="0" borderId="154" xfId="0" applyFont="1" applyBorder="1"/>
    <xf numFmtId="0" fontId="39" fillId="0" borderId="114" xfId="0" applyFont="1" applyBorder="1"/>
    <xf numFmtId="167" fontId="18" fillId="0" borderId="135" xfId="0" applyNumberFormat="1" applyFont="1" applyBorder="1"/>
    <xf numFmtId="1" fontId="18" fillId="0" borderId="160" xfId="0" applyNumberFormat="1" applyFont="1" applyBorder="1"/>
    <xf numFmtId="1" fontId="18" fillId="0" borderId="161" xfId="0" applyNumberFormat="1" applyFont="1" applyBorder="1"/>
    <xf numFmtId="167" fontId="8" fillId="0" borderId="161" xfId="0" applyNumberFormat="1" applyFont="1" applyBorder="1"/>
    <xf numFmtId="1" fontId="18" fillId="0" borderId="162" xfId="0" applyNumberFormat="1" applyFont="1" applyBorder="1"/>
    <xf numFmtId="1" fontId="18" fillId="0" borderId="56" xfId="0" applyNumberFormat="1" applyFont="1" applyBorder="1"/>
    <xf numFmtId="1" fontId="18" fillId="0" borderId="117" xfId="0" applyNumberFormat="1" applyFont="1" applyBorder="1"/>
    <xf numFmtId="167" fontId="8" fillId="0" borderId="117" xfId="0" applyNumberFormat="1" applyFont="1" applyBorder="1"/>
    <xf numFmtId="1" fontId="18" fillId="0" borderId="119" xfId="0" applyNumberFormat="1" applyFont="1" applyBorder="1"/>
    <xf numFmtId="0" fontId="18" fillId="0" borderId="128" xfId="0" applyFont="1" applyBorder="1" applyAlignment="1">
      <alignment horizontal="center"/>
    </xf>
    <xf numFmtId="0" fontId="18" fillId="0" borderId="128" xfId="0" applyFont="1" applyBorder="1" applyAlignment="1">
      <alignment horizontal="left"/>
    </xf>
    <xf numFmtId="167" fontId="18" fillId="0" borderId="135" xfId="0" applyNumberFormat="1" applyFont="1" applyBorder="1" applyAlignment="1">
      <alignment horizontal="right"/>
    </xf>
    <xf numFmtId="167" fontId="18" fillId="0" borderId="128" xfId="0" applyNumberFormat="1" applyFont="1" applyBorder="1" applyAlignment="1">
      <alignment horizontal="right"/>
    </xf>
    <xf numFmtId="167" fontId="18" fillId="0" borderId="126" xfId="0" applyNumberFormat="1" applyFont="1" applyBorder="1" applyAlignment="1">
      <alignment horizontal="right"/>
    </xf>
    <xf numFmtId="167" fontId="18" fillId="0" borderId="163" xfId="0" applyNumberFormat="1" applyFont="1" applyBorder="1" applyAlignment="1">
      <alignment horizontal="right"/>
    </xf>
    <xf numFmtId="0" fontId="18" fillId="0" borderId="117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167" fontId="18" fillId="0" borderId="99" xfId="0" applyNumberFormat="1" applyFont="1" applyFill="1" applyBorder="1"/>
    <xf numFmtId="0" fontId="18" fillId="0" borderId="22" xfId="0" applyFont="1" applyBorder="1" applyAlignment="1">
      <alignment horizontal="right"/>
    </xf>
    <xf numFmtId="1" fontId="18" fillId="0" borderId="8" xfId="0" applyNumberFormat="1" applyFont="1" applyBorder="1"/>
    <xf numFmtId="0" fontId="18" fillId="0" borderId="0" xfId="0" applyFont="1" applyBorder="1"/>
    <xf numFmtId="167" fontId="18" fillId="0" borderId="153" xfId="0" applyNumberFormat="1" applyFont="1" applyFill="1" applyBorder="1"/>
    <xf numFmtId="167" fontId="18" fillId="0" borderId="127" xfId="0" applyNumberFormat="1" applyFont="1" applyFill="1" applyBorder="1"/>
    <xf numFmtId="167" fontId="18" fillId="0" borderId="163" xfId="0" applyNumberFormat="1" applyFont="1" applyFill="1" applyBorder="1"/>
    <xf numFmtId="167" fontId="18" fillId="0" borderId="114" xfId="0" applyNumberFormat="1" applyFont="1" applyFill="1" applyBorder="1"/>
    <xf numFmtId="167" fontId="18" fillId="0" borderId="161" xfId="0" applyNumberFormat="1" applyFont="1" applyBorder="1"/>
    <xf numFmtId="167" fontId="18" fillId="0" borderId="22" xfId="0" applyNumberFormat="1" applyFont="1" applyFill="1" applyBorder="1"/>
    <xf numFmtId="167" fontId="18" fillId="0" borderId="100" xfId="0" applyNumberFormat="1" applyFont="1" applyFill="1" applyBorder="1"/>
    <xf numFmtId="167" fontId="18" fillId="0" borderId="8" xfId="0" applyNumberFormat="1" applyFont="1" applyFill="1" applyBorder="1"/>
    <xf numFmtId="0" fontId="18" fillId="0" borderId="22" xfId="0" applyFont="1" applyBorder="1"/>
    <xf numFmtId="167" fontId="18" fillId="0" borderId="24" xfId="0" applyNumberFormat="1" applyFont="1" applyFill="1" applyBorder="1"/>
    <xf numFmtId="167" fontId="18" fillId="0" borderId="155" xfId="0" applyNumberFormat="1" applyFont="1" applyFill="1" applyBorder="1"/>
    <xf numFmtId="167" fontId="18" fillId="0" borderId="20" xfId="0" applyNumberFormat="1" applyFont="1" applyFill="1" applyBorder="1"/>
    <xf numFmtId="0" fontId="18" fillId="0" borderId="57" xfId="0" applyNumberFormat="1" applyFont="1" applyFill="1" applyBorder="1"/>
    <xf numFmtId="0" fontId="18" fillId="0" borderId="57" xfId="0" applyFont="1" applyFill="1" applyBorder="1"/>
    <xf numFmtId="0" fontId="18" fillId="0" borderId="135" xfId="0" applyNumberFormat="1" applyFont="1" applyFill="1" applyBorder="1"/>
    <xf numFmtId="0" fontId="18" fillId="0" borderId="97" xfId="0" applyFont="1" applyFill="1" applyBorder="1"/>
    <xf numFmtId="0" fontId="18" fillId="0" borderId="163" xfId="0" applyFont="1" applyFill="1" applyBorder="1" applyAlignment="1">
      <alignment vertical="center" wrapText="1"/>
    </xf>
    <xf numFmtId="0" fontId="18" fillId="0" borderId="63" xfId="0" applyFont="1" applyFill="1" applyBorder="1" applyAlignment="1">
      <alignment vertical="center" wrapText="1"/>
    </xf>
    <xf numFmtId="0" fontId="18" fillId="0" borderId="63" xfId="0" applyFont="1" applyFill="1" applyBorder="1" applyAlignment="1">
      <alignment wrapText="1"/>
    </xf>
    <xf numFmtId="0" fontId="18" fillId="0" borderId="99" xfId="0" applyFont="1" applyFill="1" applyBorder="1" applyAlignment="1">
      <alignment vertical="center" wrapText="1"/>
    </xf>
    <xf numFmtId="1" fontId="18" fillId="0" borderId="100" xfId="0" applyNumberFormat="1" applyFont="1" applyFill="1" applyBorder="1"/>
    <xf numFmtId="0" fontId="10" fillId="0" borderId="121" xfId="4" applyFont="1" applyFill="1" applyBorder="1" applyAlignment="1">
      <alignment horizontal="center"/>
    </xf>
    <xf numFmtId="0" fontId="10" fillId="0" borderId="28" xfId="4" applyFont="1" applyFill="1" applyBorder="1" applyAlignment="1">
      <alignment horizontal="center"/>
    </xf>
    <xf numFmtId="167" fontId="18" fillId="12" borderId="74" xfId="4" applyNumberFormat="1" applyFont="1" applyFill="1" applyBorder="1" applyAlignment="1">
      <alignment horizontal="right"/>
    </xf>
    <xf numFmtId="0" fontId="10" fillId="0" borderId="41" xfId="4" applyFont="1" applyFill="1" applyBorder="1" applyAlignment="1">
      <alignment horizontal="center"/>
    </xf>
    <xf numFmtId="167" fontId="18" fillId="12" borderId="164" xfId="4" applyNumberFormat="1" applyFont="1" applyFill="1" applyBorder="1" applyAlignment="1">
      <alignment horizontal="right"/>
    </xf>
    <xf numFmtId="167" fontId="10" fillId="12" borderId="125" xfId="4" applyNumberFormat="1" applyFont="1" applyFill="1" applyBorder="1" applyAlignment="1">
      <alignment horizontal="right"/>
    </xf>
    <xf numFmtId="167" fontId="10" fillId="12" borderId="134" xfId="4" applyNumberFormat="1" applyFont="1" applyFill="1" applyBorder="1" applyAlignment="1">
      <alignment horizontal="right"/>
    </xf>
    <xf numFmtId="167" fontId="18" fillId="12" borderId="75" xfId="4" applyNumberFormat="1" applyFont="1" applyFill="1" applyBorder="1" applyAlignment="1">
      <alignment horizontal="right"/>
    </xf>
    <xf numFmtId="167" fontId="10" fillId="12" borderId="75" xfId="4" applyNumberFormat="1" applyFont="1" applyFill="1" applyBorder="1" applyAlignment="1">
      <alignment horizontal="right"/>
    </xf>
    <xf numFmtId="167" fontId="10" fillId="12" borderId="76" xfId="4" applyNumberFormat="1" applyFont="1" applyFill="1" applyBorder="1" applyAlignment="1">
      <alignment horizontal="right"/>
    </xf>
    <xf numFmtId="167" fontId="10" fillId="10" borderId="74" xfId="4" applyNumberFormat="1" applyFont="1" applyFill="1" applyBorder="1"/>
    <xf numFmtId="167" fontId="10" fillId="10" borderId="75" xfId="4" applyNumberFormat="1" applyFont="1" applyFill="1" applyBorder="1"/>
    <xf numFmtId="167" fontId="10" fillId="10" borderId="75" xfId="4" applyNumberFormat="1" applyFont="1" applyFill="1" applyBorder="1" applyAlignment="1">
      <alignment horizontal="right"/>
    </xf>
    <xf numFmtId="167" fontId="10" fillId="10" borderId="76" xfId="4" applyNumberFormat="1" applyFont="1" applyFill="1" applyBorder="1"/>
    <xf numFmtId="167" fontId="18" fillId="12" borderId="131" xfId="4" applyNumberFormat="1" applyFont="1" applyFill="1" applyBorder="1" applyAlignment="1">
      <alignment horizontal="right"/>
    </xf>
    <xf numFmtId="167" fontId="10" fillId="0" borderId="125" xfId="4" applyNumberFormat="1" applyFont="1" applyFill="1" applyBorder="1"/>
    <xf numFmtId="167" fontId="10" fillId="0" borderId="134" xfId="4" applyNumberFormat="1" applyFont="1" applyFill="1" applyBorder="1"/>
    <xf numFmtId="0" fontId="18" fillId="0" borderId="37" xfId="4" applyFont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10" fillId="0" borderId="134" xfId="4" applyFont="1" applyFill="1" applyBorder="1" applyAlignment="1">
      <alignment horizontal="right"/>
    </xf>
    <xf numFmtId="1" fontId="18" fillId="0" borderId="92" xfId="0" applyNumberFormat="1" applyFont="1" applyFill="1" applyBorder="1"/>
    <xf numFmtId="1" fontId="18" fillId="0" borderId="136" xfId="0" applyNumberFormat="1" applyFont="1" applyFill="1" applyBorder="1"/>
    <xf numFmtId="0" fontId="39" fillId="0" borderId="50" xfId="0" applyFont="1" applyBorder="1"/>
    <xf numFmtId="167" fontId="18" fillId="0" borderId="136" xfId="0" applyNumberFormat="1" applyFont="1" applyFill="1" applyBorder="1"/>
    <xf numFmtId="165" fontId="0" fillId="0" borderId="32" xfId="12" applyNumberFormat="1" applyFont="1" applyFill="1" applyBorder="1" applyAlignment="1">
      <alignment horizontal="center" vertical="center"/>
    </xf>
    <xf numFmtId="172" fontId="15" fillId="0" borderId="1" xfId="0" applyNumberFormat="1" applyFont="1" applyFill="1" applyBorder="1" applyAlignment="1"/>
    <xf numFmtId="172" fontId="15" fillId="0" borderId="37" xfId="12" applyNumberFormat="1" applyFont="1" applyFill="1" applyBorder="1" applyAlignment="1">
      <alignment horizontal="right"/>
    </xf>
    <xf numFmtId="172" fontId="17" fillId="0" borderId="43" xfId="0" applyNumberFormat="1" applyFont="1" applyFill="1" applyBorder="1" applyAlignment="1">
      <alignment horizontal="right"/>
    </xf>
    <xf numFmtId="3" fontId="68" fillId="0" borderId="1" xfId="0" applyNumberFormat="1" applyFont="1" applyFill="1" applyBorder="1" applyAlignment="1"/>
    <xf numFmtId="3" fontId="68" fillId="0" borderId="37" xfId="12" applyNumberFormat="1" applyFont="1" applyFill="1" applyBorder="1" applyAlignment="1">
      <alignment horizontal="right"/>
    </xf>
    <xf numFmtId="3" fontId="1" fillId="0" borderId="43" xfId="0" applyNumberFormat="1" applyFont="1" applyFill="1" applyBorder="1" applyAlignment="1">
      <alignment horizontal="right"/>
    </xf>
    <xf numFmtId="1" fontId="21" fillId="0" borderId="43" xfId="9" applyNumberFormat="1" applyFont="1" applyFill="1" applyBorder="1" applyAlignment="1"/>
    <xf numFmtId="176" fontId="0" fillId="0" borderId="8" xfId="0" applyNumberFormat="1" applyFont="1" applyFill="1" applyBorder="1" applyAlignment="1">
      <alignment horizontal="right" vertical="center"/>
    </xf>
    <xf numFmtId="43" fontId="10" fillId="0" borderId="27" xfId="12" applyNumberFormat="1" applyFont="1" applyFill="1" applyBorder="1" applyAlignment="1">
      <alignment horizontal="right" vertical="center" wrapText="1"/>
    </xf>
    <xf numFmtId="2" fontId="10" fillId="0" borderId="29" xfId="12" applyNumberFormat="1" applyFont="1" applyFill="1" applyBorder="1" applyAlignment="1">
      <alignment horizontal="right" vertical="center" wrapText="1"/>
    </xf>
    <xf numFmtId="43" fontId="10" fillId="0" borderId="43" xfId="12" applyNumberFormat="1" applyFont="1" applyFill="1" applyBorder="1" applyAlignment="1">
      <alignment horizontal="right" vertical="center" wrapText="1"/>
    </xf>
    <xf numFmtId="43" fontId="10" fillId="0" borderId="1" xfId="12" applyNumberFormat="1" applyFont="1" applyFill="1" applyBorder="1" applyAlignment="1">
      <alignment horizontal="right" vertical="center" wrapText="1"/>
    </xf>
    <xf numFmtId="43" fontId="10" fillId="0" borderId="37" xfId="12" applyNumberFormat="1" applyFont="1" applyFill="1" applyBorder="1" applyAlignment="1">
      <alignment horizontal="right" vertical="center" wrapText="1"/>
    </xf>
    <xf numFmtId="173" fontId="36" fillId="0" borderId="41" xfId="12" applyNumberFormat="1" applyFont="1" applyBorder="1" applyAlignment="1"/>
    <xf numFmtId="171" fontId="15" fillId="0" borderId="19" xfId="12" applyNumberFormat="1" applyFont="1" applyFill="1" applyBorder="1" applyAlignment="1">
      <alignment horizontal="right"/>
    </xf>
    <xf numFmtId="4" fontId="15" fillId="0" borderId="8" xfId="12" applyNumberFormat="1" applyFont="1" applyFill="1" applyBorder="1" applyAlignment="1">
      <alignment horizontal="right"/>
    </xf>
    <xf numFmtId="171" fontId="15" fillId="0" borderId="42" xfId="12" applyNumberFormat="1" applyFont="1" applyFill="1" applyBorder="1" applyAlignment="1">
      <alignment horizontal="right"/>
    </xf>
    <xf numFmtId="172" fontId="17" fillId="0" borderId="42" xfId="0" applyNumberFormat="1" applyFont="1" applyFill="1" applyBorder="1" applyAlignment="1">
      <alignment horizontal="right"/>
    </xf>
    <xf numFmtId="0" fontId="8" fillId="0" borderId="0" xfId="4" applyFont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8" fillId="0" borderId="0" xfId="4" applyFont="1" applyBorder="1" applyAlignment="1">
      <alignment horizontal="center" vertical="center" wrapText="1"/>
    </xf>
    <xf numFmtId="0" fontId="10" fillId="0" borderId="135" xfId="4" applyFont="1" applyBorder="1" applyAlignment="1">
      <alignment horizontal="center" vertical="center"/>
    </xf>
    <xf numFmtId="0" fontId="10" fillId="0" borderId="97" xfId="4" applyFont="1" applyBorder="1" applyAlignment="1">
      <alignment horizontal="center" vertical="center"/>
    </xf>
    <xf numFmtId="0" fontId="10" fillId="0" borderId="126" xfId="5" applyFont="1" applyBorder="1" applyAlignment="1">
      <alignment horizontal="center" vertical="center"/>
    </xf>
    <xf numFmtId="0" fontId="10" fillId="0" borderId="96" xfId="5" applyFont="1" applyBorder="1" applyAlignment="1">
      <alignment horizontal="center" vertical="center"/>
    </xf>
    <xf numFmtId="0" fontId="18" fillId="0" borderId="128" xfId="5" applyFont="1" applyBorder="1" applyAlignment="1">
      <alignment horizontal="center" vertical="center" wrapText="1"/>
    </xf>
    <xf numFmtId="0" fontId="18" fillId="0" borderId="98" xfId="5" applyFont="1" applyBorder="1" applyAlignment="1">
      <alignment horizontal="center" vertical="center" wrapText="1"/>
    </xf>
    <xf numFmtId="0" fontId="18" fillId="0" borderId="107" xfId="5" applyFont="1" applyFill="1" applyBorder="1" applyAlignment="1">
      <alignment horizontal="center" vertical="center" wrapText="1"/>
    </xf>
    <xf numFmtId="0" fontId="18" fillId="0" borderId="73" xfId="5" applyFont="1" applyFill="1" applyBorder="1" applyAlignment="1">
      <alignment horizontal="center" vertical="center" wrapText="1"/>
    </xf>
    <xf numFmtId="0" fontId="18" fillId="0" borderId="116" xfId="5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8" fillId="4" borderId="131" xfId="5" applyFont="1" applyFill="1" applyBorder="1" applyAlignment="1">
      <alignment horizontal="center" vertical="center" wrapText="1"/>
    </xf>
    <xf numFmtId="0" fontId="18" fillId="4" borderId="134" xfId="5" applyFont="1" applyFill="1" applyBorder="1" applyAlignment="1">
      <alignment horizontal="center" vertical="center" wrapText="1"/>
    </xf>
    <xf numFmtId="0" fontId="18" fillId="0" borderId="126" xfId="5" applyFont="1" applyBorder="1" applyAlignment="1">
      <alignment horizontal="center" vertical="center" wrapText="1"/>
    </xf>
    <xf numFmtId="0" fontId="18" fillId="0" borderId="96" xfId="5" applyFont="1" applyBorder="1" applyAlignment="1">
      <alignment horizontal="center" vertical="center" wrapText="1"/>
    </xf>
    <xf numFmtId="0" fontId="8" fillId="0" borderId="0" xfId="4" applyFont="1" applyAlignment="1"/>
    <xf numFmtId="0" fontId="18" fillId="0" borderId="35" xfId="3" applyFont="1" applyFill="1" applyBorder="1" applyAlignment="1">
      <alignment horizontal="center" vertical="center" wrapText="1"/>
    </xf>
    <xf numFmtId="0" fontId="18" fillId="0" borderId="45" xfId="3" applyFont="1" applyFill="1" applyBorder="1" applyAlignment="1">
      <alignment horizontal="center" vertical="center" wrapText="1"/>
    </xf>
    <xf numFmtId="0" fontId="18" fillId="0" borderId="28" xfId="3" applyFont="1" applyFill="1" applyBorder="1" applyAlignment="1">
      <alignment horizontal="center" vertical="center" wrapText="1"/>
    </xf>
    <xf numFmtId="0" fontId="18" fillId="4" borderId="35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center" vertical="center" wrapText="1"/>
    </xf>
    <xf numFmtId="0" fontId="18" fillId="4" borderId="28" xfId="3" applyFont="1" applyFill="1" applyBorder="1" applyAlignment="1">
      <alignment horizontal="center" vertical="center" wrapText="1"/>
    </xf>
    <xf numFmtId="0" fontId="18" fillId="0" borderId="165" xfId="3" applyFont="1" applyFill="1" applyBorder="1" applyAlignment="1">
      <alignment horizontal="center" vertical="center" wrapText="1"/>
    </xf>
    <xf numFmtId="0" fontId="18" fillId="0" borderId="142" xfId="3" applyFont="1" applyFill="1" applyBorder="1" applyAlignment="1">
      <alignment horizontal="center" vertical="center" wrapText="1"/>
    </xf>
    <xf numFmtId="0" fontId="5" fillId="0" borderId="165" xfId="3" applyFont="1" applyFill="1" applyBorder="1" applyAlignment="1">
      <alignment horizontal="center" vertical="center" wrapText="1"/>
    </xf>
    <xf numFmtId="0" fontId="5" fillId="0" borderId="142" xfId="3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120" xfId="3" applyFont="1" applyFill="1" applyBorder="1" applyAlignment="1">
      <alignment horizontal="center" vertical="center" wrapText="1"/>
    </xf>
    <xf numFmtId="0" fontId="18" fillId="0" borderId="59" xfId="3" applyFont="1" applyFill="1" applyBorder="1" applyAlignment="1">
      <alignment horizontal="center" vertical="center" wrapText="1"/>
    </xf>
    <xf numFmtId="0" fontId="18" fillId="0" borderId="55" xfId="3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/>
    </xf>
    <xf numFmtId="0" fontId="18" fillId="0" borderId="0" xfId="6" applyNumberFormat="1" applyFont="1" applyFill="1" applyBorder="1" applyAlignment="1" applyProtection="1">
      <alignment horizontal="center" vertical="top" wrapText="1"/>
    </xf>
    <xf numFmtId="0" fontId="18" fillId="0" borderId="79" xfId="3" applyNumberFormat="1" applyFont="1" applyFill="1" applyBorder="1" applyAlignment="1" applyProtection="1">
      <alignment horizontal="center" vertical="top"/>
    </xf>
    <xf numFmtId="0" fontId="18" fillId="0" borderId="77" xfId="3" applyNumberFormat="1" applyFont="1" applyFill="1" applyBorder="1" applyAlignment="1" applyProtection="1">
      <alignment horizontal="center" vertical="top"/>
    </xf>
    <xf numFmtId="0" fontId="18" fillId="0" borderId="85" xfId="3" applyNumberFormat="1" applyFont="1" applyFill="1" applyBorder="1" applyAlignment="1" applyProtection="1">
      <alignment horizontal="center" vertical="center" wrapText="1"/>
    </xf>
    <xf numFmtId="0" fontId="18" fillId="0" borderId="78" xfId="3" applyNumberFormat="1" applyFont="1" applyFill="1" applyBorder="1" applyAlignment="1" applyProtection="1">
      <alignment horizontal="center" vertical="center" wrapText="1"/>
    </xf>
    <xf numFmtId="0" fontId="18" fillId="11" borderId="88" xfId="0" applyFont="1" applyFill="1" applyBorder="1" applyAlignment="1">
      <alignment horizontal="center"/>
    </xf>
    <xf numFmtId="0" fontId="18" fillId="11" borderId="171" xfId="0" applyFont="1" applyFill="1" applyBorder="1" applyAlignment="1">
      <alignment horizontal="center"/>
    </xf>
    <xf numFmtId="0" fontId="18" fillId="11" borderId="172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8" fillId="0" borderId="120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168" xfId="0" applyFont="1" applyBorder="1" applyAlignment="1">
      <alignment horizontal="center"/>
    </xf>
    <xf numFmtId="0" fontId="18" fillId="0" borderId="169" xfId="0" applyFont="1" applyBorder="1" applyAlignment="1">
      <alignment horizontal="center"/>
    </xf>
    <xf numFmtId="0" fontId="18" fillId="0" borderId="170" xfId="0" applyFont="1" applyBorder="1" applyAlignment="1">
      <alignment horizontal="center"/>
    </xf>
    <xf numFmtId="0" fontId="18" fillId="11" borderId="141" xfId="0" applyFont="1" applyFill="1" applyBorder="1" applyAlignment="1">
      <alignment horizontal="center"/>
    </xf>
    <xf numFmtId="0" fontId="18" fillId="11" borderId="74" xfId="0" applyFont="1" applyFill="1" applyBorder="1" applyAlignment="1">
      <alignment horizontal="center"/>
    </xf>
    <xf numFmtId="0" fontId="18" fillId="11" borderId="101" xfId="0" applyFont="1" applyFill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166" xfId="0" applyFont="1" applyBorder="1" applyAlignment="1">
      <alignment horizontal="center"/>
    </xf>
    <xf numFmtId="0" fontId="18" fillId="0" borderId="147" xfId="0" applyFont="1" applyBorder="1" applyAlignment="1">
      <alignment horizontal="center"/>
    </xf>
    <xf numFmtId="0" fontId="18" fillId="0" borderId="167" xfId="0" applyFont="1" applyBorder="1" applyAlignment="1">
      <alignment horizontal="center"/>
    </xf>
    <xf numFmtId="0" fontId="18" fillId="0" borderId="0" xfId="4" applyFont="1" applyAlignment="1">
      <alignment horizontal="center"/>
    </xf>
    <xf numFmtId="0" fontId="39" fillId="0" borderId="0" xfId="3" applyFont="1" applyBorder="1" applyAlignment="1">
      <alignment horizontal="center"/>
    </xf>
    <xf numFmtId="0" fontId="18" fillId="0" borderId="135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128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128" xfId="0" applyFont="1" applyBorder="1" applyAlignment="1">
      <alignment horizontal="center" wrapText="1"/>
    </xf>
    <xf numFmtId="0" fontId="18" fillId="0" borderId="126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1" applyFont="1" applyAlignment="1">
      <alignment horizontal="center"/>
    </xf>
    <xf numFmtId="0" fontId="26" fillId="0" borderId="0" xfId="0" applyFont="1" applyAlignment="1">
      <alignment horizontal="center"/>
    </xf>
    <xf numFmtId="0" fontId="12" fillId="0" borderId="27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top" wrapText="1"/>
    </xf>
    <xf numFmtId="0" fontId="11" fillId="0" borderId="173" xfId="10" applyFont="1" applyFill="1" applyBorder="1" applyAlignment="1">
      <alignment horizontal="center" vertical="center" wrapText="1"/>
    </xf>
    <xf numFmtId="0" fontId="11" fillId="0" borderId="124" xfId="10" applyFont="1" applyFill="1" applyBorder="1" applyAlignment="1">
      <alignment horizontal="center" vertical="center" wrapText="1"/>
    </xf>
    <xf numFmtId="0" fontId="11" fillId="0" borderId="153" xfId="10" applyFont="1" applyFill="1" applyBorder="1" applyAlignment="1">
      <alignment horizontal="center" vertical="center" wrapText="1"/>
    </xf>
    <xf numFmtId="0" fontId="11" fillId="0" borderId="114" xfId="10" applyFont="1" applyFill="1" applyBorder="1" applyAlignment="1">
      <alignment horizontal="center" vertical="center" wrapText="1"/>
    </xf>
    <xf numFmtId="0" fontId="11" fillId="4" borderId="159" xfId="10" applyFont="1" applyFill="1" applyBorder="1" applyAlignment="1">
      <alignment horizontal="center" vertical="center" wrapText="1"/>
    </xf>
    <xf numFmtId="0" fontId="11" fillId="4" borderId="124" xfId="10" applyFont="1" applyFill="1" applyBorder="1" applyAlignment="1">
      <alignment horizontal="center" vertical="center" wrapText="1"/>
    </xf>
    <xf numFmtId="0" fontId="20" fillId="0" borderId="54" xfId="9" applyFont="1" applyBorder="1" applyAlignment="1">
      <alignment horizontal="center" vertical="center" wrapText="1"/>
    </xf>
    <xf numFmtId="0" fontId="21" fillId="0" borderId="153" xfId="9" applyFont="1" applyBorder="1" applyAlignment="1">
      <alignment horizontal="center"/>
    </xf>
    <xf numFmtId="0" fontId="21" fillId="0" borderId="22" xfId="9" applyFont="1" applyBorder="1" applyAlignment="1">
      <alignment horizontal="center"/>
    </xf>
    <xf numFmtId="0" fontId="21" fillId="0" borderId="154" xfId="9" applyFont="1" applyBorder="1" applyAlignment="1">
      <alignment horizontal="center"/>
    </xf>
    <xf numFmtId="0" fontId="21" fillId="0" borderId="1" xfId="9" applyFont="1" applyBorder="1" applyAlignment="1">
      <alignment horizontal="center"/>
    </xf>
    <xf numFmtId="0" fontId="21" fillId="0" borderId="114" xfId="9" applyFont="1" applyBorder="1" applyAlignment="1">
      <alignment horizontal="center" vertical="center" wrapText="1"/>
    </xf>
    <xf numFmtId="0" fontId="21" fillId="0" borderId="8" xfId="9" applyFont="1" applyBorder="1" applyAlignment="1">
      <alignment horizontal="center" vertical="center" wrapText="1"/>
    </xf>
    <xf numFmtId="0" fontId="11" fillId="0" borderId="50" xfId="10" applyFont="1" applyFill="1" applyBorder="1" applyAlignment="1">
      <alignment horizontal="center" vertical="center" wrapText="1"/>
    </xf>
    <xf numFmtId="0" fontId="11" fillId="4" borderId="173" xfId="10" applyFont="1" applyFill="1" applyBorder="1" applyAlignment="1">
      <alignment horizontal="center" vertical="center" wrapText="1"/>
    </xf>
    <xf numFmtId="0" fontId="11" fillId="4" borderId="123" xfId="10" applyFont="1" applyFill="1" applyBorder="1" applyAlignment="1">
      <alignment horizontal="center" vertical="center" wrapText="1"/>
    </xf>
    <xf numFmtId="0" fontId="11" fillId="0" borderId="159" xfId="10" applyFont="1" applyFill="1" applyBorder="1" applyAlignment="1">
      <alignment horizontal="center" vertical="center" wrapText="1"/>
    </xf>
    <xf numFmtId="0" fontId="26" fillId="4" borderId="174" xfId="7" applyFont="1" applyFill="1" applyBorder="1" applyAlignment="1">
      <alignment horizontal="center" vertical="center" wrapText="1"/>
    </xf>
    <xf numFmtId="0" fontId="26" fillId="4" borderId="69" xfId="7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1" fillId="0" borderId="39" xfId="3" applyFont="1" applyBorder="1" applyAlignment="1">
      <alignment horizontal="center" vertical="center" wrapText="1"/>
    </xf>
    <xf numFmtId="0" fontId="21" fillId="0" borderId="40" xfId="3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6" fillId="0" borderId="175" xfId="7" applyFont="1" applyFill="1" applyBorder="1" applyAlignment="1">
      <alignment horizontal="center" vertical="center" wrapText="1"/>
    </xf>
    <xf numFmtId="0" fontId="26" fillId="0" borderId="106" xfId="7" applyFont="1" applyFill="1" applyBorder="1" applyAlignment="1">
      <alignment horizontal="center" vertical="center" wrapText="1"/>
    </xf>
    <xf numFmtId="0" fontId="26" fillId="0" borderId="176" xfId="7" applyFont="1" applyFill="1" applyBorder="1" applyAlignment="1">
      <alignment horizontal="center" vertical="center" wrapText="1"/>
    </xf>
    <xf numFmtId="0" fontId="26" fillId="0" borderId="104" xfId="7" applyFont="1" applyFill="1" applyBorder="1" applyAlignment="1">
      <alignment horizontal="center" vertical="center" wrapText="1"/>
    </xf>
    <xf numFmtId="0" fontId="26" fillId="0" borderId="107" xfId="7" applyFont="1" applyFill="1" applyBorder="1" applyAlignment="1">
      <alignment horizontal="center" vertical="center" wrapText="1"/>
    </xf>
    <xf numFmtId="0" fontId="26" fillId="0" borderId="73" xfId="7" applyFont="1" applyFill="1" applyBorder="1" applyAlignment="1">
      <alignment horizontal="center" vertical="center" wrapText="1"/>
    </xf>
    <xf numFmtId="0" fontId="26" fillId="4" borderId="177" xfId="7" applyFont="1" applyFill="1" applyBorder="1" applyAlignment="1">
      <alignment horizontal="center" vertical="center" wrapText="1"/>
    </xf>
    <xf numFmtId="0" fontId="26" fillId="4" borderId="64" xfId="7" applyFont="1" applyFill="1" applyBorder="1" applyAlignment="1">
      <alignment horizontal="center" vertical="center" wrapText="1"/>
    </xf>
  </cellXfs>
  <cellStyles count="13">
    <cellStyle name="Денежный" xfId="1" builtinId="4"/>
    <cellStyle name="Обычный" xfId="0" builtinId="0"/>
    <cellStyle name="Обычный 2" xfId="2"/>
    <cellStyle name="Обычный_methodics230802-pril1-3" xfId="3"/>
    <cellStyle name="Обычный_Tarif_2002 год" xfId="4"/>
    <cellStyle name="Обычный_Tarif_97" xfId="5"/>
    <cellStyle name="Обычный_Книга1" xfId="6"/>
    <cellStyle name="Обычный_Судоремсервис электро и тепло" xfId="7"/>
    <cellStyle name="Обычный_таб. 15" xfId="8"/>
    <cellStyle name="Обычный_табл22-24 c 1 июня 2003(ВН)" xfId="9"/>
    <cellStyle name="Обычный_тарифы на 2002г с 1-01" xfId="10"/>
    <cellStyle name="Процентный" xfId="11" builtinId="5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oncharova\Local%20Settings\Temporary%20Internet%20Files\Content.IE5\TND007I3\&#1058;&#1040;&#1041;&#1051;&#1048;&#1062;&#1067;%20&#1069;&#1051;&#1045;&#1050;&#1058;&#1056;&#1054;&#1061;&#1054;&#1047;&#1071;&#1057;&#1058;&#1042;&#1040;%20&#1044;&#1051;&#1071;%20&#1054;&#1041;&#1065;&#1048;&#1061;%20&#1058;&#1040;&#1041;&#1051;&#1048;&#106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HR\&#1044;&#1086;&#1082;&#1091;&#1084;&#1077;&#1085;&#1090;&#1099;\&#1056;&#1077;&#1075;&#1080;&#1086;&#1085;&#1072;&#1083;&#1100;&#1085;&#1072;&#1103;%20&#1089;&#1083;&#1091;&#1078;&#1073;&#1072;%20&#1087;&#1086;%20&#1090;&#1072;&#1088;&#1080;&#1092;&#1072;&#1084;\&#1058;&#1072;&#1088;&#1080;&#1092;&#1099;%202016\&#1054;&#1040;&#1054;%20&#1055;&#1050;&#1052;&#1058;&#1055;%20&#1058;&#1072;&#1073;&#1083;&#1080;&#1094;&#1072;%20&#1076;&#1083;&#1103;%20&#1090;&#1072;&#1088;&#1080;&#1092;&#1086;&#1074;%20&#1085;&#1072;%202016&#1075;%20&#1074;%20&#1056;&#1069;&#1050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office_mail\Documents%20and%20Settings\1\Local%20Settings\Temporary%20Internet%20Files\Content.IE5\WVTBE6R1\&#1090;&#1072;&#1073;&#1083;.1.16%20&#1086;&#1087;&#1083;&#1072;&#1090;&#1072;%20&#1090;&#1088;&#1091;&#1076;&#1072;%202011%20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office_mail\Documents%20and%20Settings\1\&#1056;&#1072;&#1073;&#1086;&#1095;&#1080;&#1081;%20&#1089;&#1090;&#1086;&#1083;\&#1069;&#1082;&#1086;&#1085;&#1086;&#1084;&#1080;&#1082;&#1072;\&#1056;&#1069;&#1050;\&#1056;&#1072;&#1089;&#1095;&#1077;&#1090;%202012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2.1"/>
      <sheetName val="1.2.2"/>
      <sheetName val="1.3"/>
      <sheetName val="1.4"/>
      <sheetName val="1.5"/>
      <sheetName val="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2"/>
      <sheetName val="2.1"/>
      <sheetName val="1.1.2"/>
      <sheetName val="1.2.2"/>
      <sheetName val="1.3"/>
      <sheetName val="1.4"/>
      <sheetName val="1.5"/>
      <sheetName val="1.6"/>
    </sheetNames>
    <sheetDataSet>
      <sheetData sheetId="0"/>
      <sheetData sheetId="1"/>
      <sheetData sheetId="2">
        <row r="7">
          <cell r="D7">
            <v>2.4751304347826086</v>
          </cell>
          <cell r="G7">
            <v>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16-рабочая (2)"/>
      <sheetName val="1.16"/>
    </sheetNames>
    <sheetDataSet>
      <sheetData sheetId="0" refreshError="1"/>
      <sheetData sheetId="1" refreshError="1">
        <row r="27">
          <cell r="E27">
            <v>3400.3827199999992</v>
          </cell>
        </row>
        <row r="28">
          <cell r="E28">
            <v>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1.2"/>
      <sheetName val="1.2.2"/>
      <sheetName val="1.3"/>
      <sheetName val="1.4"/>
      <sheetName val="1.5"/>
      <sheetName val="1.6"/>
      <sheetName val="1.15"/>
      <sheetName val="1.16"/>
      <sheetName val="1.17"/>
      <sheetName val="1.18.2"/>
      <sheetName val="1.21"/>
      <sheetName val="1.24"/>
      <sheetName val="1.25"/>
      <sheetName val="1.24 инт."/>
      <sheetName val="1.25 инт."/>
    </sheetNames>
    <sheetDataSet>
      <sheetData sheetId="0" refreshError="1"/>
      <sheetData sheetId="1" refreshError="1">
        <row r="20">
          <cell r="D20">
            <v>4.1419999999999995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7"/>
  <sheetViews>
    <sheetView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7" sqref="J17"/>
    </sheetView>
  </sheetViews>
  <sheetFormatPr defaultColWidth="9.33203125" defaultRowHeight="13.2"/>
  <cols>
    <col min="1" max="1" width="6.6640625" style="459" customWidth="1"/>
    <col min="2" max="2" width="54.5546875" style="459" customWidth="1"/>
    <col min="3" max="3" width="12" style="459" customWidth="1"/>
    <col min="4" max="4" width="8.44140625" style="459" customWidth="1"/>
    <col min="5" max="5" width="9.44140625" style="464" customWidth="1"/>
    <col min="6" max="7" width="13.88671875" style="464" customWidth="1"/>
    <col min="8" max="8" width="15.109375" style="464" customWidth="1"/>
    <col min="9" max="9" width="16" style="464" customWidth="1"/>
    <col min="10" max="10" width="14.6640625" style="457" customWidth="1"/>
    <col min="11" max="11" width="13.109375" style="457" customWidth="1"/>
    <col min="12" max="12" width="13.109375" style="459" customWidth="1"/>
    <col min="13" max="16384" width="9.33203125" style="459"/>
  </cols>
  <sheetData>
    <row r="1" spans="1:14" ht="37.5" customHeight="1">
      <c r="A1" s="1690" t="s">
        <v>380</v>
      </c>
      <c r="B1" s="1690"/>
      <c r="C1" s="1690"/>
      <c r="D1" s="1690"/>
      <c r="E1" s="1690"/>
      <c r="F1" s="1690"/>
      <c r="G1" s="1690"/>
      <c r="H1" s="1690"/>
      <c r="I1" s="1690"/>
      <c r="K1" s="458" t="s">
        <v>218</v>
      </c>
    </row>
    <row r="2" spans="1:14">
      <c r="E2" s="459"/>
      <c r="F2" s="459"/>
      <c r="G2" s="459"/>
      <c r="H2" s="459"/>
      <c r="I2" s="459"/>
      <c r="J2" s="460"/>
      <c r="K2" s="460"/>
    </row>
    <row r="3" spans="1:14" ht="33.75" customHeight="1">
      <c r="A3" s="1691" t="s">
        <v>221</v>
      </c>
      <c r="B3" s="1691"/>
      <c r="C3" s="1691"/>
      <c r="D3" s="1691"/>
      <c r="E3" s="1691"/>
      <c r="F3" s="1691"/>
      <c r="G3" s="1691"/>
      <c r="H3" s="1691"/>
      <c r="I3" s="1691"/>
      <c r="J3" s="1691"/>
      <c r="K3" s="1691"/>
    </row>
    <row r="4" spans="1:14" ht="43.5" customHeight="1" thickBot="1">
      <c r="A4" s="461"/>
      <c r="B4" s="462"/>
      <c r="C4" s="461"/>
      <c r="D4" s="461"/>
      <c r="E4" s="461"/>
      <c r="F4" s="461"/>
      <c r="G4" s="461"/>
      <c r="H4" s="461"/>
      <c r="I4" s="461"/>
      <c r="J4" s="463"/>
      <c r="K4" s="463"/>
    </row>
    <row r="5" spans="1:14" s="464" customFormat="1" ht="78" customHeight="1" thickBot="1">
      <c r="A5" s="1366" t="s">
        <v>196</v>
      </c>
      <c r="B5" s="1367" t="s">
        <v>197</v>
      </c>
      <c r="C5" s="1368" t="s">
        <v>219</v>
      </c>
      <c r="D5" s="1289" t="str">
        <f>'1.2.2'!C5:C6</f>
        <v>Утверждено РСТ КК на 2015 г.</v>
      </c>
      <c r="E5" s="1289" t="str">
        <f>'1.2.2'!D5:D6</f>
        <v>Факт 2015 г.</v>
      </c>
      <c r="F5" s="1289" t="str">
        <f>'1.2.2'!E5:E6</f>
        <v>Утверждено РСТ КК на 2016 г.</v>
      </c>
      <c r="G5" s="1289" t="str">
        <f>'1.2.2'!F5:F6</f>
        <v>Ожидаемый факт 2016 г.</v>
      </c>
      <c r="H5" s="1289" t="str">
        <f>'1.2.2'!G5:G6</f>
        <v>Предложения на 1-е полугодие 2017 г</v>
      </c>
      <c r="I5" s="1289" t="str">
        <f>'1.2.2'!H5:H6</f>
        <v>Предложения на 2-е полугодие 2017 г</v>
      </c>
      <c r="J5" s="1289" t="str">
        <f>'1.2.2'!I5:I6</f>
        <v>Предложения на  2017 г</v>
      </c>
      <c r="K5" s="1289" t="str">
        <f>'1.2.2'!N5:N6</f>
        <v>Утвержденона 1-е  РСТ на 2017 г.</v>
      </c>
      <c r="L5" s="1289" t="str">
        <f>'1.2.2'!O5:O6</f>
        <v>Утвержденона 2-е  РСТ на 2017 г.</v>
      </c>
      <c r="N5" s="973"/>
    </row>
    <row r="6" spans="1:14" ht="12.75" customHeight="1" thickBot="1">
      <c r="A6" s="1369">
        <v>1</v>
      </c>
      <c r="B6" s="1370">
        <v>2</v>
      </c>
      <c r="C6" s="1371">
        <f>B6+1</f>
        <v>3</v>
      </c>
      <c r="D6" s="478">
        <f>C6+1</f>
        <v>4</v>
      </c>
      <c r="E6" s="479">
        <v>5</v>
      </c>
      <c r="F6" s="479">
        <v>6</v>
      </c>
      <c r="G6" s="1647">
        <v>7</v>
      </c>
      <c r="H6" s="1650">
        <v>8</v>
      </c>
      <c r="I6" s="1648">
        <v>9</v>
      </c>
      <c r="J6" s="478">
        <v>10</v>
      </c>
      <c r="K6" s="465">
        <v>11</v>
      </c>
      <c r="L6" s="480">
        <v>12</v>
      </c>
    </row>
    <row r="7" spans="1:14">
      <c r="A7" s="466" t="s">
        <v>130</v>
      </c>
      <c r="B7" s="1372" t="s">
        <v>222</v>
      </c>
      <c r="C7" s="1373" t="s">
        <v>220</v>
      </c>
      <c r="D7" s="1661">
        <f>'1.2.2'!C9/5.75</f>
        <v>2.1095652173913044</v>
      </c>
      <c r="E7" s="1649">
        <f>'1.2.2'!D9/5.75</f>
        <v>1.8756521739130434</v>
      </c>
      <c r="F7" s="1661">
        <f>'1.2.2'!E9/5.75</f>
        <v>2.1142608695652174</v>
      </c>
      <c r="G7" s="1649">
        <f>'1.2.2'!F9/5.75</f>
        <v>1.4608695652173913</v>
      </c>
      <c r="H7" s="1651">
        <f>'1.2.2'!G9/2.875</f>
        <v>1.5648695652173912</v>
      </c>
      <c r="I7" s="1649">
        <f>'1.2.2'!H9/2.875</f>
        <v>1.6361739130434783</v>
      </c>
      <c r="J7" s="1661">
        <f>'1.2.2'!I9/5.75</f>
        <v>1.6005217391304347</v>
      </c>
      <c r="K7" s="1657"/>
      <c r="L7" s="481"/>
    </row>
    <row r="8" spans="1:14">
      <c r="A8" s="1374" t="s">
        <v>177</v>
      </c>
      <c r="B8" s="1375" t="s">
        <v>223</v>
      </c>
      <c r="C8" s="1376" t="s">
        <v>220</v>
      </c>
      <c r="D8" s="1291"/>
      <c r="E8" s="1664"/>
      <c r="F8" s="1291"/>
      <c r="G8" s="1654"/>
      <c r="H8" s="1291"/>
      <c r="I8" s="1654"/>
      <c r="J8" s="1343"/>
      <c r="K8" s="1658"/>
      <c r="L8" s="482"/>
    </row>
    <row r="9" spans="1:14">
      <c r="A9" s="1374" t="s">
        <v>178</v>
      </c>
      <c r="B9" s="1375" t="s">
        <v>224</v>
      </c>
      <c r="C9" s="1376" t="s">
        <v>220</v>
      </c>
      <c r="D9" s="1291"/>
      <c r="E9" s="1664"/>
      <c r="F9" s="1291"/>
      <c r="G9" s="1654"/>
      <c r="H9" s="1291"/>
      <c r="I9" s="1654"/>
      <c r="J9" s="1343"/>
      <c r="K9" s="1658"/>
      <c r="L9" s="482"/>
    </row>
    <row r="10" spans="1:14">
      <c r="A10" s="1374" t="s">
        <v>180</v>
      </c>
      <c r="B10" s="1375" t="s">
        <v>225</v>
      </c>
      <c r="C10" s="1376" t="s">
        <v>220</v>
      </c>
      <c r="D10" s="1291"/>
      <c r="E10" s="1664"/>
      <c r="F10" s="1291"/>
      <c r="G10" s="1654"/>
      <c r="H10" s="1291"/>
      <c r="I10" s="1654"/>
      <c r="J10" s="1343"/>
      <c r="K10" s="1658"/>
      <c r="L10" s="482"/>
    </row>
    <row r="11" spans="1:14">
      <c r="A11" s="1374" t="s">
        <v>226</v>
      </c>
      <c r="B11" s="1375" t="s">
        <v>227</v>
      </c>
      <c r="C11" s="1376" t="s">
        <v>220</v>
      </c>
      <c r="D11" s="1291">
        <f t="shared" ref="D11:J11" si="0">D7</f>
        <v>2.1095652173913044</v>
      </c>
      <c r="E11" s="1649">
        <f t="shared" si="0"/>
        <v>1.8756521739130434</v>
      </c>
      <c r="F11" s="1291">
        <f t="shared" si="0"/>
        <v>2.1142608695652174</v>
      </c>
      <c r="G11" s="1654">
        <f t="shared" si="0"/>
        <v>1.4608695652173913</v>
      </c>
      <c r="H11" s="1291">
        <f t="shared" si="0"/>
        <v>1.5648695652173912</v>
      </c>
      <c r="I11" s="1654">
        <f t="shared" si="0"/>
        <v>1.6361739130434783</v>
      </c>
      <c r="J11" s="1291">
        <f t="shared" si="0"/>
        <v>1.6005217391304347</v>
      </c>
      <c r="K11" s="1659"/>
      <c r="L11" s="482"/>
    </row>
    <row r="12" spans="1:14">
      <c r="A12" s="1374" t="s">
        <v>228</v>
      </c>
      <c r="B12" s="1375" t="s">
        <v>229</v>
      </c>
      <c r="C12" s="1376" t="s">
        <v>220</v>
      </c>
      <c r="D12" s="1291"/>
      <c r="E12" s="1665"/>
      <c r="F12" s="1291"/>
      <c r="G12" s="1654"/>
      <c r="H12" s="1291"/>
      <c r="I12" s="1654"/>
      <c r="J12" s="1343"/>
      <c r="K12" s="1658"/>
      <c r="L12" s="482"/>
    </row>
    <row r="13" spans="1:14">
      <c r="A13" s="467" t="s">
        <v>131</v>
      </c>
      <c r="B13" s="1377" t="s">
        <v>230</v>
      </c>
      <c r="C13" s="1376" t="s">
        <v>220</v>
      </c>
      <c r="D13" s="1291">
        <f>'1.2.2'!C13/5.75</f>
        <v>6.4347826086956522E-2</v>
      </c>
      <c r="E13" s="1654">
        <f>'1.2.2'!D13/5.75</f>
        <v>1.8782608695652174E-2</v>
      </c>
      <c r="F13" s="1291">
        <f>'1.2.2'!E13/5.75</f>
        <v>6.4695652173913043E-2</v>
      </c>
      <c r="G13" s="1654">
        <f>'1.2.2'!F13/5.75</f>
        <v>6.08695652173913E-2</v>
      </c>
      <c r="H13" s="1291">
        <f>'1.2.2'!G13/2.875</f>
        <v>1.3217391304347825E-2</v>
      </c>
      <c r="I13" s="1654">
        <f>'1.2.2'!H13/2.875</f>
        <v>1.3217391304347825E-2</v>
      </c>
      <c r="J13" s="1291">
        <f>'1.2.2'!I13/5.75</f>
        <v>1.3217391304347825E-2</v>
      </c>
      <c r="K13" s="1658"/>
      <c r="L13" s="482"/>
    </row>
    <row r="14" spans="1:14" ht="26.4">
      <c r="A14" s="467" t="s">
        <v>132</v>
      </c>
      <c r="B14" s="1377" t="s">
        <v>312</v>
      </c>
      <c r="C14" s="1376" t="s">
        <v>220</v>
      </c>
      <c r="D14" s="1291"/>
      <c r="E14" s="1665"/>
      <c r="F14" s="1291"/>
      <c r="G14" s="1654"/>
      <c r="H14" s="1291"/>
      <c r="I14" s="1654"/>
      <c r="J14" s="1291"/>
      <c r="K14" s="1658"/>
      <c r="L14" s="482"/>
    </row>
    <row r="15" spans="1:14">
      <c r="A15" s="468" t="s">
        <v>133</v>
      </c>
      <c r="B15" s="1378" t="s">
        <v>231</v>
      </c>
      <c r="C15" s="1376" t="s">
        <v>220</v>
      </c>
      <c r="D15" s="1291">
        <f>D11-D13</f>
        <v>2.0452173913043481</v>
      </c>
      <c r="E15" s="1654">
        <f t="shared" ref="E15:J15" si="1">E11-E13</f>
        <v>1.8568695652173912</v>
      </c>
      <c r="F15" s="1291">
        <f t="shared" si="1"/>
        <v>2.0495652173913044</v>
      </c>
      <c r="G15" s="1654">
        <f t="shared" si="1"/>
        <v>1.4</v>
      </c>
      <c r="H15" s="1291">
        <f t="shared" si="1"/>
        <v>1.5516521739130433</v>
      </c>
      <c r="I15" s="1654">
        <f t="shared" si="1"/>
        <v>1.6229565217391304</v>
      </c>
      <c r="J15" s="1291">
        <f t="shared" si="1"/>
        <v>1.5873043478260869</v>
      </c>
      <c r="K15" s="1659"/>
      <c r="L15" s="482"/>
    </row>
    <row r="16" spans="1:14">
      <c r="A16" s="1374"/>
      <c r="B16" s="1378" t="s">
        <v>232</v>
      </c>
      <c r="C16" s="1376" t="s">
        <v>220</v>
      </c>
      <c r="D16" s="1291"/>
      <c r="E16" s="1665"/>
      <c r="F16" s="1291"/>
      <c r="G16" s="1654"/>
      <c r="H16" s="1291"/>
      <c r="I16" s="1654"/>
      <c r="J16" s="1291"/>
      <c r="K16" s="1659"/>
      <c r="L16" s="482"/>
    </row>
    <row r="17" spans="1:14">
      <c r="A17" s="1379"/>
      <c r="B17" s="1378" t="s">
        <v>233</v>
      </c>
      <c r="C17" s="1376" t="s">
        <v>220</v>
      </c>
      <c r="D17" s="1291">
        <f t="shared" ref="D17:I17" si="2">D15</f>
        <v>2.0452173913043481</v>
      </c>
      <c r="E17" s="1654">
        <f t="shared" si="2"/>
        <v>1.8568695652173912</v>
      </c>
      <c r="F17" s="1291">
        <f t="shared" si="2"/>
        <v>2.0495652173913044</v>
      </c>
      <c r="G17" s="1654">
        <f t="shared" si="2"/>
        <v>1.4</v>
      </c>
      <c r="H17" s="1291">
        <f t="shared" si="2"/>
        <v>1.5516521739130433</v>
      </c>
      <c r="I17" s="1654">
        <f t="shared" si="2"/>
        <v>1.6229565217391304</v>
      </c>
      <c r="J17" s="1291">
        <f>J15</f>
        <v>1.5873043478260869</v>
      </c>
      <c r="K17" s="1659"/>
      <c r="L17" s="482"/>
    </row>
    <row r="18" spans="1:14">
      <c r="A18" s="1374"/>
      <c r="B18" s="1378" t="s">
        <v>234</v>
      </c>
      <c r="C18" s="1376" t="s">
        <v>220</v>
      </c>
      <c r="D18" s="1652"/>
      <c r="F18" s="1652"/>
      <c r="G18" s="1655"/>
      <c r="H18" s="1652"/>
      <c r="I18" s="1655"/>
      <c r="J18" s="1662"/>
      <c r="K18" s="1658"/>
      <c r="L18" s="482"/>
    </row>
    <row r="19" spans="1:14" ht="13.8" thickBot="1">
      <c r="A19" s="1380"/>
      <c r="B19" s="1381" t="s">
        <v>235</v>
      </c>
      <c r="C19" s="1382" t="s">
        <v>220</v>
      </c>
      <c r="D19" s="1666"/>
      <c r="E19" s="1656"/>
      <c r="F19" s="1653"/>
      <c r="G19" s="1656"/>
      <c r="H19" s="1653"/>
      <c r="I19" s="1656"/>
      <c r="J19" s="1663"/>
      <c r="K19" s="1660"/>
      <c r="L19" s="483"/>
    </row>
    <row r="20" spans="1:14">
      <c r="E20" s="469"/>
      <c r="F20" s="469"/>
      <c r="G20" s="469"/>
      <c r="H20" s="469"/>
      <c r="I20" s="469"/>
      <c r="J20" s="470"/>
      <c r="K20" s="470"/>
    </row>
    <row r="21" spans="1:14" ht="27" customHeight="1">
      <c r="B21" s="471" t="s">
        <v>381</v>
      </c>
      <c r="C21" s="472"/>
      <c r="D21" s="472"/>
      <c r="E21" s="100"/>
      <c r="F21" s="473"/>
      <c r="G21" s="473"/>
      <c r="H21" s="472"/>
      <c r="I21" s="100"/>
      <c r="J21" s="474"/>
      <c r="K21" s="474"/>
      <c r="L21" s="475"/>
      <c r="M21" s="475"/>
      <c r="N21" s="475"/>
    </row>
    <row r="22" spans="1:14">
      <c r="B22" s="471" t="s">
        <v>377</v>
      </c>
      <c r="C22" s="471"/>
      <c r="D22" s="476" t="s">
        <v>436</v>
      </c>
    </row>
    <row r="23" spans="1:14">
      <c r="B23" s="110" t="s">
        <v>378</v>
      </c>
    </row>
    <row r="24" spans="1:14" ht="15.6" customHeight="1">
      <c r="B24" s="110" t="s">
        <v>379</v>
      </c>
    </row>
    <row r="25" spans="1:14" ht="27" customHeight="1">
      <c r="B25" s="471"/>
      <c r="C25" s="471"/>
      <c r="D25" s="476"/>
      <c r="E25" s="477"/>
      <c r="F25" s="459"/>
      <c r="G25" s="459"/>
      <c r="H25" s="472"/>
      <c r="I25" s="100"/>
      <c r="J25" s="474"/>
      <c r="K25" s="474"/>
      <c r="L25" s="475"/>
      <c r="M25" s="475"/>
      <c r="N25" s="475"/>
    </row>
    <row r="26" spans="1:14">
      <c r="B26" s="110"/>
    </row>
    <row r="27" spans="1:14">
      <c r="B27" s="110"/>
    </row>
  </sheetData>
  <mergeCells count="2">
    <mergeCell ref="A1:I1"/>
    <mergeCell ref="A3:K3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57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3"/>
    <pageSetUpPr fitToPage="1"/>
  </sheetPr>
  <dimension ref="A1:M40"/>
  <sheetViews>
    <sheetView workbookViewId="0">
      <selection activeCell="C18" sqref="C18"/>
    </sheetView>
  </sheetViews>
  <sheetFormatPr defaultRowHeight="13.2"/>
  <cols>
    <col min="1" max="1" width="5.109375" customWidth="1"/>
    <col min="2" max="2" width="32.109375" customWidth="1"/>
    <col min="4" max="4" width="8.109375" customWidth="1"/>
    <col min="5" max="6" width="10.6640625" customWidth="1"/>
    <col min="7" max="7" width="10.5546875" customWidth="1"/>
    <col min="8" max="8" width="10.6640625" customWidth="1"/>
    <col min="9" max="9" width="10.33203125" customWidth="1"/>
  </cols>
  <sheetData>
    <row r="1" spans="1:10" s="6" customFormat="1" ht="24.6">
      <c r="A1" s="324" t="s">
        <v>359</v>
      </c>
      <c r="B1" s="10"/>
      <c r="C1" s="37"/>
      <c r="D1" s="37"/>
      <c r="E1" s="37"/>
      <c r="F1" s="37"/>
      <c r="G1" s="37"/>
      <c r="H1" s="14" t="s">
        <v>144</v>
      </c>
    </row>
    <row r="2" spans="1:10" s="6" customFormat="1" ht="13.8">
      <c r="A2" s="5"/>
    </row>
    <row r="3" spans="1:10" s="6" customFormat="1">
      <c r="A3" s="1764" t="s">
        <v>145</v>
      </c>
      <c r="B3" s="1764"/>
      <c r="C3" s="1764"/>
      <c r="D3" s="1764"/>
      <c r="E3" s="1764"/>
      <c r="F3" s="1764"/>
      <c r="G3" s="1764"/>
      <c r="H3" s="1764"/>
      <c r="I3" s="1764"/>
    </row>
    <row r="4" spans="1:10" s="6" customFormat="1">
      <c r="A4" s="1764" t="s">
        <v>432</v>
      </c>
      <c r="B4" s="1764"/>
      <c r="C4" s="1764"/>
      <c r="D4" s="1764"/>
      <c r="E4" s="1764"/>
      <c r="F4" s="1764"/>
      <c r="G4" s="1764"/>
      <c r="H4" s="1764"/>
      <c r="I4" s="1764"/>
    </row>
    <row r="5" spans="1:10" s="6" customFormat="1" ht="13.8">
      <c r="A5" s="1765"/>
      <c r="B5" s="1765"/>
      <c r="C5" s="1765"/>
      <c r="D5" s="1765"/>
      <c r="E5" s="1765"/>
      <c r="F5" s="1765"/>
      <c r="G5" s="1765"/>
      <c r="H5" s="1765"/>
      <c r="I5" s="1765"/>
    </row>
    <row r="6" spans="1:10" s="6" customFormat="1" ht="13.8" thickBot="1">
      <c r="B6" s="132"/>
      <c r="C6" s="132"/>
      <c r="D6" s="132"/>
      <c r="E6" s="132"/>
      <c r="F6" s="132"/>
      <c r="G6" s="132"/>
      <c r="H6" s="132" t="s">
        <v>95</v>
      </c>
      <c r="I6" s="132"/>
    </row>
    <row r="7" spans="1:10" ht="41.4" thickBot="1">
      <c r="A7" s="727" t="s">
        <v>1</v>
      </c>
      <c r="B7" s="727" t="s">
        <v>146</v>
      </c>
      <c r="C7" s="732" t="s">
        <v>466</v>
      </c>
      <c r="D7" s="732" t="s">
        <v>450</v>
      </c>
      <c r="E7" s="732" t="s">
        <v>468</v>
      </c>
      <c r="F7" s="732" t="s">
        <v>485</v>
      </c>
      <c r="G7" s="732" t="s">
        <v>453</v>
      </c>
      <c r="H7" s="732" t="s">
        <v>454</v>
      </c>
      <c r="I7" s="732" t="s">
        <v>455</v>
      </c>
      <c r="J7" s="955" t="s">
        <v>470</v>
      </c>
    </row>
    <row r="8" spans="1:10" ht="13.8" thickBot="1">
      <c r="A8" s="1217">
        <v>1</v>
      </c>
      <c r="B8" s="1217">
        <v>2</v>
      </c>
      <c r="C8" s="1217">
        <v>4</v>
      </c>
      <c r="D8" s="1223">
        <v>5</v>
      </c>
      <c r="E8" s="1223">
        <v>6</v>
      </c>
      <c r="F8" s="1223">
        <v>7</v>
      </c>
      <c r="G8" s="1223">
        <v>8</v>
      </c>
      <c r="H8" s="1223">
        <v>9</v>
      </c>
      <c r="I8" s="1223">
        <v>10</v>
      </c>
      <c r="J8" s="1216">
        <v>11</v>
      </c>
    </row>
    <row r="9" spans="1:10">
      <c r="A9" s="1766" t="s">
        <v>3</v>
      </c>
      <c r="B9" s="1218" t="s">
        <v>147</v>
      </c>
      <c r="C9" s="1220"/>
      <c r="D9" s="1220"/>
      <c r="E9" s="1220"/>
      <c r="F9" s="1220"/>
      <c r="G9" s="1220"/>
      <c r="H9" s="1220"/>
      <c r="I9" s="1220"/>
      <c r="J9" s="1215"/>
    </row>
    <row r="10" spans="1:10">
      <c r="A10" s="1762"/>
      <c r="B10" s="1219" t="s">
        <v>148</v>
      </c>
      <c r="C10" s="1221"/>
      <c r="D10" s="1221"/>
      <c r="E10" s="1221"/>
      <c r="F10" s="1221"/>
      <c r="G10" s="1221"/>
      <c r="H10" s="1221"/>
      <c r="I10" s="1221"/>
      <c r="J10" s="956"/>
    </row>
    <row r="11" spans="1:10">
      <c r="A11" s="1762"/>
      <c r="B11" s="1219" t="s">
        <v>149</v>
      </c>
      <c r="C11" s="1221"/>
      <c r="D11" s="1221"/>
      <c r="E11" s="1221"/>
      <c r="F11" s="1221"/>
      <c r="G11" s="1221"/>
      <c r="H11" s="1221"/>
      <c r="I11" s="1221"/>
      <c r="J11" s="956"/>
    </row>
    <row r="12" spans="1:10">
      <c r="A12" s="1246" t="s">
        <v>5</v>
      </c>
      <c r="B12" s="1219" t="s">
        <v>150</v>
      </c>
      <c r="C12" s="1222">
        <f>'1.16передача и сбыт'!G46</f>
        <v>31</v>
      </c>
      <c r="D12" s="1222">
        <f>'1.16передача и сбыт'!I46</f>
        <v>50</v>
      </c>
      <c r="E12" s="1222">
        <f>'1.16передача и сбыт'!K46</f>
        <v>33</v>
      </c>
      <c r="F12" s="1222">
        <f>'1.16передача и сбыт'!L46</f>
        <v>60</v>
      </c>
      <c r="G12" s="1222">
        <f>'1.16передача и сбыт'!M46</f>
        <v>12.996</v>
      </c>
      <c r="H12" s="1222">
        <f>'1.16передача и сбыт'!N46</f>
        <v>12.996</v>
      </c>
      <c r="I12" s="1222">
        <f>'1.16передача и сбыт'!R46</f>
        <v>25.976016000000005</v>
      </c>
      <c r="J12" s="956"/>
    </row>
    <row r="13" spans="1:10">
      <c r="A13" s="1246"/>
      <c r="B13" s="1219" t="s">
        <v>148</v>
      </c>
      <c r="C13" s="1221"/>
      <c r="D13" s="1221"/>
      <c r="E13" s="1221"/>
      <c r="F13" s="1221"/>
      <c r="G13" s="1221"/>
      <c r="H13" s="1221"/>
      <c r="I13" s="1221"/>
      <c r="J13" s="956"/>
    </row>
    <row r="14" spans="1:10">
      <c r="A14" s="1246"/>
      <c r="B14" s="1219" t="s">
        <v>149</v>
      </c>
      <c r="C14" s="1221"/>
      <c r="D14" s="1221"/>
      <c r="E14" s="1221"/>
      <c r="F14" s="1221"/>
      <c r="G14" s="1221"/>
      <c r="H14" s="1221"/>
      <c r="I14" s="1221"/>
      <c r="J14" s="956"/>
    </row>
    <row r="15" spans="1:10">
      <c r="A15" s="1246" t="s">
        <v>8</v>
      </c>
      <c r="B15" s="1219" t="s">
        <v>151</v>
      </c>
      <c r="C15" s="1221"/>
      <c r="D15" s="1221"/>
      <c r="E15" s="1221"/>
      <c r="F15" s="1221"/>
      <c r="G15" s="1221"/>
      <c r="H15" s="1221"/>
      <c r="I15" s="1221"/>
      <c r="J15" s="956"/>
    </row>
    <row r="16" spans="1:10">
      <c r="A16" s="1246" t="s">
        <v>9</v>
      </c>
      <c r="B16" s="1219" t="s">
        <v>152</v>
      </c>
      <c r="C16" s="1221"/>
      <c r="D16" s="1221"/>
      <c r="E16" s="1221"/>
      <c r="F16" s="1221"/>
      <c r="G16" s="1221"/>
      <c r="H16" s="1221"/>
      <c r="I16" s="1221"/>
      <c r="J16" s="956"/>
    </row>
    <row r="17" spans="1:10">
      <c r="A17" s="1246" t="s">
        <v>10</v>
      </c>
      <c r="B17" s="1219" t="s">
        <v>153</v>
      </c>
      <c r="C17" s="1221"/>
      <c r="D17" s="1221"/>
      <c r="E17" s="1221"/>
      <c r="F17" s="1221"/>
      <c r="G17" s="1221"/>
      <c r="H17" s="1221"/>
      <c r="I17" s="1221"/>
      <c r="J17" s="956"/>
    </row>
    <row r="18" spans="1:10">
      <c r="A18" s="1246"/>
      <c r="B18" s="1219" t="s">
        <v>154</v>
      </c>
      <c r="C18" s="1221"/>
      <c r="D18" s="1221"/>
      <c r="E18" s="1221"/>
      <c r="F18" s="1221"/>
      <c r="G18" s="1221"/>
      <c r="H18" s="1221"/>
      <c r="I18" s="1221"/>
      <c r="J18" s="956"/>
    </row>
    <row r="19" spans="1:10">
      <c r="A19" s="1246"/>
      <c r="B19" s="1219" t="s">
        <v>155</v>
      </c>
      <c r="C19" s="1221"/>
      <c r="D19" s="1221"/>
      <c r="E19" s="1221"/>
      <c r="F19" s="1221"/>
      <c r="G19" s="1221"/>
      <c r="H19" s="1221"/>
      <c r="I19" s="1221"/>
      <c r="J19" s="956"/>
    </row>
    <row r="20" spans="1:10">
      <c r="A20" s="1246"/>
      <c r="B20" s="1219" t="s">
        <v>156</v>
      </c>
      <c r="C20" s="1221"/>
      <c r="D20" s="1221"/>
      <c r="E20" s="1221"/>
      <c r="F20" s="1221"/>
      <c r="G20" s="1221"/>
      <c r="H20" s="1221"/>
      <c r="I20" s="1221"/>
      <c r="J20" s="956"/>
    </row>
    <row r="21" spans="1:10">
      <c r="A21" s="1246" t="s">
        <v>14</v>
      </c>
      <c r="B21" s="1219" t="s">
        <v>157</v>
      </c>
      <c r="C21" s="1222">
        <v>26</v>
      </c>
      <c r="D21" s="1222">
        <f t="shared" ref="D21:I21" si="0">D12/0.8</f>
        <v>62.5</v>
      </c>
      <c r="E21" s="1222">
        <f t="shared" si="0"/>
        <v>41.25</v>
      </c>
      <c r="F21" s="1222">
        <f t="shared" si="0"/>
        <v>75</v>
      </c>
      <c r="G21" s="1222">
        <f t="shared" si="0"/>
        <v>16.245000000000001</v>
      </c>
      <c r="H21" s="1222">
        <f t="shared" si="0"/>
        <v>16.245000000000001</v>
      </c>
      <c r="I21" s="1222">
        <f t="shared" si="0"/>
        <v>32.470020000000005</v>
      </c>
      <c r="J21" s="956"/>
    </row>
    <row r="22" spans="1:10">
      <c r="A22" s="1246" t="s">
        <v>16</v>
      </c>
      <c r="B22" s="1219" t="s">
        <v>158</v>
      </c>
      <c r="C22" s="1221"/>
      <c r="D22" s="1221"/>
      <c r="E22" s="1221"/>
      <c r="F22" s="1221"/>
      <c r="G22" s="1221"/>
      <c r="H22" s="1221"/>
      <c r="I22" s="1221"/>
      <c r="J22" s="956"/>
    </row>
    <row r="23" spans="1:10">
      <c r="A23" s="1246"/>
      <c r="B23" s="1219" t="s">
        <v>159</v>
      </c>
      <c r="C23" s="1221"/>
      <c r="D23" s="1221"/>
      <c r="E23" s="1221"/>
      <c r="F23" s="1221"/>
      <c r="G23" s="1221"/>
      <c r="H23" s="1221"/>
      <c r="I23" s="1221"/>
      <c r="J23" s="956"/>
    </row>
    <row r="24" spans="1:10">
      <c r="A24" s="1246"/>
      <c r="B24" s="1219" t="s">
        <v>160</v>
      </c>
      <c r="C24" s="1222">
        <f t="shared" ref="C24:I24" si="1">C21*0.2</f>
        <v>5.2</v>
      </c>
      <c r="D24" s="1222">
        <f t="shared" si="1"/>
        <v>12.5</v>
      </c>
      <c r="E24" s="1222">
        <f t="shared" si="1"/>
        <v>8.25</v>
      </c>
      <c r="F24" s="1222">
        <f t="shared" si="1"/>
        <v>15</v>
      </c>
      <c r="G24" s="1222">
        <f t="shared" si="1"/>
        <v>3.2490000000000006</v>
      </c>
      <c r="H24" s="1222">
        <f t="shared" si="1"/>
        <v>3.2490000000000006</v>
      </c>
      <c r="I24" s="1222">
        <f t="shared" si="1"/>
        <v>6.4940040000000012</v>
      </c>
      <c r="J24" s="956"/>
    </row>
    <row r="25" spans="1:10">
      <c r="A25" s="1246"/>
      <c r="B25" s="1219" t="s">
        <v>161</v>
      </c>
      <c r="C25" s="1221"/>
      <c r="D25" s="1221"/>
      <c r="E25" s="1221"/>
      <c r="F25" s="1221"/>
      <c r="G25" s="1221"/>
      <c r="H25" s="1221"/>
      <c r="I25" s="1221"/>
      <c r="J25" s="956"/>
    </row>
    <row r="26" spans="1:10">
      <c r="A26" s="1762"/>
      <c r="B26" s="1219" t="s">
        <v>162</v>
      </c>
      <c r="C26" s="1221"/>
      <c r="D26" s="1221"/>
      <c r="E26" s="1221"/>
      <c r="F26" s="1221"/>
      <c r="G26" s="1221"/>
      <c r="H26" s="1221"/>
      <c r="I26" s="1221"/>
      <c r="J26" s="956"/>
    </row>
    <row r="27" spans="1:10" ht="21" thickBot="1">
      <c r="A27" s="1763"/>
      <c r="B27" s="1247" t="s">
        <v>163</v>
      </c>
      <c r="C27" s="1248"/>
      <c r="D27" s="1248"/>
      <c r="E27" s="1248"/>
      <c r="F27" s="1248"/>
      <c r="G27" s="1248"/>
      <c r="H27" s="1248"/>
      <c r="I27" s="1248"/>
      <c r="J27" s="1249"/>
    </row>
    <row r="28" spans="1:10" s="110" customFormat="1" ht="13.8" thickBot="1">
      <c r="A28" s="1250" t="s">
        <v>18</v>
      </c>
      <c r="B28" s="1250" t="s">
        <v>164</v>
      </c>
      <c r="C28" s="1251">
        <f t="shared" ref="C28:I28" si="2">C12+C24</f>
        <v>36.200000000000003</v>
      </c>
      <c r="D28" s="1251">
        <f t="shared" si="2"/>
        <v>62.5</v>
      </c>
      <c r="E28" s="1251">
        <f t="shared" si="2"/>
        <v>41.25</v>
      </c>
      <c r="F28" s="1251">
        <f t="shared" si="2"/>
        <v>75</v>
      </c>
      <c r="G28" s="1251">
        <f t="shared" si="2"/>
        <v>16.245000000000001</v>
      </c>
      <c r="H28" s="1251">
        <f t="shared" si="2"/>
        <v>16.245000000000001</v>
      </c>
      <c r="I28" s="1251">
        <f t="shared" si="2"/>
        <v>32.470020000000005</v>
      </c>
      <c r="J28" s="1252"/>
    </row>
    <row r="29" spans="1:10" hidden="1">
      <c r="A29" s="952" t="s">
        <v>165</v>
      </c>
      <c r="B29" s="953" t="s">
        <v>166</v>
      </c>
      <c r="C29" s="954"/>
      <c r="D29" s="954"/>
      <c r="E29" s="954"/>
      <c r="F29" s="954"/>
      <c r="G29" s="954"/>
      <c r="H29" s="954"/>
      <c r="I29" s="131"/>
      <c r="J29" s="7"/>
    </row>
    <row r="30" spans="1:10" hidden="1">
      <c r="A30" s="8" t="s">
        <v>167</v>
      </c>
      <c r="B30" s="9" t="s">
        <v>168</v>
      </c>
      <c r="C30" s="36"/>
      <c r="D30" s="36"/>
      <c r="E30" s="36"/>
      <c r="F30" s="36"/>
      <c r="G30" s="36"/>
      <c r="H30" s="36"/>
      <c r="I30" s="131"/>
      <c r="J30" s="7"/>
    </row>
    <row r="31" spans="1:10" hidden="1">
      <c r="A31" s="8" t="s">
        <v>169</v>
      </c>
      <c r="B31" s="9" t="s">
        <v>170</v>
      </c>
      <c r="C31" s="36"/>
      <c r="D31" s="36"/>
      <c r="E31" s="36"/>
      <c r="F31" s="36"/>
      <c r="G31" s="36"/>
      <c r="H31" s="36"/>
      <c r="I31" s="131"/>
      <c r="J31" s="7"/>
    </row>
    <row r="32" spans="1:10" hidden="1">
      <c r="A32" s="8" t="s">
        <v>171</v>
      </c>
      <c r="B32" s="9" t="s">
        <v>172</v>
      </c>
      <c r="C32" s="36"/>
      <c r="D32" s="36"/>
      <c r="E32" s="36"/>
      <c r="F32" s="36"/>
      <c r="G32" s="36"/>
      <c r="H32" s="36"/>
      <c r="I32" s="131"/>
      <c r="J32" s="7"/>
    </row>
    <row r="33" spans="1:13" hidden="1">
      <c r="A33" s="8" t="s">
        <v>173</v>
      </c>
      <c r="B33" s="9" t="s">
        <v>174</v>
      </c>
      <c r="C33" s="36"/>
      <c r="D33" s="36"/>
      <c r="E33" s="36"/>
      <c r="F33" s="36"/>
      <c r="G33" s="36"/>
      <c r="H33" s="36"/>
      <c r="I33" s="131"/>
      <c r="J33" s="7"/>
    </row>
    <row r="34" spans="1:13" hidden="1">
      <c r="A34" s="8" t="s">
        <v>175</v>
      </c>
      <c r="B34" s="9" t="s">
        <v>176</v>
      </c>
      <c r="C34" s="36"/>
      <c r="D34" s="36"/>
      <c r="E34" s="36"/>
      <c r="F34" s="36"/>
      <c r="G34" s="36"/>
      <c r="H34" s="36"/>
      <c r="I34" s="131"/>
      <c r="J34" s="7"/>
    </row>
    <row r="36" spans="1:13" ht="17.25" customHeight="1">
      <c r="C36" s="16"/>
      <c r="D36" s="16"/>
      <c r="E36" s="16"/>
      <c r="F36" s="16"/>
      <c r="G36" s="16"/>
      <c r="H36" s="17"/>
      <c r="J36" s="16"/>
      <c r="L36" s="15"/>
      <c r="M36" s="15"/>
    </row>
    <row r="38" spans="1:13">
      <c r="B38" s="724" t="s">
        <v>377</v>
      </c>
      <c r="G38" s="725" t="s">
        <v>436</v>
      </c>
    </row>
    <row r="39" spans="1:13">
      <c r="B39" s="724" t="s">
        <v>378</v>
      </c>
    </row>
    <row r="40" spans="1:13">
      <c r="B40" s="724" t="s">
        <v>379</v>
      </c>
    </row>
  </sheetData>
  <mergeCells count="5">
    <mergeCell ref="A26:A27"/>
    <mergeCell ref="A3:I3"/>
    <mergeCell ref="A4:I4"/>
    <mergeCell ref="A5:I5"/>
    <mergeCell ref="A9:A11"/>
  </mergeCells>
  <phoneticPr fontId="4" type="noConversion"/>
  <pageMargins left="0.70866141732283472" right="0.19685039370078741" top="0.49" bottom="0.74803149606299213" header="0.31496062992125984" footer="0.31496062992125984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W237"/>
  <sheetViews>
    <sheetView view="pageBreakPreview" zoomScale="80" zoomScaleNormal="80" zoomScaleSheetLayoutView="80" workbookViewId="0">
      <pane xSplit="2" ySplit="5" topLeftCell="C22" activePane="bottomRight" state="frozen"/>
      <selection pane="topRight" activeCell="C1" sqref="C1"/>
      <selection pane="bottomLeft" activeCell="A6" sqref="A6"/>
      <selection pane="bottomRight" activeCell="N37" sqref="N37"/>
    </sheetView>
  </sheetViews>
  <sheetFormatPr defaultColWidth="9.109375" defaultRowHeight="13.2"/>
  <cols>
    <col min="1" max="1" width="5" style="38" customWidth="1"/>
    <col min="2" max="2" width="29.5546875" style="38" customWidth="1"/>
    <col min="3" max="3" width="6.5546875" style="39" customWidth="1"/>
    <col min="4" max="4" width="11.44140625" style="38" customWidth="1"/>
    <col min="5" max="5" width="10.5546875" style="40" customWidth="1"/>
    <col min="6" max="7" width="10.5546875" style="40" hidden="1" customWidth="1"/>
    <col min="8" max="8" width="11.33203125" style="40" bestFit="1" customWidth="1"/>
    <col min="9" max="9" width="10.5546875" style="40" customWidth="1"/>
    <col min="10" max="10" width="11.44140625" style="40" customWidth="1"/>
    <col min="11" max="11" width="9.33203125" style="40" customWidth="1"/>
    <col min="12" max="13" width="8.6640625" style="40" customWidth="1"/>
    <col min="14" max="14" width="11.6640625" style="40" bestFit="1" customWidth="1"/>
    <col min="15" max="15" width="7.6640625" style="40" customWidth="1"/>
    <col min="16" max="16" width="12.109375" style="38" customWidth="1"/>
    <col min="17" max="17" width="10.5546875" style="38" customWidth="1"/>
    <col min="18" max="18" width="9.88671875" style="40" hidden="1" customWidth="1"/>
    <col min="19" max="19" width="7.109375" style="40" hidden="1" customWidth="1"/>
    <col min="20" max="20" width="12.88671875" style="40" customWidth="1"/>
    <col min="21" max="21" width="14.109375" style="40" customWidth="1"/>
    <col min="22" max="22" width="12.109375" style="38" customWidth="1"/>
    <col min="23" max="23" width="13.44140625" style="38" customWidth="1"/>
    <col min="24" max="16384" width="9.109375" style="38"/>
  </cols>
  <sheetData>
    <row r="1" spans="1:23" ht="15.6">
      <c r="B1" s="419" t="s">
        <v>359</v>
      </c>
      <c r="N1" s="41"/>
      <c r="O1" s="41"/>
      <c r="T1" s="41"/>
      <c r="W1" s="41" t="s">
        <v>319</v>
      </c>
    </row>
    <row r="2" spans="1:23" ht="37.5" customHeight="1" thickBot="1">
      <c r="A2" s="1773" t="s">
        <v>320</v>
      </c>
      <c r="B2" s="1773"/>
      <c r="C2" s="1773"/>
      <c r="D2" s="1773"/>
      <c r="E2" s="1773"/>
      <c r="F2" s="1773"/>
      <c r="G2" s="1773"/>
      <c r="H2" s="1773"/>
      <c r="I2" s="1773"/>
      <c r="J2" s="1773"/>
      <c r="K2" s="1773"/>
      <c r="L2" s="1773"/>
      <c r="M2" s="1773"/>
      <c r="N2" s="1773"/>
      <c r="O2" s="1773"/>
      <c r="P2" s="1773"/>
      <c r="Q2" s="1773"/>
      <c r="R2" s="1773"/>
      <c r="S2" s="1773"/>
      <c r="T2" s="1773"/>
      <c r="U2" s="1773"/>
      <c r="V2" s="1773"/>
      <c r="W2" s="1773"/>
    </row>
    <row r="3" spans="1:23" ht="37.5" customHeight="1">
      <c r="A3" s="1774" t="s">
        <v>196</v>
      </c>
      <c r="B3" s="1776"/>
      <c r="C3" s="1778" t="s">
        <v>321</v>
      </c>
      <c r="D3" s="1780" t="s">
        <v>466</v>
      </c>
      <c r="E3" s="1770"/>
      <c r="F3" s="1780" t="s">
        <v>322</v>
      </c>
      <c r="G3" s="1783"/>
      <c r="H3" s="1769" t="s">
        <v>450</v>
      </c>
      <c r="I3" s="1770"/>
      <c r="J3" s="1769" t="s">
        <v>468</v>
      </c>
      <c r="K3" s="1770"/>
      <c r="L3" s="1767" t="s">
        <v>488</v>
      </c>
      <c r="M3" s="1768"/>
      <c r="N3" s="1767" t="s">
        <v>453</v>
      </c>
      <c r="O3" s="1768"/>
      <c r="P3" s="1767" t="s">
        <v>454</v>
      </c>
      <c r="Q3" s="1768"/>
      <c r="R3" s="1781" t="s">
        <v>358</v>
      </c>
      <c r="S3" s="1782"/>
      <c r="T3" s="1767" t="s">
        <v>455</v>
      </c>
      <c r="U3" s="1768"/>
      <c r="V3" s="1771" t="s">
        <v>448</v>
      </c>
      <c r="W3" s="1772"/>
    </row>
    <row r="4" spans="1:23" ht="26.4">
      <c r="A4" s="1775"/>
      <c r="B4" s="1777"/>
      <c r="C4" s="1779"/>
      <c r="D4" s="405" t="s">
        <v>129</v>
      </c>
      <c r="E4" s="201" t="s">
        <v>323</v>
      </c>
      <c r="F4" s="405" t="s">
        <v>129</v>
      </c>
      <c r="G4" s="1032" t="s">
        <v>323</v>
      </c>
      <c r="H4" s="200" t="s">
        <v>129</v>
      </c>
      <c r="I4" s="201" t="s">
        <v>323</v>
      </c>
      <c r="J4" s="200" t="s">
        <v>129</v>
      </c>
      <c r="K4" s="201" t="s">
        <v>323</v>
      </c>
      <c r="L4" s="200" t="s">
        <v>129</v>
      </c>
      <c r="M4" s="201" t="s">
        <v>323</v>
      </c>
      <c r="N4" s="200" t="s">
        <v>129</v>
      </c>
      <c r="O4" s="201" t="s">
        <v>323</v>
      </c>
      <c r="P4" s="200" t="s">
        <v>129</v>
      </c>
      <c r="Q4" s="201" t="s">
        <v>323</v>
      </c>
      <c r="R4" s="173" t="s">
        <v>129</v>
      </c>
      <c r="S4" s="1075" t="s">
        <v>323</v>
      </c>
      <c r="T4" s="200" t="s">
        <v>129</v>
      </c>
      <c r="U4" s="201" t="s">
        <v>323</v>
      </c>
      <c r="V4" s="173" t="s">
        <v>129</v>
      </c>
      <c r="W4" s="174" t="s">
        <v>323</v>
      </c>
    </row>
    <row r="5" spans="1:23">
      <c r="A5" s="202">
        <v>1</v>
      </c>
      <c r="B5" s="42">
        <f>A5+1</f>
        <v>2</v>
      </c>
      <c r="C5" s="1302">
        <f t="shared" ref="C5:K5" si="0">B5+1</f>
        <v>3</v>
      </c>
      <c r="D5" s="1042">
        <f>C5+1</f>
        <v>4</v>
      </c>
      <c r="E5" s="957">
        <f t="shared" si="0"/>
        <v>5</v>
      </c>
      <c r="F5" s="1042">
        <f>E5+1</f>
        <v>6</v>
      </c>
      <c r="G5" s="1043">
        <f t="shared" si="0"/>
        <v>7</v>
      </c>
      <c r="H5" s="1041">
        <v>6</v>
      </c>
      <c r="I5" s="957">
        <v>7</v>
      </c>
      <c r="J5" s="1041">
        <f>G5+1</f>
        <v>8</v>
      </c>
      <c r="K5" s="957">
        <f t="shared" si="0"/>
        <v>9</v>
      </c>
      <c r="L5" s="202">
        <v>10</v>
      </c>
      <c r="M5" s="203">
        <f>L5+1</f>
        <v>11</v>
      </c>
      <c r="N5" s="202">
        <v>12</v>
      </c>
      <c r="O5" s="203">
        <f>N5+1</f>
        <v>13</v>
      </c>
      <c r="P5" s="202">
        <v>14</v>
      </c>
      <c r="Q5" s="203">
        <f>P5+1</f>
        <v>15</v>
      </c>
      <c r="R5" s="175">
        <v>14</v>
      </c>
      <c r="S5" s="1076">
        <f>R5+1</f>
        <v>15</v>
      </c>
      <c r="T5" s="1041">
        <f>S5+1</f>
        <v>16</v>
      </c>
      <c r="U5" s="957">
        <f>T5+1</f>
        <v>17</v>
      </c>
      <c r="V5" s="175">
        <f>U5+1</f>
        <v>18</v>
      </c>
      <c r="W5" s="176">
        <f>V5+1</f>
        <v>19</v>
      </c>
    </row>
    <row r="6" spans="1:23" s="44" customFormat="1" ht="39.6">
      <c r="A6" s="225" t="s">
        <v>130</v>
      </c>
      <c r="B6" s="43" t="s">
        <v>324</v>
      </c>
      <c r="C6" s="1303" t="s">
        <v>95</v>
      </c>
      <c r="D6" s="1045">
        <v>2045</v>
      </c>
      <c r="E6" s="958">
        <f>D6*0.05</f>
        <v>102.25</v>
      </c>
      <c r="F6" s="1045"/>
      <c r="G6" s="1046"/>
      <c r="H6" s="1044">
        <f>'1.15передача и сбыт'!G60</f>
        <v>9777.481789999998</v>
      </c>
      <c r="I6" s="958">
        <f>H6*0.05</f>
        <v>488.87408949999991</v>
      </c>
      <c r="J6" s="1044">
        <v>4251</v>
      </c>
      <c r="K6" s="958">
        <f>J6*0.05</f>
        <v>212.55</v>
      </c>
      <c r="L6" s="204">
        <f>'1.15передача и сбыт'!K60</f>
        <v>11494.470441599999</v>
      </c>
      <c r="M6" s="205">
        <f>L6*0.05</f>
        <v>574.72352207999995</v>
      </c>
      <c r="N6" s="204">
        <f>'1.15передача и сбыт'!L60</f>
        <v>5229.4208005432783</v>
      </c>
      <c r="O6" s="205">
        <f>N6*0.05</f>
        <v>261.47104002716395</v>
      </c>
      <c r="P6" s="204">
        <f>'1.15передача и сбыт'!M60</f>
        <v>5229.4208005432783</v>
      </c>
      <c r="Q6" s="205">
        <f>P6*0.05</f>
        <v>261.47104002716395</v>
      </c>
      <c r="R6" s="177" t="e">
        <f>R7+R8+R11</f>
        <v>#DIV/0!</v>
      </c>
      <c r="S6" s="1077" t="e">
        <f>S7+S8+S11</f>
        <v>#DIV/0!</v>
      </c>
      <c r="T6" s="1044">
        <f>'1.15передача и сбыт'!O60</f>
        <v>10458.841601086557</v>
      </c>
      <c r="U6" s="958">
        <f>T6*0.05</f>
        <v>522.9420800543279</v>
      </c>
      <c r="V6" s="177">
        <f>V7+V8+V11</f>
        <v>0</v>
      </c>
      <c r="W6" s="178">
        <f>W7+W8+W11</f>
        <v>0</v>
      </c>
    </row>
    <row r="7" spans="1:23">
      <c r="A7" s="226" t="s">
        <v>177</v>
      </c>
      <c r="B7" s="45" t="s">
        <v>135</v>
      </c>
      <c r="C7" s="1302"/>
      <c r="D7" s="325"/>
      <c r="E7" s="959"/>
      <c r="F7" s="1047"/>
      <c r="G7" s="1048"/>
      <c r="H7" s="211"/>
      <c r="I7" s="959"/>
      <c r="J7" s="211"/>
      <c r="K7" s="959"/>
      <c r="L7" s="207"/>
      <c r="M7" s="206"/>
      <c r="N7" s="207"/>
      <c r="O7" s="206"/>
      <c r="P7" s="207"/>
      <c r="Q7" s="208"/>
      <c r="R7" s="179"/>
      <c r="S7" s="1078"/>
      <c r="T7" s="211"/>
      <c r="U7" s="959"/>
      <c r="V7" s="179"/>
      <c r="W7" s="180"/>
    </row>
    <row r="8" spans="1:23">
      <c r="A8" s="226" t="s">
        <v>178</v>
      </c>
      <c r="B8" s="45" t="s">
        <v>179</v>
      </c>
      <c r="C8" s="1302"/>
      <c r="D8" s="325">
        <f>D9+D10</f>
        <v>0</v>
      </c>
      <c r="E8" s="212"/>
      <c r="F8" s="325"/>
      <c r="G8" s="1033"/>
      <c r="H8" s="211">
        <f>H9+H10</f>
        <v>0</v>
      </c>
      <c r="I8" s="212"/>
      <c r="J8" s="211">
        <f>J9+J10</f>
        <v>0</v>
      </c>
      <c r="K8" s="212"/>
      <c r="L8" s="211">
        <f>L9+L10</f>
        <v>0</v>
      </c>
      <c r="M8" s="208"/>
      <c r="N8" s="211">
        <f>N9+N10</f>
        <v>0</v>
      </c>
      <c r="O8" s="208"/>
      <c r="P8" s="211">
        <f>P9+P10</f>
        <v>0</v>
      </c>
      <c r="Q8" s="208"/>
      <c r="R8" s="181">
        <f>R9+R10</f>
        <v>0</v>
      </c>
      <c r="S8" s="1079">
        <f>S9+S10</f>
        <v>0</v>
      </c>
      <c r="T8" s="211"/>
      <c r="U8" s="212"/>
      <c r="V8" s="181">
        <f>V9+V10</f>
        <v>0</v>
      </c>
      <c r="W8" s="182">
        <f>W9+W10</f>
        <v>0</v>
      </c>
    </row>
    <row r="9" spans="1:23" s="47" customFormat="1">
      <c r="A9" s="227"/>
      <c r="B9" s="46" t="s">
        <v>325</v>
      </c>
      <c r="C9" s="1304"/>
      <c r="D9" s="1050"/>
      <c r="E9" s="960"/>
      <c r="F9" s="1050"/>
      <c r="G9" s="1051"/>
      <c r="H9" s="1049"/>
      <c r="I9" s="960"/>
      <c r="J9" s="1049"/>
      <c r="K9" s="960"/>
      <c r="L9" s="209"/>
      <c r="M9" s="210"/>
      <c r="N9" s="209"/>
      <c r="O9" s="210"/>
      <c r="P9" s="209"/>
      <c r="Q9" s="210"/>
      <c r="R9" s="183"/>
      <c r="S9" s="1080"/>
      <c r="T9" s="1049"/>
      <c r="U9" s="960"/>
      <c r="V9" s="183"/>
      <c r="W9" s="184"/>
    </row>
    <row r="10" spans="1:23" s="47" customFormat="1">
      <c r="A10" s="227"/>
      <c r="B10" s="46" t="s">
        <v>326</v>
      </c>
      <c r="C10" s="1304"/>
      <c r="D10" s="1050"/>
      <c r="E10" s="960"/>
      <c r="F10" s="1050"/>
      <c r="G10" s="1051"/>
      <c r="H10" s="1049"/>
      <c r="I10" s="960"/>
      <c r="J10" s="1049"/>
      <c r="K10" s="960"/>
      <c r="L10" s="209"/>
      <c r="M10" s="210"/>
      <c r="N10" s="209"/>
      <c r="O10" s="210"/>
      <c r="P10" s="209"/>
      <c r="Q10" s="210"/>
      <c r="R10" s="183"/>
      <c r="S10" s="1080"/>
      <c r="T10" s="1049"/>
      <c r="U10" s="960"/>
      <c r="V10" s="183"/>
      <c r="W10" s="184"/>
    </row>
    <row r="11" spans="1:23" s="49" customFormat="1">
      <c r="A11" s="228" t="s">
        <v>180</v>
      </c>
      <c r="B11" s="48" t="s">
        <v>138</v>
      </c>
      <c r="C11" s="1305"/>
      <c r="D11" s="325">
        <v>2045</v>
      </c>
      <c r="E11" s="212">
        <f>E6</f>
        <v>102.25</v>
      </c>
      <c r="F11" s="325"/>
      <c r="G11" s="1033"/>
      <c r="H11" s="211">
        <f>H6</f>
        <v>9777.481789999998</v>
      </c>
      <c r="I11" s="212">
        <f>I6</f>
        <v>488.87408949999991</v>
      </c>
      <c r="J11" s="211">
        <f>J6</f>
        <v>4251</v>
      </c>
      <c r="K11" s="212">
        <f>J11*0.05</f>
        <v>212.55</v>
      </c>
      <c r="L11" s="211">
        <f t="shared" ref="L11:Q11" si="1">L6</f>
        <v>11494.470441599999</v>
      </c>
      <c r="M11" s="212">
        <f t="shared" si="1"/>
        <v>574.72352207999995</v>
      </c>
      <c r="N11" s="211">
        <f t="shared" si="1"/>
        <v>5229.4208005432783</v>
      </c>
      <c r="O11" s="212">
        <f t="shared" si="1"/>
        <v>261.47104002716395</v>
      </c>
      <c r="P11" s="211">
        <f t="shared" si="1"/>
        <v>5229.4208005432783</v>
      </c>
      <c r="Q11" s="212">
        <f t="shared" si="1"/>
        <v>261.47104002716395</v>
      </c>
      <c r="R11" s="181" t="e">
        <f>'1.15передача и сбыт'!N64-'1.15передача и сбыт'!N13</f>
        <v>#DIV/0!</v>
      </c>
      <c r="S11" s="1079" t="e">
        <f>R11*20%</f>
        <v>#DIV/0!</v>
      </c>
      <c r="T11" s="211">
        <f>T6</f>
        <v>10458.841601086557</v>
      </c>
      <c r="U11" s="212">
        <f>U6</f>
        <v>522.9420800543279</v>
      </c>
      <c r="V11" s="181">
        <f>'1.15передача и сбыт'!Q64-'1.15передача и сбыт'!Q13</f>
        <v>0</v>
      </c>
      <c r="W11" s="182">
        <f>V11*20%</f>
        <v>0</v>
      </c>
    </row>
    <row r="12" spans="1:23" hidden="1">
      <c r="A12" s="226"/>
      <c r="B12" s="45"/>
      <c r="C12" s="1302"/>
      <c r="D12" s="325"/>
      <c r="E12" s="212"/>
      <c r="F12" s="325"/>
      <c r="G12" s="1033"/>
      <c r="H12" s="211"/>
      <c r="I12" s="212"/>
      <c r="J12" s="211"/>
      <c r="K12" s="212"/>
      <c r="L12" s="211"/>
      <c r="M12" s="212"/>
      <c r="N12" s="211"/>
      <c r="O12" s="212"/>
      <c r="P12" s="211"/>
      <c r="Q12" s="212"/>
      <c r="R12" s="181"/>
      <c r="S12" s="1079"/>
      <c r="T12" s="211"/>
      <c r="U12" s="212"/>
      <c r="V12" s="181"/>
      <c r="W12" s="182"/>
    </row>
    <row r="13" spans="1:23" s="44" customFormat="1" ht="39.6">
      <c r="A13" s="225" t="s">
        <v>131</v>
      </c>
      <c r="B13" s="43" t="s">
        <v>327</v>
      </c>
      <c r="C13" s="1303" t="s">
        <v>95</v>
      </c>
      <c r="D13" s="1045">
        <v>38</v>
      </c>
      <c r="E13" s="205">
        <f>D13*0.05</f>
        <v>1.9000000000000001</v>
      </c>
      <c r="F13" s="1045"/>
      <c r="G13" s="1046"/>
      <c r="H13" s="1044">
        <f>'1.21передача и сбыт'!D28</f>
        <v>62.5</v>
      </c>
      <c r="I13" s="958">
        <f>H13*0.05</f>
        <v>3.125</v>
      </c>
      <c r="J13" s="1044">
        <v>0</v>
      </c>
      <c r="K13" s="958">
        <v>0</v>
      </c>
      <c r="L13" s="204">
        <f>'1.21передача и сбыт'!F21</f>
        <v>75</v>
      </c>
      <c r="M13" s="205">
        <f>L13*0.05</f>
        <v>3.75</v>
      </c>
      <c r="N13" s="204">
        <f>'1.21передача и сбыт'!G28</f>
        <v>16.245000000000001</v>
      </c>
      <c r="O13" s="205">
        <f>N13*0.05</f>
        <v>0.81225000000000014</v>
      </c>
      <c r="P13" s="204">
        <f>'1.21передача и сбыт'!H28</f>
        <v>16.245000000000001</v>
      </c>
      <c r="Q13" s="205">
        <f>P13*0.05</f>
        <v>0.81225000000000014</v>
      </c>
      <c r="R13" s="177">
        <f>R14+R15+R18</f>
        <v>0</v>
      </c>
      <c r="S13" s="1077">
        <f>S14+S15+S18</f>
        <v>0</v>
      </c>
      <c r="T13" s="1044">
        <f>'1.21передача и сбыт'!I28</f>
        <v>32.470020000000005</v>
      </c>
      <c r="U13" s="958">
        <f>T13*0.05</f>
        <v>1.6235010000000003</v>
      </c>
      <c r="V13" s="177"/>
      <c r="W13" s="178"/>
    </row>
    <row r="14" spans="1:23">
      <c r="A14" s="226" t="s">
        <v>189</v>
      </c>
      <c r="B14" s="45" t="s">
        <v>135</v>
      </c>
      <c r="C14" s="1302"/>
      <c r="D14" s="325"/>
      <c r="E14" s="959"/>
      <c r="F14" s="1047"/>
      <c r="G14" s="1048"/>
      <c r="H14" s="211"/>
      <c r="I14" s="959"/>
      <c r="J14" s="211"/>
      <c r="K14" s="959"/>
      <c r="L14" s="207"/>
      <c r="M14" s="206"/>
      <c r="N14" s="207"/>
      <c r="O14" s="206"/>
      <c r="P14" s="207"/>
      <c r="Q14" s="1073"/>
      <c r="R14" s="179"/>
      <c r="S14" s="1078"/>
      <c r="T14" s="207"/>
      <c r="U14" s="959"/>
      <c r="V14" s="179"/>
      <c r="W14" s="180"/>
    </row>
    <row r="15" spans="1:23">
      <c r="A15" s="226" t="s">
        <v>181</v>
      </c>
      <c r="B15" s="45" t="s">
        <v>179</v>
      </c>
      <c r="C15" s="1302"/>
      <c r="D15" s="325"/>
      <c r="E15" s="212"/>
      <c r="F15" s="325"/>
      <c r="G15" s="1033"/>
      <c r="H15" s="211"/>
      <c r="I15" s="212"/>
      <c r="J15" s="211"/>
      <c r="K15" s="212"/>
      <c r="L15" s="207"/>
      <c r="M15" s="208"/>
      <c r="N15" s="207"/>
      <c r="O15" s="208"/>
      <c r="P15" s="207"/>
      <c r="Q15" s="208"/>
      <c r="R15" s="181">
        <f>R16+R17</f>
        <v>0</v>
      </c>
      <c r="S15" s="1079">
        <f>S16+S17</f>
        <v>0</v>
      </c>
      <c r="T15" s="211"/>
      <c r="U15" s="212"/>
      <c r="V15" s="181">
        <f>V16+V17</f>
        <v>0</v>
      </c>
      <c r="W15" s="182">
        <f>W16+W17</f>
        <v>0</v>
      </c>
    </row>
    <row r="16" spans="1:23" s="47" customFormat="1">
      <c r="A16" s="227"/>
      <c r="B16" s="46" t="s">
        <v>325</v>
      </c>
      <c r="C16" s="1304"/>
      <c r="D16" s="1050"/>
      <c r="E16" s="960"/>
      <c r="F16" s="1050"/>
      <c r="G16" s="1051"/>
      <c r="H16" s="1049"/>
      <c r="I16" s="960"/>
      <c r="J16" s="1049"/>
      <c r="K16" s="960"/>
      <c r="L16" s="209"/>
      <c r="M16" s="210"/>
      <c r="N16" s="209"/>
      <c r="O16" s="210"/>
      <c r="P16" s="209"/>
      <c r="Q16" s="210"/>
      <c r="R16" s="183"/>
      <c r="S16" s="1080"/>
      <c r="T16" s="1049"/>
      <c r="U16" s="960"/>
      <c r="V16" s="183"/>
      <c r="W16" s="184"/>
    </row>
    <row r="17" spans="1:23" s="47" customFormat="1">
      <c r="A17" s="227"/>
      <c r="B17" s="46" t="s">
        <v>326</v>
      </c>
      <c r="C17" s="1304"/>
      <c r="D17" s="1050"/>
      <c r="E17" s="960"/>
      <c r="F17" s="1050"/>
      <c r="G17" s="1051"/>
      <c r="H17" s="1049"/>
      <c r="I17" s="960"/>
      <c r="J17" s="1049"/>
      <c r="K17" s="960"/>
      <c r="L17" s="209"/>
      <c r="M17" s="210"/>
      <c r="N17" s="209"/>
      <c r="O17" s="210"/>
      <c r="P17" s="209"/>
      <c r="Q17" s="210"/>
      <c r="R17" s="183"/>
      <c r="S17" s="1080"/>
      <c r="T17" s="1049"/>
      <c r="U17" s="960"/>
      <c r="V17" s="183"/>
      <c r="W17" s="184"/>
    </row>
    <row r="18" spans="1:23">
      <c r="A18" s="226" t="s">
        <v>182</v>
      </c>
      <c r="B18" s="45" t="s">
        <v>138</v>
      </c>
      <c r="C18" s="1302"/>
      <c r="D18" s="1678">
        <v>38</v>
      </c>
      <c r="E18" s="205">
        <f>D18*0.05</f>
        <v>1.9000000000000001</v>
      </c>
      <c r="F18" s="406"/>
      <c r="G18" s="1052"/>
      <c r="H18" s="1038">
        <f>H13</f>
        <v>62.5</v>
      </c>
      <c r="I18" s="961">
        <f>I13</f>
        <v>3.125</v>
      </c>
      <c r="J18" s="213"/>
      <c r="K18" s="961"/>
      <c r="L18" s="1038">
        <f t="shared" ref="L18:Q18" si="2">L13</f>
        <v>75</v>
      </c>
      <c r="M18" s="214">
        <f t="shared" si="2"/>
        <v>3.75</v>
      </c>
      <c r="N18" s="1038">
        <f t="shared" si="2"/>
        <v>16.245000000000001</v>
      </c>
      <c r="O18" s="214">
        <f t="shared" si="2"/>
        <v>0.81225000000000014</v>
      </c>
      <c r="P18" s="1038">
        <f t="shared" si="2"/>
        <v>16.245000000000001</v>
      </c>
      <c r="Q18" s="214">
        <f t="shared" si="2"/>
        <v>0.81225000000000014</v>
      </c>
      <c r="R18" s="185">
        <f>'1.15передача и сбыт'!Q71</f>
        <v>0</v>
      </c>
      <c r="S18" s="1081">
        <f>R18*20%</f>
        <v>0</v>
      </c>
      <c r="T18" s="1038">
        <f>T13</f>
        <v>32.470020000000005</v>
      </c>
      <c r="U18" s="961">
        <f>U13</f>
        <v>1.6235010000000003</v>
      </c>
      <c r="V18" s="185"/>
      <c r="W18" s="186">
        <f>V18*20%</f>
        <v>0</v>
      </c>
    </row>
    <row r="19" spans="1:23" s="44" customFormat="1" ht="26.4">
      <c r="A19" s="225" t="s">
        <v>132</v>
      </c>
      <c r="B19" s="43" t="s">
        <v>328</v>
      </c>
      <c r="C19" s="1303" t="s">
        <v>183</v>
      </c>
      <c r="D19" s="1301">
        <v>0.02</v>
      </c>
      <c r="E19" s="1300">
        <f>D19*0.05</f>
        <v>1E-3</v>
      </c>
      <c r="F19" s="1024"/>
      <c r="G19" s="1034"/>
      <c r="H19" s="1053">
        <f>H13/H6*100</f>
        <v>0.63922389570617666</v>
      </c>
      <c r="I19" s="215">
        <f>I13/I6*100</f>
        <v>0.63922389570617666</v>
      </c>
      <c r="J19" s="1054">
        <v>0</v>
      </c>
      <c r="K19" s="1055">
        <v>0</v>
      </c>
      <c r="L19" s="1027">
        <f t="shared" ref="L19:Q19" si="3">L13/L6*100</f>
        <v>0.65248764944024862</v>
      </c>
      <c r="M19" s="1039">
        <f t="shared" si="3"/>
        <v>0.65248764944024862</v>
      </c>
      <c r="N19" s="1027">
        <f t="shared" si="3"/>
        <v>0.31064625738881685</v>
      </c>
      <c r="O19" s="1071">
        <f t="shared" si="3"/>
        <v>0.31064625738881685</v>
      </c>
      <c r="P19" s="1027">
        <f t="shared" si="3"/>
        <v>0.31064625738881685</v>
      </c>
      <c r="Q19" s="1071">
        <f t="shared" si="3"/>
        <v>0.31064625738881685</v>
      </c>
      <c r="R19" s="187" t="e">
        <f>R13/R6</f>
        <v>#DIV/0!</v>
      </c>
      <c r="S19" s="1082" t="e">
        <f>S13/S6</f>
        <v>#DIV/0!</v>
      </c>
      <c r="T19" s="1027">
        <f>T13/T6*100</f>
        <v>0.31045522284826205</v>
      </c>
      <c r="U19" s="1071">
        <f>U13/U6*100</f>
        <v>0.31045522284826199</v>
      </c>
      <c r="V19" s="187" t="e">
        <f>V13/V6</f>
        <v>#DIV/0!</v>
      </c>
      <c r="W19" s="188" t="e">
        <f>W13/W6</f>
        <v>#DIV/0!</v>
      </c>
    </row>
    <row r="20" spans="1:23" s="44" customFormat="1" ht="40.5" customHeight="1">
      <c r="A20" s="229" t="s">
        <v>133</v>
      </c>
      <c r="B20" s="43" t="s">
        <v>329</v>
      </c>
      <c r="C20" s="1303" t="s">
        <v>95</v>
      </c>
      <c r="D20" s="1025">
        <v>2082</v>
      </c>
      <c r="E20" s="1300">
        <f>D20*0.05</f>
        <v>104.10000000000001</v>
      </c>
      <c r="F20" s="1025"/>
      <c r="G20" s="1035"/>
      <c r="H20" s="1056">
        <f t="shared" ref="H20:R20" si="4">H6+H13</f>
        <v>9839.981789999998</v>
      </c>
      <c r="I20" s="216">
        <f t="shared" si="4"/>
        <v>491.99908949999991</v>
      </c>
      <c r="J20" s="1056">
        <f t="shared" si="4"/>
        <v>4251</v>
      </c>
      <c r="K20" s="1057">
        <f>J20*0.05</f>
        <v>212.55</v>
      </c>
      <c r="L20" s="1028">
        <f t="shared" si="4"/>
        <v>11569.470441599999</v>
      </c>
      <c r="M20" s="1040">
        <f t="shared" si="4"/>
        <v>578.47352207999995</v>
      </c>
      <c r="N20" s="1028">
        <f t="shared" si="4"/>
        <v>5245.6658005432782</v>
      </c>
      <c r="O20" s="1072">
        <f t="shared" si="4"/>
        <v>262.28329002716396</v>
      </c>
      <c r="P20" s="1028">
        <f t="shared" si="4"/>
        <v>5245.6658005432782</v>
      </c>
      <c r="Q20" s="1072">
        <f t="shared" si="4"/>
        <v>262.28329002716396</v>
      </c>
      <c r="R20" s="189" t="e">
        <f t="shared" si="4"/>
        <v>#DIV/0!</v>
      </c>
      <c r="S20" s="1083" t="e">
        <f t="shared" ref="R20:S24" si="5">S6+S13</f>
        <v>#DIV/0!</v>
      </c>
      <c r="T20" s="1028">
        <f>T6+T13</f>
        <v>10491.311621086557</v>
      </c>
      <c r="U20" s="1072">
        <f>U6+U13</f>
        <v>524.56558105432794</v>
      </c>
      <c r="V20" s="189"/>
      <c r="W20" s="190"/>
    </row>
    <row r="21" spans="1:23" ht="18" customHeight="1">
      <c r="A21" s="230" t="s">
        <v>134</v>
      </c>
      <c r="B21" s="45" t="s">
        <v>135</v>
      </c>
      <c r="C21" s="1302"/>
      <c r="D21" s="325">
        <f>D14+D7</f>
        <v>0</v>
      </c>
      <c r="E21" s="212"/>
      <c r="F21" s="325"/>
      <c r="G21" s="1033"/>
      <c r="H21" s="211">
        <f>H14+H7</f>
        <v>0</v>
      </c>
      <c r="I21" s="212"/>
      <c r="J21" s="211">
        <f>J14+J7</f>
        <v>0</v>
      </c>
      <c r="K21" s="212"/>
      <c r="L21" s="207">
        <f>L14+L7</f>
        <v>0</v>
      </c>
      <c r="M21" s="208"/>
      <c r="N21" s="207">
        <f>N14+N7</f>
        <v>0</v>
      </c>
      <c r="O21" s="208"/>
      <c r="P21" s="207"/>
      <c r="Q21" s="208"/>
      <c r="R21" s="181">
        <f t="shared" si="5"/>
        <v>0</v>
      </c>
      <c r="S21" s="1079">
        <f t="shared" si="5"/>
        <v>0</v>
      </c>
      <c r="T21" s="207"/>
      <c r="U21" s="212"/>
      <c r="V21" s="181">
        <f t="shared" ref="V21:W24" si="6">V7+V14</f>
        <v>0</v>
      </c>
      <c r="W21" s="182">
        <f t="shared" si="6"/>
        <v>0</v>
      </c>
    </row>
    <row r="22" spans="1:23" ht="18" customHeight="1">
      <c r="A22" s="230" t="s">
        <v>139</v>
      </c>
      <c r="B22" s="45" t="s">
        <v>179</v>
      </c>
      <c r="C22" s="1302"/>
      <c r="D22" s="325"/>
      <c r="E22" s="212"/>
      <c r="F22" s="325"/>
      <c r="G22" s="1033"/>
      <c r="H22" s="211"/>
      <c r="I22" s="212"/>
      <c r="J22" s="211"/>
      <c r="K22" s="212"/>
      <c r="L22" s="207"/>
      <c r="M22" s="208"/>
      <c r="N22" s="207"/>
      <c r="O22" s="208"/>
      <c r="P22" s="207"/>
      <c r="Q22" s="208"/>
      <c r="R22" s="181">
        <f t="shared" si="5"/>
        <v>0</v>
      </c>
      <c r="S22" s="1079">
        <f t="shared" si="5"/>
        <v>0</v>
      </c>
      <c r="T22" s="211"/>
      <c r="U22" s="212"/>
      <c r="V22" s="181">
        <f t="shared" si="6"/>
        <v>0</v>
      </c>
      <c r="W22" s="182">
        <f t="shared" si="6"/>
        <v>0</v>
      </c>
    </row>
    <row r="23" spans="1:23" s="47" customFormat="1" ht="18" customHeight="1">
      <c r="A23" s="231"/>
      <c r="B23" s="46" t="s">
        <v>325</v>
      </c>
      <c r="C23" s="1304"/>
      <c r="D23" s="1059"/>
      <c r="E23" s="962"/>
      <c r="F23" s="1059"/>
      <c r="G23" s="1060"/>
      <c r="H23" s="1058"/>
      <c r="I23" s="962"/>
      <c r="J23" s="1058"/>
      <c r="K23" s="962"/>
      <c r="L23" s="217"/>
      <c r="M23" s="218"/>
      <c r="N23" s="217"/>
      <c r="O23" s="218"/>
      <c r="P23" s="217"/>
      <c r="Q23" s="218"/>
      <c r="R23" s="191">
        <f t="shared" si="5"/>
        <v>0</v>
      </c>
      <c r="S23" s="1084">
        <f t="shared" si="5"/>
        <v>0</v>
      </c>
      <c r="T23" s="1058"/>
      <c r="U23" s="962"/>
      <c r="V23" s="191">
        <f t="shared" si="6"/>
        <v>0</v>
      </c>
      <c r="W23" s="192">
        <f t="shared" si="6"/>
        <v>0</v>
      </c>
    </row>
    <row r="24" spans="1:23" s="47" customFormat="1" ht="18" customHeight="1">
      <c r="A24" s="231"/>
      <c r="B24" s="46" t="s">
        <v>326</v>
      </c>
      <c r="C24" s="1304"/>
      <c r="D24" s="1059"/>
      <c r="E24" s="962"/>
      <c r="F24" s="1059"/>
      <c r="G24" s="1060"/>
      <c r="H24" s="1058"/>
      <c r="I24" s="962"/>
      <c r="J24" s="1058"/>
      <c r="K24" s="962"/>
      <c r="L24" s="217"/>
      <c r="M24" s="218"/>
      <c r="N24" s="217"/>
      <c r="O24" s="218"/>
      <c r="P24" s="217"/>
      <c r="Q24" s="218"/>
      <c r="R24" s="191">
        <f t="shared" si="5"/>
        <v>0</v>
      </c>
      <c r="S24" s="1084">
        <f t="shared" si="5"/>
        <v>0</v>
      </c>
      <c r="T24" s="1058"/>
      <c r="U24" s="962"/>
      <c r="V24" s="191">
        <f t="shared" si="6"/>
        <v>0</v>
      </c>
      <c r="W24" s="192">
        <f t="shared" si="6"/>
        <v>0</v>
      </c>
    </row>
    <row r="25" spans="1:23" ht="18" customHeight="1">
      <c r="A25" s="230" t="s">
        <v>140</v>
      </c>
      <c r="B25" s="45" t="s">
        <v>138</v>
      </c>
      <c r="C25" s="1302"/>
      <c r="D25" s="325">
        <v>2082</v>
      </c>
      <c r="E25" s="1300">
        <f>D25*0.05</f>
        <v>104.10000000000001</v>
      </c>
      <c r="F25" s="325"/>
      <c r="G25" s="1033"/>
      <c r="H25" s="211">
        <f>H20</f>
        <v>9839.981789999998</v>
      </c>
      <c r="I25" s="212">
        <f>I20</f>
        <v>491.99908949999991</v>
      </c>
      <c r="J25" s="211">
        <v>4251</v>
      </c>
      <c r="K25" s="212">
        <f>J25*0.05</f>
        <v>212.55</v>
      </c>
      <c r="L25" s="211">
        <f t="shared" ref="L25:Q25" si="7">L20</f>
        <v>11569.470441599999</v>
      </c>
      <c r="M25" s="212">
        <f t="shared" si="7"/>
        <v>578.47352207999995</v>
      </c>
      <c r="N25" s="211">
        <f t="shared" si="7"/>
        <v>5245.6658005432782</v>
      </c>
      <c r="O25" s="212">
        <f t="shared" si="7"/>
        <v>262.28329002716396</v>
      </c>
      <c r="P25" s="211">
        <f t="shared" si="7"/>
        <v>5245.6658005432782</v>
      </c>
      <c r="Q25" s="1074">
        <f t="shared" si="7"/>
        <v>262.28329002716396</v>
      </c>
      <c r="R25" s="181" t="e">
        <f>R20-R21-R22</f>
        <v>#DIV/0!</v>
      </c>
      <c r="S25" s="1079" t="e">
        <f>S20-S21-S22</f>
        <v>#DIV/0!</v>
      </c>
      <c r="T25" s="211">
        <f>T20</f>
        <v>10491.311621086557</v>
      </c>
      <c r="U25" s="212">
        <f>U20</f>
        <v>524.56558105432794</v>
      </c>
      <c r="V25" s="199">
        <f>V20-V21-V22</f>
        <v>0</v>
      </c>
      <c r="W25" s="182">
        <f>W20-W21-W22</f>
        <v>0</v>
      </c>
    </row>
    <row r="26" spans="1:23" s="44" customFormat="1" ht="75" customHeight="1">
      <c r="A26" s="232" t="s">
        <v>141</v>
      </c>
      <c r="B26" s="50" t="s">
        <v>330</v>
      </c>
      <c r="C26" s="1306" t="s">
        <v>331</v>
      </c>
      <c r="D26" s="1062">
        <v>84848</v>
      </c>
      <c r="E26" s="1063">
        <f>D26*0.05</f>
        <v>4242.4000000000005</v>
      </c>
      <c r="F26" s="1026"/>
      <c r="G26" s="1061"/>
      <c r="H26" s="220">
        <f>H20/'1.6'!L21/12*1000</f>
        <v>538856.14564285695</v>
      </c>
      <c r="I26" s="221">
        <f>H26*0.05</f>
        <v>26942.80728214285</v>
      </c>
      <c r="J26" s="1062">
        <v>174322</v>
      </c>
      <c r="K26" s="1063">
        <f>J26*0.05</f>
        <v>8716.1</v>
      </c>
      <c r="L26" s="220">
        <f>L20/'1.6'!L27/12*1000</f>
        <v>663281.2379277338</v>
      </c>
      <c r="M26" s="1029">
        <f>L26*0.05</f>
        <v>33164.061896386695</v>
      </c>
      <c r="N26" s="220">
        <f>N20/'1.6'!L39/12*1000</f>
        <v>498522.05396542134</v>
      </c>
      <c r="O26" s="1030">
        <f>N26*0.05</f>
        <v>24926.102698271068</v>
      </c>
      <c r="P26" s="220">
        <f>P20/'1.6'!L45/12*1000</f>
        <v>468246.68332594156</v>
      </c>
      <c r="Q26" s="1030">
        <f>P26*0.05</f>
        <v>23412.334166297078</v>
      </c>
      <c r="R26" s="193" t="e">
        <f>R20/'1.6'!H82/12*1000</f>
        <v>#DIV/0!</v>
      </c>
      <c r="S26" s="1085"/>
      <c r="T26" s="220">
        <f>T20/'1.6'!L51/12*1000</f>
        <v>965818.79316759051</v>
      </c>
      <c r="U26" s="221">
        <f>T26*0.05</f>
        <v>48290.939658379531</v>
      </c>
      <c r="V26" s="193" t="e">
        <f>V20/'1.6'!H102/12*1000</f>
        <v>#DIV/0!</v>
      </c>
      <c r="W26" s="326"/>
    </row>
    <row r="27" spans="1:23" ht="14.25" customHeight="1">
      <c r="A27" s="233" t="s">
        <v>184</v>
      </c>
      <c r="B27" s="51" t="s">
        <v>135</v>
      </c>
      <c r="C27" s="1307"/>
      <c r="D27" s="407"/>
      <c r="E27" s="959"/>
      <c r="F27" s="1047"/>
      <c r="G27" s="1048"/>
      <c r="H27" s="1064"/>
      <c r="I27" s="959"/>
      <c r="J27" s="1064"/>
      <c r="K27" s="959"/>
      <c r="L27" s="327"/>
      <c r="M27" s="206"/>
      <c r="N27" s="327"/>
      <c r="O27" s="206"/>
      <c r="P27" s="327"/>
      <c r="Q27" s="206"/>
      <c r="R27" s="179"/>
      <c r="S27" s="1078"/>
      <c r="T27" s="1038"/>
      <c r="U27" s="959"/>
      <c r="V27" s="179"/>
      <c r="W27" s="180"/>
    </row>
    <row r="28" spans="1:23" ht="14.25" customHeight="1">
      <c r="A28" s="230" t="s">
        <v>185</v>
      </c>
      <c r="B28" s="45" t="s">
        <v>179</v>
      </c>
      <c r="C28" s="1302"/>
      <c r="D28" s="325"/>
      <c r="E28" s="212"/>
      <c r="F28" s="325"/>
      <c r="G28" s="1033"/>
      <c r="H28" s="211"/>
      <c r="I28" s="212"/>
      <c r="J28" s="211"/>
      <c r="K28" s="212"/>
      <c r="L28" s="207"/>
      <c r="M28" s="208"/>
      <c r="N28" s="207"/>
      <c r="O28" s="208"/>
      <c r="P28" s="207"/>
      <c r="Q28" s="208"/>
      <c r="R28" s="181">
        <f>R29+R30</f>
        <v>0</v>
      </c>
      <c r="S28" s="1079">
        <f>S29+S30</f>
        <v>0</v>
      </c>
      <c r="T28" s="211"/>
      <c r="U28" s="212"/>
      <c r="V28" s="181">
        <f>V29+V30</f>
        <v>0</v>
      </c>
      <c r="W28" s="182">
        <f>W29+W30</f>
        <v>0</v>
      </c>
    </row>
    <row r="29" spans="1:23" ht="14.25" customHeight="1">
      <c r="A29" s="230"/>
      <c r="B29" s="45" t="s">
        <v>325</v>
      </c>
      <c r="C29" s="1302"/>
      <c r="D29" s="1050"/>
      <c r="E29" s="960"/>
      <c r="F29" s="1050"/>
      <c r="G29" s="1051"/>
      <c r="H29" s="1049"/>
      <c r="I29" s="960"/>
      <c r="J29" s="1049"/>
      <c r="K29" s="960"/>
      <c r="L29" s="209"/>
      <c r="M29" s="210"/>
      <c r="N29" s="209"/>
      <c r="O29" s="210"/>
      <c r="P29" s="209"/>
      <c r="Q29" s="210"/>
      <c r="R29" s="183"/>
      <c r="S29" s="1080"/>
      <c r="T29" s="1049"/>
      <c r="U29" s="960"/>
      <c r="V29" s="183"/>
      <c r="W29" s="184"/>
    </row>
    <row r="30" spans="1:23" ht="14.25" customHeight="1">
      <c r="A30" s="230"/>
      <c r="B30" s="45" t="s">
        <v>326</v>
      </c>
      <c r="C30" s="1302"/>
      <c r="D30" s="1050"/>
      <c r="E30" s="960"/>
      <c r="F30" s="1050"/>
      <c r="G30" s="1051"/>
      <c r="H30" s="1049"/>
      <c r="I30" s="960"/>
      <c r="J30" s="1049"/>
      <c r="K30" s="960"/>
      <c r="L30" s="209"/>
      <c r="M30" s="210"/>
      <c r="N30" s="209"/>
      <c r="O30" s="210"/>
      <c r="P30" s="209"/>
      <c r="Q30" s="210"/>
      <c r="R30" s="183"/>
      <c r="S30" s="1080"/>
      <c r="T30" s="1049"/>
      <c r="U30" s="960"/>
      <c r="V30" s="183"/>
      <c r="W30" s="184"/>
    </row>
    <row r="31" spans="1:23" ht="15" customHeight="1">
      <c r="A31" s="230" t="s">
        <v>186</v>
      </c>
      <c r="B31" s="45" t="s">
        <v>138</v>
      </c>
      <c r="C31" s="1302"/>
      <c r="D31" s="1065">
        <f>D26</f>
        <v>84848</v>
      </c>
      <c r="E31" s="1067">
        <f>E26</f>
        <v>4242.4000000000005</v>
      </c>
      <c r="F31" s="1066"/>
      <c r="G31" s="1036"/>
      <c r="H31" s="1065">
        <f>H26</f>
        <v>538856.14564285695</v>
      </c>
      <c r="I31" s="1031">
        <f>I26</f>
        <v>26942.80728214285</v>
      </c>
      <c r="J31" s="1311">
        <v>174322</v>
      </c>
      <c r="K31" s="1067">
        <f>J31*0.05</f>
        <v>8716.1</v>
      </c>
      <c r="L31" s="219">
        <f>L26</f>
        <v>663281.2379277338</v>
      </c>
      <c r="M31" s="1031">
        <f t="shared" ref="M31:R31" si="8">M26</f>
        <v>33164.061896386695</v>
      </c>
      <c r="N31" s="219">
        <f t="shared" si="8"/>
        <v>498522.05396542134</v>
      </c>
      <c r="O31" s="1031">
        <f t="shared" si="8"/>
        <v>24926.102698271068</v>
      </c>
      <c r="P31" s="219">
        <f t="shared" si="8"/>
        <v>468246.68332594156</v>
      </c>
      <c r="Q31" s="1031">
        <f t="shared" si="8"/>
        <v>23412.334166297078</v>
      </c>
      <c r="R31" s="194" t="e">
        <f t="shared" si="8"/>
        <v>#DIV/0!</v>
      </c>
      <c r="S31" s="1086"/>
      <c r="T31" s="1065">
        <f>T26</f>
        <v>965818.79316759051</v>
      </c>
      <c r="U31" s="1031">
        <f>U26</f>
        <v>48290.939658379531</v>
      </c>
      <c r="V31" s="194" t="e">
        <f>V26</f>
        <v>#DIV/0!</v>
      </c>
      <c r="W31" s="195"/>
    </row>
    <row r="32" spans="1:23" s="44" customFormat="1" ht="78.75" customHeight="1">
      <c r="A32" s="232" t="s">
        <v>142</v>
      </c>
      <c r="B32" s="50" t="s">
        <v>332</v>
      </c>
      <c r="C32" s="1306" t="s">
        <v>333</v>
      </c>
      <c r="D32" s="220">
        <v>177</v>
      </c>
      <c r="E32" s="221">
        <f>D32*0.05</f>
        <v>8.85</v>
      </c>
      <c r="F32" s="407"/>
      <c r="G32" s="1037"/>
      <c r="H32" s="220">
        <f>H20/'1.6'!C21</f>
        <v>912.37661474269794</v>
      </c>
      <c r="I32" s="221">
        <f>H32*0.05</f>
        <v>45.6188307371349</v>
      </c>
      <c r="J32" s="220">
        <v>364</v>
      </c>
      <c r="K32" s="221">
        <f>J32*0.05</f>
        <v>18.2</v>
      </c>
      <c r="L32" s="220">
        <f>L20/'1.6'!C27</f>
        <v>1047.0108996923077</v>
      </c>
      <c r="M32" s="221">
        <f>L32*0.05</f>
        <v>52.350544984615389</v>
      </c>
      <c r="N32" s="220">
        <f>N20/'1.6'!C39</f>
        <v>1175.8945977456351</v>
      </c>
      <c r="O32" s="221">
        <f>N32*0.05</f>
        <v>58.794729887281761</v>
      </c>
      <c r="P32" s="220">
        <f>P20/'1.6'!C45</f>
        <v>1124.7139366516462</v>
      </c>
      <c r="Q32" s="221">
        <f>P32*0.05</f>
        <v>56.235696832582313</v>
      </c>
      <c r="R32" s="196" t="e">
        <f>R20/'1.6'!$C$82</f>
        <v>#DIV/0!</v>
      </c>
      <c r="S32" s="1087" t="e">
        <f>S20/'1.6'!$C$82</f>
        <v>#DIV/0!</v>
      </c>
      <c r="T32" s="220">
        <f>T20/'1.6'!C51</f>
        <v>1149.7327803930473</v>
      </c>
      <c r="U32" s="221">
        <f>T32*0.05</f>
        <v>57.486639019652365</v>
      </c>
      <c r="V32" s="196" t="e">
        <f>V20/'1.6'!$C$102</f>
        <v>#DIV/0!</v>
      </c>
      <c r="W32" s="224" t="e">
        <f>W20/'1.6'!$C$102</f>
        <v>#DIV/0!</v>
      </c>
    </row>
    <row r="33" spans="1:23" ht="18.75" customHeight="1">
      <c r="A33" s="233" t="s">
        <v>187</v>
      </c>
      <c r="B33" s="51" t="s">
        <v>135</v>
      </c>
      <c r="C33" s="1308"/>
      <c r="D33" s="325"/>
      <c r="E33" s="959"/>
      <c r="F33" s="1047"/>
      <c r="G33" s="1048"/>
      <c r="H33" s="211"/>
      <c r="I33" s="959"/>
      <c r="J33" s="211"/>
      <c r="K33" s="959"/>
      <c r="L33" s="207"/>
      <c r="M33" s="206"/>
      <c r="N33" s="207"/>
      <c r="O33" s="206"/>
      <c r="P33" s="207"/>
      <c r="Q33" s="206"/>
      <c r="R33" s="179"/>
      <c r="S33" s="1078"/>
      <c r="T33" s="207"/>
      <c r="U33" s="959"/>
      <c r="V33" s="179"/>
      <c r="W33" s="180"/>
    </row>
    <row r="34" spans="1:23" ht="15" customHeight="1">
      <c r="A34" s="230" t="s">
        <v>71</v>
      </c>
      <c r="B34" s="45" t="s">
        <v>179</v>
      </c>
      <c r="C34" s="1309"/>
      <c r="D34" s="325"/>
      <c r="E34" s="212"/>
      <c r="F34" s="325"/>
      <c r="G34" s="1033"/>
      <c r="H34" s="211"/>
      <c r="I34" s="212"/>
      <c r="J34" s="211"/>
      <c r="K34" s="212"/>
      <c r="L34" s="207"/>
      <c r="M34" s="208"/>
      <c r="N34" s="207"/>
      <c r="O34" s="208"/>
      <c r="P34" s="207"/>
      <c r="Q34" s="208"/>
      <c r="R34" s="181">
        <f>R35+R36</f>
        <v>0</v>
      </c>
      <c r="S34" s="1079">
        <f>S35+S36</f>
        <v>0</v>
      </c>
      <c r="T34" s="211"/>
      <c r="U34" s="212"/>
      <c r="V34" s="181">
        <f>V35+V36</f>
        <v>0</v>
      </c>
      <c r="W34" s="182">
        <f>W35+W36</f>
        <v>0</v>
      </c>
    </row>
    <row r="35" spans="1:23" ht="15" customHeight="1">
      <c r="A35" s="230"/>
      <c r="B35" s="45" t="s">
        <v>325</v>
      </c>
      <c r="C35" s="1309"/>
      <c r="D35" s="1050"/>
      <c r="E35" s="960"/>
      <c r="F35" s="1050"/>
      <c r="G35" s="1051"/>
      <c r="H35" s="1049"/>
      <c r="I35" s="960"/>
      <c r="J35" s="1049"/>
      <c r="K35" s="960"/>
      <c r="L35" s="209"/>
      <c r="M35" s="210"/>
      <c r="N35" s="209"/>
      <c r="O35" s="210"/>
      <c r="P35" s="209"/>
      <c r="Q35" s="210"/>
      <c r="R35" s="183"/>
      <c r="S35" s="1080"/>
      <c r="T35" s="1049"/>
      <c r="U35" s="960"/>
      <c r="V35" s="183"/>
      <c r="W35" s="184"/>
    </row>
    <row r="36" spans="1:23" ht="15" customHeight="1">
      <c r="A36" s="230"/>
      <c r="B36" s="45" t="s">
        <v>326</v>
      </c>
      <c r="C36" s="1309"/>
      <c r="D36" s="1050"/>
      <c r="E36" s="960"/>
      <c r="F36" s="1050"/>
      <c r="G36" s="1051"/>
      <c r="H36" s="1049"/>
      <c r="I36" s="960"/>
      <c r="J36" s="1049"/>
      <c r="K36" s="960"/>
      <c r="L36" s="209"/>
      <c r="M36" s="210"/>
      <c r="N36" s="209"/>
      <c r="O36" s="210"/>
      <c r="P36" s="209"/>
      <c r="Q36" s="210"/>
      <c r="R36" s="183"/>
      <c r="S36" s="1080"/>
      <c r="T36" s="1049"/>
      <c r="U36" s="960"/>
      <c r="V36" s="183"/>
      <c r="W36" s="184"/>
    </row>
    <row r="37" spans="1:23" ht="15.75" customHeight="1" thickBot="1">
      <c r="A37" s="234" t="s">
        <v>188</v>
      </c>
      <c r="B37" s="235" t="s">
        <v>138</v>
      </c>
      <c r="C37" s="1310"/>
      <c r="D37" s="1068">
        <v>177</v>
      </c>
      <c r="E37" s="963">
        <f>D37*0.05</f>
        <v>8.85</v>
      </c>
      <c r="F37" s="1069"/>
      <c r="G37" s="1070"/>
      <c r="H37" s="1068">
        <f>H32</f>
        <v>912.37661474269794</v>
      </c>
      <c r="I37" s="963">
        <f>I32</f>
        <v>45.6188307371349</v>
      </c>
      <c r="J37" s="1068">
        <v>364</v>
      </c>
      <c r="K37" s="963">
        <f>J37*0.05</f>
        <v>18.2</v>
      </c>
      <c r="L37" s="222">
        <f t="shared" ref="L37:W37" si="9">L32</f>
        <v>1047.0108996923077</v>
      </c>
      <c r="M37" s="223">
        <f t="shared" si="9"/>
        <v>52.350544984615389</v>
      </c>
      <c r="N37" s="222">
        <f t="shared" si="9"/>
        <v>1175.8945977456351</v>
      </c>
      <c r="O37" s="223">
        <f t="shared" si="9"/>
        <v>58.794729887281761</v>
      </c>
      <c r="P37" s="222">
        <f t="shared" si="9"/>
        <v>1124.7139366516462</v>
      </c>
      <c r="Q37" s="223">
        <f t="shared" si="9"/>
        <v>56.235696832582313</v>
      </c>
      <c r="R37" s="197" t="e">
        <f t="shared" si="9"/>
        <v>#DIV/0!</v>
      </c>
      <c r="S37" s="1088" t="e">
        <f t="shared" si="9"/>
        <v>#DIV/0!</v>
      </c>
      <c r="T37" s="1068">
        <f t="shared" si="9"/>
        <v>1149.7327803930473</v>
      </c>
      <c r="U37" s="963">
        <f t="shared" si="9"/>
        <v>57.486639019652365</v>
      </c>
      <c r="V37" s="197" t="e">
        <f t="shared" si="9"/>
        <v>#DIV/0!</v>
      </c>
      <c r="W37" s="198" t="e">
        <f t="shared" si="9"/>
        <v>#DIV/0!</v>
      </c>
    </row>
    <row r="38" spans="1:23" ht="15.75" hidden="1" customHeight="1">
      <c r="A38" s="52"/>
      <c r="B38" s="81" t="s">
        <v>334</v>
      </c>
      <c r="C38" s="53"/>
      <c r="D38" s="55">
        <f>D32/1000</f>
        <v>0.17699999999999999</v>
      </c>
      <c r="E38" s="55"/>
      <c r="F38" s="55">
        <f>F32/1000</f>
        <v>0</v>
      </c>
      <c r="G38" s="54"/>
      <c r="H38" s="55">
        <f>H32/1000</f>
        <v>0.91237661474269793</v>
      </c>
      <c r="I38" s="54"/>
      <c r="J38" s="55">
        <f>J32/1000</f>
        <v>0.36399999999999999</v>
      </c>
      <c r="K38" s="54"/>
      <c r="L38" s="54"/>
      <c r="M38" s="54"/>
      <c r="N38" s="111">
        <f>N32/1000</f>
        <v>1.1758945977456352</v>
      </c>
      <c r="O38" s="54"/>
      <c r="P38" s="111">
        <f>P32/1000</f>
        <v>1.1247139366516463</v>
      </c>
      <c r="Q38" s="54"/>
      <c r="R38" s="55" t="e">
        <f>R32/1000</f>
        <v>#DIV/0!</v>
      </c>
      <c r="S38" s="54"/>
      <c r="T38" s="111">
        <f>T32/1000</f>
        <v>1.1497327803930473</v>
      </c>
      <c r="U38" s="54"/>
      <c r="V38" s="111" t="e">
        <f>V32/1000</f>
        <v>#DIV/0!</v>
      </c>
      <c r="W38" s="54"/>
    </row>
    <row r="39" spans="1:23" hidden="1">
      <c r="B39" s="81" t="s">
        <v>334</v>
      </c>
      <c r="D39" s="80">
        <f>D26*12/1272.5/1000</f>
        <v>0.80013831041257366</v>
      </c>
      <c r="F39" s="80">
        <f>F26*12/1272.5/1000</f>
        <v>0</v>
      </c>
      <c r="H39" s="80">
        <f>H26*12/1272.5/1000</f>
        <v>5.0815510787538569</v>
      </c>
      <c r="J39" s="80">
        <f>J26*12/1272.5/1000</f>
        <v>1.6439009823182711</v>
      </c>
      <c r="N39" s="112" t="e">
        <f>N26*12/'1.6'!M62/1000</f>
        <v>#DIV/0!</v>
      </c>
      <c r="P39" s="112">
        <f>P26*12/1272.5/1000</f>
        <v>4.4156858152544585</v>
      </c>
      <c r="Q39" s="40"/>
      <c r="R39" s="80" t="e">
        <f>R26*12/1272.5/1000</f>
        <v>#DIV/0!</v>
      </c>
      <c r="T39" s="112" t="e">
        <f>T26*12/'1.6'!S62/1000</f>
        <v>#DIV/0!</v>
      </c>
      <c r="V39" s="112" t="e">
        <f>V26*12/1272.5/1000</f>
        <v>#DIV/0!</v>
      </c>
      <c r="W39" s="40"/>
    </row>
    <row r="40" spans="1:23">
      <c r="C40" s="59"/>
      <c r="D40" s="60"/>
      <c r="E40" s="61"/>
    </row>
    <row r="41" spans="1:23">
      <c r="C41" s="59"/>
    </row>
    <row r="42" spans="1:23">
      <c r="B42" s="724" t="s">
        <v>377</v>
      </c>
      <c r="C42" s="59"/>
      <c r="N42" s="726" t="s">
        <v>436</v>
      </c>
    </row>
    <row r="43" spans="1:23">
      <c r="B43" s="724" t="s">
        <v>378</v>
      </c>
      <c r="C43" s="59"/>
    </row>
    <row r="44" spans="1:23">
      <c r="B44" s="724" t="s">
        <v>379</v>
      </c>
      <c r="C44" s="59"/>
    </row>
    <row r="45" spans="1:23">
      <c r="C45" s="59"/>
    </row>
    <row r="46" spans="1:23" ht="15.6">
      <c r="B46"/>
      <c r="C46" s="59"/>
      <c r="I46" s="17"/>
    </row>
    <row r="47" spans="1:23">
      <c r="B47"/>
      <c r="C47" s="59"/>
      <c r="W47" s="49"/>
    </row>
    <row r="48" spans="1:23">
      <c r="B48"/>
      <c r="C48" s="59"/>
    </row>
    <row r="49" spans="1:6" s="57" customFormat="1" ht="15.6">
      <c r="A49" s="56"/>
      <c r="D49" s="17"/>
      <c r="F49" s="58"/>
    </row>
    <row r="50" spans="1:6">
      <c r="C50" s="59"/>
    </row>
    <row r="51" spans="1:6">
      <c r="C51" s="59"/>
    </row>
    <row r="52" spans="1:6">
      <c r="C52" s="59"/>
    </row>
    <row r="53" spans="1:6">
      <c r="C53" s="59"/>
    </row>
    <row r="54" spans="1:6">
      <c r="C54" s="59"/>
    </row>
    <row r="55" spans="1:6">
      <c r="C55" s="59"/>
    </row>
    <row r="56" spans="1:6">
      <c r="C56" s="59"/>
    </row>
    <row r="57" spans="1:6">
      <c r="C57" s="59"/>
    </row>
    <row r="58" spans="1:6">
      <c r="C58" s="59"/>
    </row>
    <row r="59" spans="1:6">
      <c r="C59" s="59"/>
    </row>
    <row r="60" spans="1:6">
      <c r="C60" s="59"/>
    </row>
    <row r="61" spans="1:6">
      <c r="C61" s="59"/>
    </row>
    <row r="62" spans="1:6">
      <c r="C62" s="59"/>
    </row>
    <row r="63" spans="1:6">
      <c r="C63" s="59"/>
    </row>
    <row r="64" spans="1:6">
      <c r="C64" s="59"/>
    </row>
    <row r="65" spans="3:3">
      <c r="C65" s="59"/>
    </row>
    <row r="66" spans="3:3">
      <c r="C66" s="59"/>
    </row>
    <row r="67" spans="3:3">
      <c r="C67" s="59"/>
    </row>
    <row r="68" spans="3:3">
      <c r="C68" s="59"/>
    </row>
    <row r="69" spans="3:3">
      <c r="C69" s="59"/>
    </row>
    <row r="70" spans="3:3">
      <c r="C70" s="59"/>
    </row>
    <row r="71" spans="3:3">
      <c r="C71" s="59"/>
    </row>
    <row r="72" spans="3:3">
      <c r="C72" s="59"/>
    </row>
    <row r="73" spans="3:3">
      <c r="C73" s="59"/>
    </row>
    <row r="74" spans="3:3">
      <c r="C74" s="59"/>
    </row>
    <row r="75" spans="3:3">
      <c r="C75" s="59"/>
    </row>
    <row r="76" spans="3:3">
      <c r="C76" s="59"/>
    </row>
    <row r="77" spans="3:3">
      <c r="C77" s="59"/>
    </row>
    <row r="78" spans="3:3">
      <c r="C78" s="59"/>
    </row>
    <row r="79" spans="3:3">
      <c r="C79" s="59"/>
    </row>
    <row r="80" spans="3:3">
      <c r="C80" s="59"/>
    </row>
    <row r="81" spans="3:3">
      <c r="C81" s="59"/>
    </row>
    <row r="82" spans="3:3">
      <c r="C82" s="59"/>
    </row>
    <row r="83" spans="3:3">
      <c r="C83" s="59"/>
    </row>
    <row r="84" spans="3:3">
      <c r="C84" s="59"/>
    </row>
    <row r="85" spans="3:3">
      <c r="C85" s="59"/>
    </row>
    <row r="86" spans="3:3">
      <c r="C86" s="59"/>
    </row>
    <row r="87" spans="3:3">
      <c r="C87" s="59"/>
    </row>
    <row r="88" spans="3:3">
      <c r="C88" s="59"/>
    </row>
    <row r="89" spans="3:3">
      <c r="C89" s="59"/>
    </row>
    <row r="90" spans="3:3">
      <c r="C90" s="59"/>
    </row>
    <row r="91" spans="3:3">
      <c r="C91" s="59"/>
    </row>
    <row r="92" spans="3:3">
      <c r="C92" s="59"/>
    </row>
    <row r="93" spans="3:3">
      <c r="C93" s="59"/>
    </row>
    <row r="94" spans="3:3">
      <c r="C94" s="59"/>
    </row>
    <row r="95" spans="3:3">
      <c r="C95" s="59"/>
    </row>
    <row r="96" spans="3:3">
      <c r="C96" s="59"/>
    </row>
    <row r="97" spans="3:3">
      <c r="C97" s="59"/>
    </row>
    <row r="98" spans="3:3">
      <c r="C98" s="59"/>
    </row>
    <row r="99" spans="3:3">
      <c r="C99" s="59"/>
    </row>
    <row r="100" spans="3:3">
      <c r="C100" s="59"/>
    </row>
    <row r="101" spans="3:3">
      <c r="C101" s="59"/>
    </row>
    <row r="102" spans="3:3">
      <c r="C102" s="59"/>
    </row>
    <row r="103" spans="3:3">
      <c r="C103" s="59"/>
    </row>
    <row r="104" spans="3:3">
      <c r="C104" s="59"/>
    </row>
    <row r="105" spans="3:3">
      <c r="C105" s="59"/>
    </row>
    <row r="106" spans="3:3">
      <c r="C106" s="59"/>
    </row>
    <row r="107" spans="3:3">
      <c r="C107" s="59"/>
    </row>
    <row r="108" spans="3:3">
      <c r="C108" s="59"/>
    </row>
    <row r="109" spans="3:3">
      <c r="C109" s="59"/>
    </row>
    <row r="110" spans="3:3">
      <c r="C110" s="59"/>
    </row>
    <row r="111" spans="3:3">
      <c r="C111" s="59"/>
    </row>
    <row r="112" spans="3:3">
      <c r="C112" s="59"/>
    </row>
    <row r="113" spans="3:3">
      <c r="C113" s="59"/>
    </row>
    <row r="114" spans="3:3">
      <c r="C114" s="59"/>
    </row>
    <row r="115" spans="3:3">
      <c r="C115" s="59"/>
    </row>
    <row r="116" spans="3:3">
      <c r="C116" s="59"/>
    </row>
    <row r="117" spans="3:3">
      <c r="C117" s="59"/>
    </row>
    <row r="118" spans="3:3">
      <c r="C118" s="59"/>
    </row>
    <row r="119" spans="3:3">
      <c r="C119" s="59"/>
    </row>
    <row r="120" spans="3:3">
      <c r="C120" s="59"/>
    </row>
    <row r="121" spans="3:3">
      <c r="C121" s="59"/>
    </row>
    <row r="122" spans="3:3">
      <c r="C122" s="59"/>
    </row>
    <row r="123" spans="3:3">
      <c r="C123" s="59"/>
    </row>
    <row r="124" spans="3:3">
      <c r="C124" s="59"/>
    </row>
    <row r="125" spans="3:3">
      <c r="C125" s="59"/>
    </row>
    <row r="126" spans="3:3">
      <c r="C126" s="59"/>
    </row>
    <row r="127" spans="3:3">
      <c r="C127" s="59"/>
    </row>
    <row r="128" spans="3:3">
      <c r="C128" s="59"/>
    </row>
    <row r="129" spans="3:3">
      <c r="C129" s="59"/>
    </row>
    <row r="130" spans="3:3">
      <c r="C130" s="59"/>
    </row>
    <row r="131" spans="3:3">
      <c r="C131" s="59"/>
    </row>
    <row r="132" spans="3:3">
      <c r="C132" s="59"/>
    </row>
    <row r="133" spans="3:3">
      <c r="C133" s="59"/>
    </row>
    <row r="134" spans="3:3">
      <c r="C134" s="59"/>
    </row>
    <row r="135" spans="3:3">
      <c r="C135" s="59"/>
    </row>
    <row r="136" spans="3:3">
      <c r="C136" s="59"/>
    </row>
    <row r="137" spans="3:3">
      <c r="C137" s="59"/>
    </row>
    <row r="138" spans="3:3">
      <c r="C138" s="59"/>
    </row>
    <row r="139" spans="3:3">
      <c r="C139" s="59"/>
    </row>
    <row r="140" spans="3:3">
      <c r="C140" s="59"/>
    </row>
    <row r="141" spans="3:3">
      <c r="C141" s="59"/>
    </row>
    <row r="142" spans="3:3">
      <c r="C142" s="59"/>
    </row>
    <row r="143" spans="3:3">
      <c r="C143" s="59"/>
    </row>
    <row r="144" spans="3:3">
      <c r="C144" s="59"/>
    </row>
    <row r="145" spans="3:3">
      <c r="C145" s="59"/>
    </row>
    <row r="146" spans="3:3">
      <c r="C146" s="59"/>
    </row>
    <row r="147" spans="3:3">
      <c r="C147" s="59"/>
    </row>
    <row r="148" spans="3:3">
      <c r="C148" s="59"/>
    </row>
    <row r="149" spans="3:3">
      <c r="C149" s="59"/>
    </row>
    <row r="150" spans="3:3">
      <c r="C150" s="59"/>
    </row>
    <row r="151" spans="3:3">
      <c r="C151" s="59"/>
    </row>
    <row r="152" spans="3:3">
      <c r="C152" s="59"/>
    </row>
    <row r="153" spans="3:3">
      <c r="C153" s="59"/>
    </row>
    <row r="154" spans="3:3">
      <c r="C154" s="59"/>
    </row>
    <row r="155" spans="3:3">
      <c r="C155" s="59"/>
    </row>
    <row r="156" spans="3:3">
      <c r="C156" s="59"/>
    </row>
    <row r="157" spans="3:3">
      <c r="C157" s="59"/>
    </row>
    <row r="158" spans="3:3">
      <c r="C158" s="59"/>
    </row>
    <row r="159" spans="3:3">
      <c r="C159" s="59"/>
    </row>
    <row r="160" spans="3:3">
      <c r="C160" s="59"/>
    </row>
    <row r="161" spans="3:3">
      <c r="C161" s="59"/>
    </row>
    <row r="162" spans="3:3">
      <c r="C162" s="59"/>
    </row>
    <row r="163" spans="3:3">
      <c r="C163" s="59"/>
    </row>
    <row r="164" spans="3:3">
      <c r="C164" s="59"/>
    </row>
    <row r="165" spans="3:3">
      <c r="C165" s="59"/>
    </row>
    <row r="166" spans="3:3">
      <c r="C166" s="59"/>
    </row>
    <row r="167" spans="3:3">
      <c r="C167" s="59"/>
    </row>
    <row r="168" spans="3:3">
      <c r="C168" s="59"/>
    </row>
    <row r="169" spans="3:3">
      <c r="C169" s="59"/>
    </row>
    <row r="170" spans="3:3">
      <c r="C170" s="59"/>
    </row>
    <row r="171" spans="3:3">
      <c r="C171" s="59"/>
    </row>
    <row r="172" spans="3:3">
      <c r="C172" s="59"/>
    </row>
    <row r="173" spans="3:3">
      <c r="C173" s="59"/>
    </row>
    <row r="174" spans="3:3">
      <c r="C174" s="59"/>
    </row>
    <row r="175" spans="3:3">
      <c r="C175" s="59"/>
    </row>
    <row r="176" spans="3:3">
      <c r="C176" s="59"/>
    </row>
    <row r="177" spans="3:3">
      <c r="C177" s="59"/>
    </row>
    <row r="178" spans="3:3">
      <c r="C178" s="59"/>
    </row>
    <row r="179" spans="3:3">
      <c r="C179" s="59"/>
    </row>
    <row r="180" spans="3:3">
      <c r="C180" s="59"/>
    </row>
    <row r="181" spans="3:3">
      <c r="C181" s="59"/>
    </row>
    <row r="182" spans="3:3">
      <c r="C182" s="59"/>
    </row>
    <row r="183" spans="3:3">
      <c r="C183" s="59"/>
    </row>
    <row r="184" spans="3:3">
      <c r="C184" s="59"/>
    </row>
    <row r="185" spans="3:3">
      <c r="C185" s="59"/>
    </row>
    <row r="186" spans="3:3">
      <c r="C186" s="59"/>
    </row>
    <row r="187" spans="3:3">
      <c r="C187" s="59"/>
    </row>
    <row r="188" spans="3:3">
      <c r="C188" s="59"/>
    </row>
    <row r="189" spans="3:3">
      <c r="C189" s="59"/>
    </row>
    <row r="190" spans="3:3">
      <c r="C190" s="59"/>
    </row>
    <row r="191" spans="3:3">
      <c r="C191" s="59"/>
    </row>
    <row r="192" spans="3:3">
      <c r="C192" s="59"/>
    </row>
    <row r="193" spans="3:3">
      <c r="C193" s="59"/>
    </row>
    <row r="194" spans="3:3">
      <c r="C194" s="59"/>
    </row>
    <row r="195" spans="3:3">
      <c r="C195" s="59"/>
    </row>
    <row r="196" spans="3:3">
      <c r="C196" s="59"/>
    </row>
    <row r="197" spans="3:3">
      <c r="C197" s="59"/>
    </row>
    <row r="198" spans="3:3">
      <c r="C198" s="59"/>
    </row>
    <row r="199" spans="3:3">
      <c r="C199" s="59"/>
    </row>
    <row r="200" spans="3:3">
      <c r="C200" s="59"/>
    </row>
    <row r="201" spans="3:3">
      <c r="C201" s="59"/>
    </row>
    <row r="202" spans="3:3">
      <c r="C202" s="59"/>
    </row>
    <row r="203" spans="3:3">
      <c r="C203" s="59"/>
    </row>
    <row r="204" spans="3:3">
      <c r="C204" s="59"/>
    </row>
    <row r="205" spans="3:3">
      <c r="C205" s="59"/>
    </row>
    <row r="206" spans="3:3">
      <c r="C206" s="59"/>
    </row>
    <row r="207" spans="3:3">
      <c r="C207" s="59"/>
    </row>
    <row r="208" spans="3:3">
      <c r="C208" s="59"/>
    </row>
    <row r="209" spans="3:3">
      <c r="C209" s="59"/>
    </row>
    <row r="210" spans="3:3">
      <c r="C210" s="59"/>
    </row>
    <row r="211" spans="3:3">
      <c r="C211" s="59"/>
    </row>
    <row r="212" spans="3:3">
      <c r="C212" s="59"/>
    </row>
    <row r="213" spans="3:3">
      <c r="C213" s="59"/>
    </row>
    <row r="214" spans="3:3">
      <c r="C214" s="59"/>
    </row>
    <row r="215" spans="3:3">
      <c r="C215" s="59"/>
    </row>
    <row r="216" spans="3:3">
      <c r="C216" s="59"/>
    </row>
    <row r="217" spans="3:3">
      <c r="C217" s="59"/>
    </row>
    <row r="218" spans="3:3">
      <c r="C218" s="59"/>
    </row>
    <row r="219" spans="3:3">
      <c r="C219" s="59"/>
    </row>
    <row r="220" spans="3:3">
      <c r="C220" s="59"/>
    </row>
    <row r="221" spans="3:3">
      <c r="C221" s="59"/>
    </row>
    <row r="222" spans="3:3">
      <c r="C222" s="59"/>
    </row>
    <row r="223" spans="3:3">
      <c r="C223" s="59"/>
    </row>
    <row r="224" spans="3:3">
      <c r="C224" s="59"/>
    </row>
    <row r="225" spans="3:3">
      <c r="C225" s="59"/>
    </row>
    <row r="226" spans="3:3">
      <c r="C226" s="59"/>
    </row>
    <row r="227" spans="3:3">
      <c r="C227" s="59"/>
    </row>
    <row r="228" spans="3:3">
      <c r="C228" s="59"/>
    </row>
    <row r="229" spans="3:3">
      <c r="C229" s="59"/>
    </row>
    <row r="230" spans="3:3">
      <c r="C230" s="59"/>
    </row>
    <row r="231" spans="3:3">
      <c r="C231" s="59"/>
    </row>
    <row r="232" spans="3:3">
      <c r="C232" s="59"/>
    </row>
    <row r="233" spans="3:3">
      <c r="C233" s="59"/>
    </row>
    <row r="234" spans="3:3">
      <c r="C234" s="59"/>
    </row>
    <row r="235" spans="3:3">
      <c r="C235" s="59"/>
    </row>
    <row r="236" spans="3:3">
      <c r="C236" s="59"/>
    </row>
    <row r="237" spans="3:3">
      <c r="C237" s="59"/>
    </row>
  </sheetData>
  <mergeCells count="14">
    <mergeCell ref="N3:O3"/>
    <mergeCell ref="H3:I3"/>
    <mergeCell ref="T3:U3"/>
    <mergeCell ref="V3:W3"/>
    <mergeCell ref="A2:W2"/>
    <mergeCell ref="A3:A4"/>
    <mergeCell ref="B3:B4"/>
    <mergeCell ref="C3:C4"/>
    <mergeCell ref="D3:E3"/>
    <mergeCell ref="R3:S3"/>
    <mergeCell ref="F3:G3"/>
    <mergeCell ref="J3:K3"/>
    <mergeCell ref="P3:Q3"/>
    <mergeCell ref="L3:M3"/>
  </mergeCells>
  <phoneticPr fontId="4" type="noConversion"/>
  <pageMargins left="0.59055118110236227" right="0.19685039370078741" top="0.39370078740157483" bottom="0.59055118110236227" header="0.31496062992125984" footer="0.31496062992125984"/>
  <pageSetup paperSize="9" scale="61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M226"/>
  <sheetViews>
    <sheetView view="pageBreakPreview" zoomScale="70" zoomScaleNormal="80" zoomScaleSheetLayoutView="70" workbookViewId="0">
      <pane xSplit="3" ySplit="5" topLeftCell="E18" activePane="bottomRight" state="frozen"/>
      <selection pane="topRight" activeCell="D1" sqref="D1"/>
      <selection pane="bottomLeft" activeCell="A6" sqref="A6"/>
      <selection pane="bottomRight" activeCell="H23" sqref="H23"/>
    </sheetView>
  </sheetViews>
  <sheetFormatPr defaultColWidth="9.109375" defaultRowHeight="13.2"/>
  <cols>
    <col min="1" max="1" width="4.6640625" style="82" customWidth="1"/>
    <col min="2" max="2" width="43.6640625" style="82" customWidth="1"/>
    <col min="3" max="3" width="11.33203125" style="82" customWidth="1"/>
    <col min="4" max="4" width="13.5546875" style="82" hidden="1" customWidth="1"/>
    <col min="5" max="5" width="13.5546875" style="82" customWidth="1"/>
    <col min="6" max="8" width="14.6640625" style="82" customWidth="1"/>
    <col min="9" max="9" width="15.77734375" style="82" customWidth="1"/>
    <col min="10" max="10" width="18.88671875" style="82" hidden="1" customWidth="1"/>
    <col min="11" max="12" width="18.88671875" style="82" customWidth="1"/>
    <col min="13" max="13" width="15" style="82" customWidth="1"/>
    <col min="14" max="16384" width="9.109375" style="82"/>
  </cols>
  <sheetData>
    <row r="1" spans="1:13" ht="15.6">
      <c r="B1" s="419" t="s">
        <v>359</v>
      </c>
      <c r="M1" s="83" t="s">
        <v>335</v>
      </c>
    </row>
    <row r="2" spans="1:13" ht="60" customHeight="1" thickBot="1">
      <c r="A2" s="1786" t="s">
        <v>336</v>
      </c>
      <c r="B2" s="1786"/>
      <c r="C2" s="1786"/>
      <c r="D2" s="1786"/>
      <c r="E2" s="1786"/>
      <c r="F2" s="1786"/>
      <c r="G2" s="1786"/>
      <c r="H2" s="1786"/>
      <c r="I2" s="1786"/>
      <c r="J2" s="1786"/>
      <c r="K2" s="1786"/>
      <c r="L2" s="1786"/>
      <c r="M2" s="1786"/>
    </row>
    <row r="3" spans="1:13" ht="25.5" customHeight="1">
      <c r="A3" s="1787" t="s">
        <v>337</v>
      </c>
      <c r="B3" s="1789" t="s">
        <v>338</v>
      </c>
      <c r="C3" s="1787" t="s">
        <v>321</v>
      </c>
      <c r="D3" s="1791" t="s">
        <v>370</v>
      </c>
      <c r="E3" s="1793" t="s">
        <v>466</v>
      </c>
      <c r="F3" s="1793" t="s">
        <v>467</v>
      </c>
      <c r="G3" s="1793" t="s">
        <v>468</v>
      </c>
      <c r="H3" s="1793" t="s">
        <v>460</v>
      </c>
      <c r="I3" s="1793" t="s">
        <v>489</v>
      </c>
      <c r="J3" s="1797" t="s">
        <v>358</v>
      </c>
      <c r="K3" s="1793" t="s">
        <v>490</v>
      </c>
      <c r="L3" s="1795" t="s">
        <v>455</v>
      </c>
      <c r="M3" s="1784" t="s">
        <v>447</v>
      </c>
    </row>
    <row r="4" spans="1:13" ht="42" customHeight="1" thickBot="1">
      <c r="A4" s="1788"/>
      <c r="B4" s="1790"/>
      <c r="C4" s="1788"/>
      <c r="D4" s="1792"/>
      <c r="E4" s="1794"/>
      <c r="F4" s="1794"/>
      <c r="G4" s="1794"/>
      <c r="H4" s="1794"/>
      <c r="I4" s="1794"/>
      <c r="J4" s="1798"/>
      <c r="K4" s="1794"/>
      <c r="L4" s="1796"/>
      <c r="M4" s="1785"/>
    </row>
    <row r="5" spans="1:13" s="84" customFormat="1" ht="12.75" customHeight="1">
      <c r="A5" s="1089">
        <v>1</v>
      </c>
      <c r="B5" s="1089">
        <v>2</v>
      </c>
      <c r="C5" s="1089">
        <v>3</v>
      </c>
      <c r="D5" s="1096">
        <v>4</v>
      </c>
      <c r="E5" s="410">
        <v>4</v>
      </c>
      <c r="F5" s="964">
        <v>5</v>
      </c>
      <c r="G5" s="964">
        <v>6</v>
      </c>
      <c r="H5" s="964">
        <v>7</v>
      </c>
      <c r="I5" s="964">
        <v>8</v>
      </c>
      <c r="J5" s="1128">
        <v>9</v>
      </c>
      <c r="K5" s="964">
        <v>9</v>
      </c>
      <c r="L5" s="1115">
        <v>10</v>
      </c>
      <c r="M5" s="236">
        <v>11</v>
      </c>
    </row>
    <row r="6" spans="1:13" ht="29.25" customHeight="1">
      <c r="A6" s="1090" t="s">
        <v>130</v>
      </c>
      <c r="B6" s="1093" t="s">
        <v>339</v>
      </c>
      <c r="C6" s="1108" t="s">
        <v>333</v>
      </c>
      <c r="D6" s="1097"/>
      <c r="E6" s="1111">
        <v>5703</v>
      </c>
      <c r="F6" s="1111">
        <f>(5598+6088)/2</f>
        <v>5843</v>
      </c>
      <c r="G6" s="1111">
        <v>6115</v>
      </c>
      <c r="H6" s="1111">
        <f>(5904+6352)/2</f>
        <v>6128</v>
      </c>
      <c r="I6" s="1111">
        <f>(5904+6352)/2</f>
        <v>6128</v>
      </c>
      <c r="J6" s="1129">
        <f>D6</f>
        <v>0</v>
      </c>
      <c r="K6" s="1111">
        <f>(5904+6352)/2</f>
        <v>6128</v>
      </c>
      <c r="L6" s="1111">
        <f>(5904+6352)/2</f>
        <v>6128</v>
      </c>
      <c r="M6" s="241"/>
    </row>
    <row r="7" spans="1:13" ht="18" customHeight="1">
      <c r="A7" s="1090" t="s">
        <v>177</v>
      </c>
      <c r="B7" s="1093" t="s">
        <v>340</v>
      </c>
      <c r="C7" s="1109"/>
      <c r="D7" s="1098"/>
      <c r="E7" s="85"/>
      <c r="F7" s="1112"/>
      <c r="G7" s="1112"/>
      <c r="H7" s="1112"/>
      <c r="I7" s="1112"/>
      <c r="J7" s="1130"/>
      <c r="K7" s="965"/>
      <c r="L7" s="1123"/>
      <c r="M7" s="237"/>
    </row>
    <row r="8" spans="1:13" ht="18" customHeight="1">
      <c r="A8" s="1090" t="s">
        <v>341</v>
      </c>
      <c r="B8" s="1093" t="s">
        <v>342</v>
      </c>
      <c r="C8" s="1109"/>
      <c r="D8" s="1098"/>
      <c r="E8" s="85"/>
      <c r="F8" s="1112"/>
      <c r="G8" s="1112"/>
      <c r="H8" s="1112"/>
      <c r="I8" s="1112"/>
      <c r="J8" s="1130"/>
      <c r="K8" s="965"/>
      <c r="L8" s="1123"/>
      <c r="M8" s="237"/>
    </row>
    <row r="9" spans="1:13" ht="18" customHeight="1">
      <c r="A9" s="1090" t="s">
        <v>343</v>
      </c>
      <c r="B9" s="1093" t="s">
        <v>344</v>
      </c>
      <c r="C9" s="1109"/>
      <c r="D9" s="1098"/>
      <c r="E9" s="85"/>
      <c r="F9" s="1112"/>
      <c r="G9" s="1112"/>
      <c r="H9" s="1112"/>
      <c r="I9" s="1112"/>
      <c r="J9" s="1130"/>
      <c r="K9" s="965"/>
      <c r="L9" s="1123"/>
      <c r="M9" s="237"/>
    </row>
    <row r="10" spans="1:13" ht="18" customHeight="1">
      <c r="A10" s="1090" t="s">
        <v>178</v>
      </c>
      <c r="B10" s="1093" t="s">
        <v>345</v>
      </c>
      <c r="C10" s="1109"/>
      <c r="D10" s="1098"/>
      <c r="E10" s="85"/>
      <c r="F10" s="1112"/>
      <c r="G10" s="1112"/>
      <c r="H10" s="1112"/>
      <c r="I10" s="1112"/>
      <c r="J10" s="1130"/>
      <c r="K10" s="965"/>
      <c r="L10" s="1123"/>
      <c r="M10" s="237"/>
    </row>
    <row r="11" spans="1:13" ht="27" customHeight="1">
      <c r="A11" s="1090" t="s">
        <v>121</v>
      </c>
      <c r="B11" s="1093" t="s">
        <v>346</v>
      </c>
      <c r="C11" s="1109" t="s">
        <v>347</v>
      </c>
      <c r="D11" s="1099"/>
      <c r="E11" s="966">
        <v>12.13</v>
      </c>
      <c r="F11" s="966">
        <f>'1.4'!M8</f>
        <v>10.785</v>
      </c>
      <c r="G11" s="966">
        <v>12.057</v>
      </c>
      <c r="H11" s="966">
        <f>'1.4'!W8</f>
        <v>8.4</v>
      </c>
      <c r="I11" s="966">
        <f>'1.4'!AB8</f>
        <v>4.4989999999999997</v>
      </c>
      <c r="J11" s="1131">
        <f>J12</f>
        <v>38</v>
      </c>
      <c r="K11" s="966">
        <f>'1.2.2'!H9</f>
        <v>4.7039999999999997</v>
      </c>
      <c r="L11" s="1116">
        <f>'1.4'!AL8</f>
        <v>9.2029999999999994</v>
      </c>
      <c r="M11" s="238"/>
    </row>
    <row r="12" spans="1:13" ht="18" customHeight="1">
      <c r="A12" s="1090" t="s">
        <v>189</v>
      </c>
      <c r="B12" s="1093" t="s">
        <v>135</v>
      </c>
      <c r="C12" s="1109"/>
      <c r="D12" s="408"/>
      <c r="E12" s="412">
        <v>12.13</v>
      </c>
      <c r="F12" s="967">
        <f>'1.4'!N8</f>
        <v>9.7420000000000009</v>
      </c>
      <c r="G12" s="967">
        <v>12.057</v>
      </c>
      <c r="H12" s="967">
        <f>'1.4'!X8</f>
        <v>8.4</v>
      </c>
      <c r="I12" s="967">
        <f>'1.4'!AC8</f>
        <v>4.4989999999999997</v>
      </c>
      <c r="J12" s="1132">
        <f>'1.4'!AQ7</f>
        <v>38</v>
      </c>
      <c r="K12" s="967">
        <f>'1.4'!AH8</f>
        <v>4.7039999999999997</v>
      </c>
      <c r="L12" s="1117">
        <f>'1.4'!AM8</f>
        <v>9.2029999999999994</v>
      </c>
      <c r="M12" s="239"/>
    </row>
    <row r="13" spans="1:13" ht="18" customHeight="1">
      <c r="A13" s="1090" t="s">
        <v>181</v>
      </c>
      <c r="B13" s="1093" t="s">
        <v>179</v>
      </c>
      <c r="C13" s="1109"/>
      <c r="D13" s="1099"/>
      <c r="E13" s="411">
        <v>11.816000000000001</v>
      </c>
      <c r="F13" s="966">
        <f>F15</f>
        <v>10.785</v>
      </c>
      <c r="G13" s="966">
        <v>12.057</v>
      </c>
      <c r="H13" s="966">
        <f>H15</f>
        <v>8.4</v>
      </c>
      <c r="I13" s="966">
        <f>I15</f>
        <v>4.4989999999999997</v>
      </c>
      <c r="J13" s="1131"/>
      <c r="K13" s="966">
        <f>K15</f>
        <v>4.7039999999999997</v>
      </c>
      <c r="L13" s="1116">
        <f>L15</f>
        <v>9.2029999999999994</v>
      </c>
      <c r="M13" s="238"/>
    </row>
    <row r="14" spans="1:13" ht="18" customHeight="1">
      <c r="A14" s="1090"/>
      <c r="B14" s="1094" t="s">
        <v>325</v>
      </c>
      <c r="C14" s="1109"/>
      <c r="D14" s="1100"/>
      <c r="E14" s="413"/>
      <c r="F14" s="968"/>
      <c r="G14" s="968"/>
      <c r="H14" s="968"/>
      <c r="I14" s="968"/>
      <c r="J14" s="1133"/>
      <c r="K14" s="968"/>
      <c r="L14" s="1118"/>
      <c r="M14" s="240"/>
    </row>
    <row r="15" spans="1:13" ht="18" customHeight="1">
      <c r="A15" s="1090"/>
      <c r="B15" s="1094" t="s">
        <v>326</v>
      </c>
      <c r="C15" s="1109"/>
      <c r="D15" s="408"/>
      <c r="E15" s="412">
        <v>11.816000000000001</v>
      </c>
      <c r="F15" s="967">
        <f>'1.4'!P8</f>
        <v>10.785</v>
      </c>
      <c r="G15" s="967">
        <v>12.057</v>
      </c>
      <c r="H15" s="967">
        <f>'1.4'!Z8</f>
        <v>8.4</v>
      </c>
      <c r="I15" s="967">
        <f>'1.4'!AE8</f>
        <v>4.4989999999999997</v>
      </c>
      <c r="J15" s="1132">
        <f>'1.4'!AT10</f>
        <v>0</v>
      </c>
      <c r="K15" s="967">
        <f>'1.4'!AJ8</f>
        <v>4.7039999999999997</v>
      </c>
      <c r="L15" s="1117">
        <f>'1.4'!AO8</f>
        <v>9.2029999999999994</v>
      </c>
      <c r="M15" s="436">
        <f>'1.4'!BD10</f>
        <v>0</v>
      </c>
    </row>
    <row r="16" spans="1:13" ht="18" customHeight="1">
      <c r="A16" s="1090" t="s">
        <v>182</v>
      </c>
      <c r="B16" s="1093" t="s">
        <v>138</v>
      </c>
      <c r="C16" s="1109"/>
      <c r="D16" s="408"/>
      <c r="E16" s="412"/>
      <c r="F16" s="967">
        <f>'1.4'!Q8</f>
        <v>10.742000000000001</v>
      </c>
      <c r="G16" s="967">
        <v>11.86</v>
      </c>
      <c r="H16" s="967">
        <f>'1.4'!AA8</f>
        <v>8.26</v>
      </c>
      <c r="I16" s="967">
        <f>'1.4'!AF8</f>
        <v>4.4829999999999997</v>
      </c>
      <c r="J16" s="1132">
        <f>'1.4'!AU12</f>
        <v>0</v>
      </c>
      <c r="K16" s="967">
        <f>'1.4'!AK8</f>
        <v>4.6879999999999997</v>
      </c>
      <c r="L16" s="1117">
        <f>'1.4'!AP8</f>
        <v>11.86</v>
      </c>
      <c r="M16" s="436">
        <f>'1.4'!BE12</f>
        <v>0</v>
      </c>
    </row>
    <row r="17" spans="1:13" ht="18" customHeight="1">
      <c r="A17" s="1090" t="s">
        <v>132</v>
      </c>
      <c r="B17" s="1093" t="s">
        <v>348</v>
      </c>
      <c r="C17" s="1109" t="s">
        <v>183</v>
      </c>
      <c r="D17" s="1101"/>
      <c r="E17" s="414">
        <v>3.05</v>
      </c>
      <c r="F17" s="969">
        <f>'1.2.2'!D14</f>
        <v>1.0013908205841446</v>
      </c>
      <c r="G17" s="969">
        <v>3.09</v>
      </c>
      <c r="H17" s="969">
        <f>'1.2.2'!F14</f>
        <v>4.1666666666666661</v>
      </c>
      <c r="I17" s="969">
        <f>'1.2.2'!G14</f>
        <v>0.84463214047566137</v>
      </c>
      <c r="J17" s="1134" t="e">
        <f>'1.2.2'!L13</f>
        <v>#REF!</v>
      </c>
      <c r="K17" s="969">
        <f>'1.2.2'!H14</f>
        <v>0.80782312925170074</v>
      </c>
      <c r="L17" s="1119">
        <f>'1.2.2'!I14</f>
        <v>0.82581766815168978</v>
      </c>
      <c r="M17" s="437">
        <f>'1.2.2'!O13</f>
        <v>0</v>
      </c>
    </row>
    <row r="18" spans="1:13" ht="18" customHeight="1">
      <c r="A18" s="1090" t="s">
        <v>190</v>
      </c>
      <c r="B18" s="1093" t="s">
        <v>135</v>
      </c>
      <c r="C18" s="1109"/>
      <c r="D18" s="1101"/>
      <c r="E18" s="414"/>
      <c r="F18" s="969"/>
      <c r="G18" s="969"/>
      <c r="H18" s="969"/>
      <c r="I18" s="969"/>
      <c r="J18" s="1134"/>
      <c r="K18" s="969"/>
      <c r="L18" s="1119"/>
      <c r="M18" s="437"/>
    </row>
    <row r="19" spans="1:13" ht="18" customHeight="1">
      <c r="A19" s="1090" t="s">
        <v>191</v>
      </c>
      <c r="B19" s="1093" t="s">
        <v>179</v>
      </c>
      <c r="C19" s="1109"/>
      <c r="D19" s="1101"/>
      <c r="E19" s="414"/>
      <c r="F19" s="969"/>
      <c r="G19" s="969"/>
      <c r="H19" s="969"/>
      <c r="I19" s="969"/>
      <c r="J19" s="1134"/>
      <c r="K19" s="969"/>
      <c r="L19" s="1119"/>
      <c r="M19" s="437"/>
    </row>
    <row r="20" spans="1:13" ht="18" customHeight="1">
      <c r="A20" s="1090"/>
      <c r="B20" s="1094" t="s">
        <v>325</v>
      </c>
      <c r="C20" s="1109"/>
      <c r="D20" s="1102"/>
      <c r="E20" s="415"/>
      <c r="F20" s="970"/>
      <c r="G20" s="970"/>
      <c r="H20" s="970"/>
      <c r="I20" s="970"/>
      <c r="J20" s="1135"/>
      <c r="K20" s="970"/>
      <c r="L20" s="1120"/>
      <c r="M20" s="438"/>
    </row>
    <row r="21" spans="1:13" ht="18" customHeight="1">
      <c r="A21" s="1090"/>
      <c r="B21" s="1094" t="s">
        <v>326</v>
      </c>
      <c r="C21" s="1109"/>
      <c r="D21" s="1103"/>
      <c r="E21" s="416"/>
      <c r="F21" s="969"/>
      <c r="G21" s="969"/>
      <c r="H21" s="1125"/>
      <c r="I21" s="1125"/>
      <c r="J21" s="1134">
        <f>'1.4'!AT17</f>
        <v>0</v>
      </c>
      <c r="K21" s="969"/>
      <c r="L21" s="1119"/>
      <c r="M21" s="439">
        <f>'1.4'!BD17</f>
        <v>0</v>
      </c>
    </row>
    <row r="22" spans="1:13" ht="18" customHeight="1">
      <c r="A22" s="1090" t="s">
        <v>192</v>
      </c>
      <c r="B22" s="1093" t="s">
        <v>138</v>
      </c>
      <c r="C22" s="1109"/>
      <c r="D22" s="1101"/>
      <c r="E22" s="414"/>
      <c r="F22" s="969"/>
      <c r="G22" s="969"/>
      <c r="H22" s="969"/>
      <c r="I22" s="969"/>
      <c r="J22" s="1134">
        <f>'1.4'!AU17</f>
        <v>0</v>
      </c>
      <c r="K22" s="969"/>
      <c r="L22" s="1119"/>
      <c r="M22" s="437">
        <f>'1.4'!BE17</f>
        <v>0</v>
      </c>
    </row>
    <row r="23" spans="1:13" ht="18" customHeight="1">
      <c r="A23" s="1090" t="s">
        <v>133</v>
      </c>
      <c r="B23" s="1093" t="s">
        <v>193</v>
      </c>
      <c r="C23" s="1109" t="s">
        <v>347</v>
      </c>
      <c r="D23" s="1099"/>
      <c r="E23" s="411">
        <v>11.76</v>
      </c>
      <c r="F23" s="966">
        <f>'1.2.2'!D21</f>
        <v>10.675000000000001</v>
      </c>
      <c r="G23" s="966">
        <v>11.69</v>
      </c>
      <c r="H23" s="966">
        <f>'1.2.2'!F21</f>
        <v>8.0500000000000007</v>
      </c>
      <c r="I23" s="966">
        <f>'1.2.2'!G21</f>
        <v>4.4610000000000003</v>
      </c>
      <c r="J23" s="1131">
        <f>J28</f>
        <v>0</v>
      </c>
      <c r="K23" s="966">
        <f>'1.2.2'!H21</f>
        <v>4.6660000000000004</v>
      </c>
      <c r="L23" s="1121">
        <f>'1.2.2'!I21</f>
        <v>9.1269999999999989</v>
      </c>
      <c r="M23" s="440">
        <f>M28</f>
        <v>0</v>
      </c>
    </row>
    <row r="24" spans="1:13" ht="18" customHeight="1">
      <c r="A24" s="1090" t="s">
        <v>134</v>
      </c>
      <c r="B24" s="1093" t="s">
        <v>135</v>
      </c>
      <c r="C24" s="1109"/>
      <c r="D24" s="1101"/>
      <c r="E24" s="412"/>
      <c r="F24" s="967"/>
      <c r="G24" s="967"/>
      <c r="H24" s="969"/>
      <c r="I24" s="969"/>
      <c r="J24" s="1134"/>
      <c r="K24" s="969"/>
      <c r="L24" s="1119"/>
      <c r="M24" s="437"/>
    </row>
    <row r="25" spans="1:13" ht="18" customHeight="1">
      <c r="A25" s="1090" t="s">
        <v>139</v>
      </c>
      <c r="B25" s="1093" t="s">
        <v>179</v>
      </c>
      <c r="C25" s="1109"/>
      <c r="D25" s="1104"/>
      <c r="E25" s="411"/>
      <c r="F25" s="966"/>
      <c r="G25" s="966"/>
      <c r="H25" s="971"/>
      <c r="I25" s="971"/>
      <c r="J25" s="1136"/>
      <c r="K25" s="971"/>
      <c r="L25" s="1122"/>
      <c r="M25" s="441"/>
    </row>
    <row r="26" spans="1:13" ht="18" customHeight="1">
      <c r="A26" s="1090"/>
      <c r="B26" s="1094" t="s">
        <v>325</v>
      </c>
      <c r="C26" s="1109"/>
      <c r="D26" s="1105"/>
      <c r="E26" s="417"/>
      <c r="F26" s="965"/>
      <c r="G26" s="965"/>
      <c r="H26" s="965"/>
      <c r="I26" s="965"/>
      <c r="J26" s="1130"/>
      <c r="K26" s="965"/>
      <c r="L26" s="1123"/>
      <c r="M26" s="442"/>
    </row>
    <row r="27" spans="1:13" ht="18" customHeight="1">
      <c r="A27" s="1090"/>
      <c r="B27" s="1094" t="s">
        <v>326</v>
      </c>
      <c r="C27" s="1109"/>
      <c r="D27" s="1104"/>
      <c r="E27" s="411"/>
      <c r="F27" s="966"/>
      <c r="G27" s="966"/>
      <c r="H27" s="971"/>
      <c r="I27" s="971"/>
      <c r="J27" s="1136"/>
      <c r="K27" s="971"/>
      <c r="L27" s="1122"/>
      <c r="M27" s="441"/>
    </row>
    <row r="28" spans="1:13" ht="18" customHeight="1">
      <c r="A28" s="1090" t="s">
        <v>140</v>
      </c>
      <c r="B28" s="1093" t="s">
        <v>138</v>
      </c>
      <c r="C28" s="1109"/>
      <c r="D28" s="1099"/>
      <c r="E28" s="411"/>
      <c r="F28" s="966"/>
      <c r="G28" s="966"/>
      <c r="H28" s="966"/>
      <c r="I28" s="966"/>
      <c r="J28" s="1131">
        <f>'1.2.2'!L20</f>
        <v>0</v>
      </c>
      <c r="K28" s="966"/>
      <c r="L28" s="1116"/>
      <c r="M28" s="440">
        <f>'1.2.2'!O20</f>
        <v>0</v>
      </c>
    </row>
    <row r="29" spans="1:13" ht="18" customHeight="1">
      <c r="A29" s="1090"/>
      <c r="B29" s="1093"/>
      <c r="C29" s="1109"/>
      <c r="D29" s="1105"/>
      <c r="E29" s="417"/>
      <c r="F29" s="965"/>
      <c r="G29" s="965"/>
      <c r="H29" s="965"/>
      <c r="I29" s="965"/>
      <c r="J29" s="1130"/>
      <c r="K29" s="965"/>
      <c r="L29" s="1123"/>
      <c r="M29" s="442"/>
    </row>
    <row r="30" spans="1:13" ht="15" customHeight="1">
      <c r="A30" s="1090" t="s">
        <v>141</v>
      </c>
      <c r="B30" s="1093" t="s">
        <v>194</v>
      </c>
      <c r="C30" s="1109" t="s">
        <v>349</v>
      </c>
      <c r="D30" s="409"/>
      <c r="E30" s="1124">
        <v>2110</v>
      </c>
      <c r="F30" s="1124">
        <f t="shared" ref="F30:M30" si="0">(F11-F23)*F6</f>
        <v>642.72999999999672</v>
      </c>
      <c r="G30" s="1113">
        <v>2159</v>
      </c>
      <c r="H30" s="1113">
        <f t="shared" si="0"/>
        <v>2144.7999999999979</v>
      </c>
      <c r="I30" s="1113">
        <f t="shared" si="0"/>
        <v>232.86399999999611</v>
      </c>
      <c r="J30" s="1129">
        <f t="shared" si="0"/>
        <v>0</v>
      </c>
      <c r="K30" s="1113">
        <f t="shared" si="0"/>
        <v>232.86399999999611</v>
      </c>
      <c r="L30" s="1139">
        <f t="shared" si="0"/>
        <v>465.72800000000314</v>
      </c>
      <c r="M30" s="443">
        <f t="shared" si="0"/>
        <v>0</v>
      </c>
    </row>
    <row r="31" spans="1:13" ht="18" customHeight="1">
      <c r="A31" s="1090" t="s">
        <v>184</v>
      </c>
      <c r="B31" s="1093" t="s">
        <v>135</v>
      </c>
      <c r="C31" s="1109"/>
      <c r="D31" s="1105"/>
      <c r="E31" s="1124"/>
      <c r="F31" s="967"/>
      <c r="G31" s="967"/>
      <c r="H31" s="965"/>
      <c r="I31" s="967"/>
      <c r="J31" s="1130"/>
      <c r="K31" s="965"/>
      <c r="L31" s="1117"/>
      <c r="M31" s="442"/>
    </row>
    <row r="32" spans="1:13" ht="18" customHeight="1">
      <c r="A32" s="1090" t="s">
        <v>185</v>
      </c>
      <c r="B32" s="1093" t="s">
        <v>179</v>
      </c>
      <c r="C32" s="1109"/>
      <c r="D32" s="1105"/>
      <c r="E32" s="417"/>
      <c r="F32" s="965"/>
      <c r="G32" s="965"/>
      <c r="H32" s="965"/>
      <c r="I32" s="965"/>
      <c r="J32" s="1130"/>
      <c r="K32" s="965"/>
      <c r="L32" s="1123"/>
      <c r="M32" s="442"/>
    </row>
    <row r="33" spans="1:13" ht="18" customHeight="1">
      <c r="A33" s="1090"/>
      <c r="B33" s="1094" t="s">
        <v>325</v>
      </c>
      <c r="C33" s="1109"/>
      <c r="D33" s="1105"/>
      <c r="E33" s="417"/>
      <c r="F33" s="965"/>
      <c r="G33" s="965"/>
      <c r="H33" s="965"/>
      <c r="I33" s="965"/>
      <c r="J33" s="1130"/>
      <c r="K33" s="965"/>
      <c r="L33" s="1123"/>
      <c r="M33" s="442"/>
    </row>
    <row r="34" spans="1:13" ht="18" customHeight="1">
      <c r="A34" s="1090"/>
      <c r="B34" s="1094" t="s">
        <v>326</v>
      </c>
      <c r="C34" s="1109"/>
      <c r="D34" s="1105"/>
      <c r="E34" s="417"/>
      <c r="F34" s="965"/>
      <c r="G34" s="965"/>
      <c r="H34" s="965"/>
      <c r="I34" s="965"/>
      <c r="J34" s="1130"/>
      <c r="K34" s="965"/>
      <c r="L34" s="1123"/>
      <c r="M34" s="442"/>
    </row>
    <row r="35" spans="1:13" ht="18" customHeight="1">
      <c r="A35" s="1090" t="s">
        <v>186</v>
      </c>
      <c r="B35" s="1093" t="s">
        <v>138</v>
      </c>
      <c r="C35" s="1109"/>
      <c r="D35" s="1105"/>
      <c r="E35" s="417">
        <v>2110</v>
      </c>
      <c r="F35" s="965"/>
      <c r="G35" s="965">
        <v>2159</v>
      </c>
      <c r="H35" s="965">
        <f>H30</f>
        <v>2144.7999999999979</v>
      </c>
      <c r="I35" s="965">
        <f t="shared" ref="I35:L35" si="1">I30</f>
        <v>232.86399999999611</v>
      </c>
      <c r="J35" s="965">
        <f t="shared" si="1"/>
        <v>0</v>
      </c>
      <c r="K35" s="965">
        <f t="shared" si="1"/>
        <v>232.86399999999611</v>
      </c>
      <c r="L35" s="965">
        <f t="shared" si="1"/>
        <v>465.72800000000314</v>
      </c>
      <c r="M35" s="442">
        <f>M30</f>
        <v>0</v>
      </c>
    </row>
    <row r="36" spans="1:13" ht="40.5" customHeight="1">
      <c r="A36" s="1090">
        <v>6</v>
      </c>
      <c r="B36" s="1093" t="s">
        <v>350</v>
      </c>
      <c r="C36" s="1109" t="s">
        <v>351</v>
      </c>
      <c r="D36" s="1106"/>
      <c r="E36" s="1312">
        <v>179.45</v>
      </c>
      <c r="F36" s="1113">
        <f t="shared" ref="F36:M36" si="2">F30/F23</f>
        <v>60.208899297423578</v>
      </c>
      <c r="G36" s="1126">
        <v>185</v>
      </c>
      <c r="H36" s="1113">
        <f t="shared" si="2"/>
        <v>266.43478260869534</v>
      </c>
      <c r="I36" s="1113">
        <f t="shared" si="2"/>
        <v>52.199955167002038</v>
      </c>
      <c r="J36" s="1137" t="e">
        <f t="shared" si="2"/>
        <v>#DIV/0!</v>
      </c>
      <c r="K36" s="1113">
        <f t="shared" si="2"/>
        <v>49.906558079724839</v>
      </c>
      <c r="L36" s="1127">
        <f t="shared" si="2"/>
        <v>51.027500821738052</v>
      </c>
      <c r="M36" s="444" t="e">
        <f t="shared" si="2"/>
        <v>#DIV/0!</v>
      </c>
    </row>
    <row r="37" spans="1:13" ht="18" customHeight="1">
      <c r="A37" s="1091" t="s">
        <v>187</v>
      </c>
      <c r="B37" s="1093" t="s">
        <v>135</v>
      </c>
      <c r="C37" s="1109"/>
      <c r="D37" s="1105"/>
      <c r="E37" s="1124"/>
      <c r="F37" s="967"/>
      <c r="G37" s="967"/>
      <c r="H37" s="967"/>
      <c r="I37" s="967"/>
      <c r="J37" s="1130"/>
      <c r="K37" s="967"/>
      <c r="L37" s="408"/>
      <c r="M37" s="444"/>
    </row>
    <row r="38" spans="1:13" ht="18" customHeight="1">
      <c r="A38" s="1090" t="s">
        <v>71</v>
      </c>
      <c r="B38" s="1093" t="s">
        <v>179</v>
      </c>
      <c r="C38" s="1109"/>
      <c r="D38" s="1105"/>
      <c r="E38" s="417"/>
      <c r="F38" s="965"/>
      <c r="G38" s="965"/>
      <c r="H38" s="965"/>
      <c r="I38" s="965"/>
      <c r="J38" s="1130"/>
      <c r="K38" s="965"/>
      <c r="L38" s="1123"/>
      <c r="M38" s="444"/>
    </row>
    <row r="39" spans="1:13" ht="18" customHeight="1">
      <c r="A39" s="1090"/>
      <c r="B39" s="1094" t="s">
        <v>325</v>
      </c>
      <c r="C39" s="1109"/>
      <c r="D39" s="1105"/>
      <c r="E39" s="417"/>
      <c r="F39" s="965"/>
      <c r="G39" s="965"/>
      <c r="H39" s="965"/>
      <c r="I39" s="965"/>
      <c r="J39" s="1130"/>
      <c r="K39" s="965"/>
      <c r="L39" s="1123"/>
      <c r="M39" s="444"/>
    </row>
    <row r="40" spans="1:13" ht="18" customHeight="1">
      <c r="A40" s="1090"/>
      <c r="B40" s="1094" t="s">
        <v>326</v>
      </c>
      <c r="C40" s="1109"/>
      <c r="D40" s="1101"/>
      <c r="E40" s="414"/>
      <c r="F40" s="969"/>
      <c r="G40" s="969"/>
      <c r="H40" s="969"/>
      <c r="I40" s="969"/>
      <c r="J40" s="1134"/>
      <c r="K40" s="969"/>
      <c r="L40" s="1119"/>
      <c r="M40" s="444"/>
    </row>
    <row r="41" spans="1:13" ht="18" customHeight="1" thickBot="1">
      <c r="A41" s="1092" t="s">
        <v>188</v>
      </c>
      <c r="B41" s="1095" t="s">
        <v>138</v>
      </c>
      <c r="C41" s="1110"/>
      <c r="D41" s="1107"/>
      <c r="E41" s="418">
        <v>179.45</v>
      </c>
      <c r="F41" s="1114"/>
      <c r="G41" s="972">
        <v>184.74</v>
      </c>
      <c r="H41" s="972">
        <f t="shared" ref="H41:M41" si="3">H36</f>
        <v>266.43478260869534</v>
      </c>
      <c r="I41" s="972">
        <f t="shared" si="3"/>
        <v>52.199955167002038</v>
      </c>
      <c r="J41" s="1138" t="e">
        <f t="shared" si="3"/>
        <v>#DIV/0!</v>
      </c>
      <c r="K41" s="972">
        <f t="shared" si="3"/>
        <v>49.906558079724839</v>
      </c>
      <c r="L41" s="420">
        <f t="shared" si="3"/>
        <v>51.027500821738052</v>
      </c>
      <c r="M41" s="445" t="e">
        <f t="shared" si="3"/>
        <v>#DIV/0!</v>
      </c>
    </row>
    <row r="42" spans="1:13" s="90" customFormat="1" ht="13.5" customHeight="1">
      <c r="A42" s="86"/>
      <c r="B42" s="87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1:13" s="90" customFormat="1" ht="13.5" customHeight="1">
      <c r="A43" s="86"/>
      <c r="B43" s="87"/>
      <c r="C43" s="88"/>
      <c r="D43" s="89"/>
      <c r="E43" s="89"/>
      <c r="F43" s="89"/>
      <c r="G43" s="89"/>
      <c r="H43" s="89"/>
      <c r="I43" s="89"/>
      <c r="J43" s="89"/>
      <c r="K43" s="89"/>
      <c r="L43" s="89"/>
      <c r="M43" s="89"/>
    </row>
    <row r="44" spans="1:13" s="90" customFormat="1" ht="13.5" customHeight="1">
      <c r="A44" s="86"/>
      <c r="B44" s="724" t="s">
        <v>377</v>
      </c>
      <c r="C44" s="88"/>
      <c r="D44" s="89"/>
      <c r="E44" s="89"/>
      <c r="F44" s="89"/>
      <c r="G44" s="89"/>
      <c r="H44" s="89"/>
      <c r="I44" s="726" t="s">
        <v>436</v>
      </c>
      <c r="J44" s="89"/>
      <c r="K44" s="89"/>
      <c r="L44" s="89"/>
      <c r="M44" s="89"/>
    </row>
    <row r="45" spans="1:13" s="90" customFormat="1" ht="13.5" customHeight="1">
      <c r="A45" s="86"/>
      <c r="B45" s="724" t="s">
        <v>378</v>
      </c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</row>
    <row r="46" spans="1:13" s="90" customFormat="1" ht="13.5" customHeight="1">
      <c r="A46" s="86"/>
      <c r="B46" s="724" t="s">
        <v>379</v>
      </c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</row>
    <row r="47" spans="1:13" s="90" customFormat="1" ht="13.5" customHeight="1">
      <c r="A47" s="86"/>
      <c r="B47" s="87"/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1:13">
      <c r="D48" s="133"/>
      <c r="E48" s="133"/>
      <c r="F48" s="133"/>
      <c r="G48" s="133"/>
      <c r="H48" s="133"/>
      <c r="I48" s="133"/>
      <c r="J48" s="133"/>
      <c r="K48" s="133"/>
      <c r="L48" s="133"/>
      <c r="M48" s="133"/>
    </row>
    <row r="49" spans="1:13">
      <c r="C49" s="84"/>
      <c r="D49" s="133"/>
      <c r="E49" s="133"/>
      <c r="F49" s="133"/>
      <c r="G49" s="133"/>
      <c r="H49" s="133"/>
      <c r="I49" s="133"/>
      <c r="J49" s="133"/>
      <c r="K49" s="133"/>
      <c r="L49" s="133"/>
      <c r="M49" s="133"/>
    </row>
    <row r="50" spans="1:13" s="57" customFormat="1" ht="15.6">
      <c r="A50" s="56"/>
      <c r="B50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1:13">
      <c r="C51" s="84"/>
      <c r="D51" s="133"/>
      <c r="E51" s="133"/>
      <c r="F51" s="133"/>
      <c r="G51" s="133"/>
      <c r="H51" s="133"/>
      <c r="I51" s="133"/>
      <c r="J51" s="133"/>
      <c r="K51" s="133"/>
      <c r="L51" s="133"/>
      <c r="M51" s="133"/>
    </row>
    <row r="52" spans="1:13">
      <c r="B52"/>
      <c r="C52" s="84"/>
      <c r="D52" s="133"/>
      <c r="E52" s="133"/>
      <c r="F52" s="133"/>
      <c r="G52" s="133"/>
      <c r="H52" s="133"/>
      <c r="I52" s="133"/>
      <c r="J52" s="133"/>
      <c r="K52" s="133"/>
      <c r="L52" s="133"/>
      <c r="M52" s="133"/>
    </row>
    <row r="53" spans="1:13">
      <c r="C53" s="84"/>
      <c r="D53" s="133"/>
      <c r="E53" s="133"/>
      <c r="F53" s="133"/>
      <c r="G53" s="133"/>
      <c r="H53" s="133"/>
      <c r="I53" s="133"/>
      <c r="J53" s="133"/>
      <c r="K53" s="133"/>
      <c r="L53" s="133"/>
      <c r="M53" s="133"/>
    </row>
    <row r="54" spans="1:13">
      <c r="C54" s="84"/>
      <c r="D54" s="133"/>
      <c r="E54" s="133"/>
      <c r="F54" s="133"/>
      <c r="G54" s="133"/>
      <c r="H54" s="133"/>
      <c r="I54" s="133"/>
      <c r="J54" s="133"/>
      <c r="K54" s="133"/>
      <c r="L54" s="133"/>
      <c r="M54" s="133"/>
    </row>
    <row r="55" spans="1:13">
      <c r="C55" s="84"/>
      <c r="D55" s="133"/>
      <c r="E55" s="133"/>
      <c r="F55" s="133"/>
      <c r="G55" s="133"/>
      <c r="H55" s="133"/>
      <c r="I55" s="133"/>
      <c r="J55" s="133"/>
      <c r="K55" s="133"/>
      <c r="L55" s="133"/>
      <c r="M55" s="133"/>
    </row>
    <row r="56" spans="1:13">
      <c r="C56" s="84"/>
      <c r="D56" s="133"/>
      <c r="E56" s="133"/>
      <c r="F56" s="133"/>
      <c r="G56" s="133"/>
      <c r="H56" s="133"/>
      <c r="I56" s="133"/>
      <c r="J56" s="133"/>
      <c r="K56" s="133"/>
      <c r="L56" s="133"/>
      <c r="M56" s="133"/>
    </row>
    <row r="57" spans="1:13">
      <c r="C57" s="84"/>
      <c r="D57" s="133"/>
      <c r="E57" s="133"/>
      <c r="F57" s="133"/>
      <c r="G57" s="133"/>
      <c r="H57" s="133"/>
      <c r="I57" s="133"/>
      <c r="J57" s="133"/>
      <c r="K57" s="133"/>
      <c r="L57" s="133"/>
      <c r="M57" s="133"/>
    </row>
    <row r="58" spans="1:13">
      <c r="C58" s="84"/>
      <c r="D58" s="133"/>
      <c r="E58" s="133"/>
      <c r="F58" s="133"/>
      <c r="G58" s="133"/>
      <c r="H58" s="133"/>
      <c r="I58" s="133"/>
      <c r="J58" s="133"/>
      <c r="K58" s="133"/>
      <c r="L58" s="133"/>
      <c r="M58" s="133"/>
    </row>
    <row r="59" spans="1:13">
      <c r="C59" s="84"/>
      <c r="D59" s="133"/>
      <c r="E59" s="133"/>
      <c r="F59" s="133"/>
      <c r="G59" s="133"/>
      <c r="H59" s="133"/>
      <c r="I59" s="133"/>
      <c r="J59" s="133"/>
      <c r="K59" s="133"/>
      <c r="L59" s="133"/>
      <c r="M59" s="133"/>
    </row>
    <row r="60" spans="1:13">
      <c r="C60" s="84"/>
      <c r="D60" s="133"/>
      <c r="E60" s="133"/>
      <c r="F60" s="133"/>
      <c r="G60" s="133"/>
      <c r="H60" s="133"/>
      <c r="I60" s="133"/>
      <c r="J60" s="133"/>
      <c r="K60" s="133"/>
      <c r="L60" s="133"/>
      <c r="M60" s="133"/>
    </row>
    <row r="61" spans="1:13">
      <c r="C61" s="84"/>
      <c r="D61" s="133"/>
      <c r="E61" s="133"/>
      <c r="F61" s="133"/>
      <c r="G61" s="133"/>
      <c r="H61" s="133"/>
      <c r="I61" s="133"/>
      <c r="J61" s="133"/>
      <c r="K61" s="133"/>
      <c r="L61" s="133"/>
      <c r="M61" s="133"/>
    </row>
    <row r="62" spans="1:13">
      <c r="C62" s="84"/>
      <c r="D62" s="133"/>
      <c r="E62" s="133"/>
      <c r="F62" s="133"/>
      <c r="G62" s="133"/>
      <c r="H62" s="133"/>
      <c r="I62" s="133"/>
      <c r="J62" s="133"/>
      <c r="K62" s="133"/>
      <c r="L62" s="133"/>
      <c r="M62" s="133"/>
    </row>
    <row r="63" spans="1:13">
      <c r="C63" s="84"/>
      <c r="D63" s="133"/>
      <c r="E63" s="133"/>
      <c r="F63" s="133"/>
      <c r="G63" s="133"/>
      <c r="H63" s="133"/>
      <c r="I63" s="133"/>
      <c r="J63" s="133"/>
      <c r="K63" s="133"/>
      <c r="L63" s="133"/>
      <c r="M63" s="133"/>
    </row>
    <row r="64" spans="1:13">
      <c r="C64" s="84"/>
      <c r="D64" s="133"/>
      <c r="E64" s="133"/>
      <c r="F64" s="133"/>
      <c r="G64" s="133"/>
      <c r="H64" s="133"/>
      <c r="I64" s="133"/>
      <c r="J64" s="133"/>
      <c r="K64" s="133"/>
      <c r="L64" s="133"/>
      <c r="M64" s="133"/>
    </row>
    <row r="65" spans="3:13">
      <c r="C65" s="84"/>
      <c r="D65" s="133"/>
      <c r="E65" s="133"/>
      <c r="F65" s="133"/>
      <c r="G65" s="133"/>
      <c r="H65" s="133"/>
      <c r="I65" s="133"/>
      <c r="J65" s="133"/>
      <c r="K65" s="133"/>
      <c r="L65" s="133"/>
      <c r="M65" s="133"/>
    </row>
    <row r="66" spans="3:13">
      <c r="C66" s="84"/>
      <c r="D66" s="133"/>
      <c r="E66" s="133"/>
      <c r="F66" s="133"/>
      <c r="G66" s="133"/>
      <c r="H66" s="133"/>
      <c r="I66" s="133"/>
      <c r="J66" s="133"/>
      <c r="K66" s="133"/>
      <c r="L66" s="133"/>
      <c r="M66" s="133"/>
    </row>
    <row r="67" spans="3:13">
      <c r="C67" s="84"/>
      <c r="D67" s="133"/>
      <c r="E67" s="133"/>
      <c r="F67" s="133"/>
      <c r="G67" s="133"/>
      <c r="H67" s="133"/>
      <c r="I67" s="133"/>
      <c r="J67" s="133"/>
      <c r="K67" s="133"/>
      <c r="L67" s="133"/>
      <c r="M67" s="133"/>
    </row>
    <row r="68" spans="3:13">
      <c r="C68" s="84"/>
      <c r="D68" s="133"/>
      <c r="E68" s="133"/>
      <c r="F68" s="133"/>
      <c r="G68" s="133"/>
      <c r="H68" s="133"/>
      <c r="I68" s="133"/>
      <c r="J68" s="133"/>
      <c r="K68" s="133"/>
      <c r="L68" s="133"/>
      <c r="M68" s="133"/>
    </row>
    <row r="69" spans="3:13">
      <c r="C69" s="84"/>
      <c r="D69" s="133"/>
      <c r="E69" s="133"/>
      <c r="F69" s="133"/>
      <c r="G69" s="133"/>
      <c r="H69" s="133"/>
      <c r="I69" s="133"/>
      <c r="J69" s="133"/>
      <c r="K69" s="133"/>
      <c r="L69" s="133"/>
      <c r="M69" s="133"/>
    </row>
    <row r="70" spans="3:13">
      <c r="C70" s="84"/>
    </row>
    <row r="71" spans="3:13">
      <c r="C71" s="84"/>
    </row>
    <row r="72" spans="3:13">
      <c r="C72" s="84"/>
    </row>
    <row r="73" spans="3:13">
      <c r="C73" s="84"/>
    </row>
    <row r="74" spans="3:13">
      <c r="C74" s="84"/>
    </row>
    <row r="75" spans="3:13">
      <c r="C75" s="84"/>
    </row>
    <row r="76" spans="3:13">
      <c r="C76" s="84"/>
    </row>
    <row r="77" spans="3:13">
      <c r="C77" s="84"/>
    </row>
    <row r="78" spans="3:13">
      <c r="C78" s="84"/>
    </row>
    <row r="79" spans="3:13">
      <c r="C79" s="84"/>
    </row>
    <row r="80" spans="3:13">
      <c r="C80" s="84"/>
    </row>
    <row r="81" spans="3:3">
      <c r="C81" s="84"/>
    </row>
    <row r="82" spans="3:3">
      <c r="C82" s="84"/>
    </row>
    <row r="83" spans="3:3">
      <c r="C83" s="84"/>
    </row>
    <row r="84" spans="3:3">
      <c r="C84" s="84"/>
    </row>
    <row r="85" spans="3:3">
      <c r="C85" s="84"/>
    </row>
    <row r="86" spans="3:3">
      <c r="C86" s="84"/>
    </row>
    <row r="87" spans="3:3">
      <c r="C87" s="84"/>
    </row>
    <row r="88" spans="3:3">
      <c r="C88" s="84"/>
    </row>
    <row r="89" spans="3:3">
      <c r="C89" s="84"/>
    </row>
    <row r="90" spans="3:3">
      <c r="C90" s="84"/>
    </row>
    <row r="91" spans="3:3">
      <c r="C91" s="84"/>
    </row>
    <row r="92" spans="3:3">
      <c r="C92" s="84"/>
    </row>
    <row r="93" spans="3:3">
      <c r="C93" s="84"/>
    </row>
    <row r="94" spans="3:3">
      <c r="C94" s="84"/>
    </row>
    <row r="95" spans="3:3">
      <c r="C95" s="84"/>
    </row>
    <row r="96" spans="3:3">
      <c r="C96" s="84"/>
    </row>
    <row r="97" spans="3:3">
      <c r="C97" s="84"/>
    </row>
    <row r="98" spans="3:3">
      <c r="C98" s="84"/>
    </row>
    <row r="99" spans="3:3">
      <c r="C99" s="84"/>
    </row>
    <row r="100" spans="3:3">
      <c r="C100" s="84"/>
    </row>
    <row r="101" spans="3:3">
      <c r="C101" s="84"/>
    </row>
    <row r="102" spans="3:3">
      <c r="C102" s="84"/>
    </row>
    <row r="103" spans="3:3">
      <c r="C103" s="84"/>
    </row>
    <row r="104" spans="3:3">
      <c r="C104" s="84"/>
    </row>
    <row r="105" spans="3:3">
      <c r="C105" s="84"/>
    </row>
    <row r="106" spans="3:3">
      <c r="C106" s="84"/>
    </row>
    <row r="107" spans="3:3">
      <c r="C107" s="84"/>
    </row>
    <row r="108" spans="3:3">
      <c r="C108" s="84"/>
    </row>
    <row r="109" spans="3:3">
      <c r="C109" s="84"/>
    </row>
    <row r="110" spans="3:3">
      <c r="C110" s="84"/>
    </row>
    <row r="111" spans="3:3">
      <c r="C111" s="84"/>
    </row>
    <row r="112" spans="3:3">
      <c r="C112" s="84"/>
    </row>
    <row r="113" spans="3:3">
      <c r="C113" s="84"/>
    </row>
    <row r="114" spans="3:3">
      <c r="C114" s="84"/>
    </row>
    <row r="115" spans="3:3">
      <c r="C115" s="84"/>
    </row>
    <row r="116" spans="3:3">
      <c r="C116" s="84"/>
    </row>
    <row r="117" spans="3:3">
      <c r="C117" s="84"/>
    </row>
    <row r="118" spans="3:3">
      <c r="C118" s="84"/>
    </row>
    <row r="119" spans="3:3">
      <c r="C119" s="84"/>
    </row>
    <row r="120" spans="3:3">
      <c r="C120" s="84"/>
    </row>
    <row r="121" spans="3:3">
      <c r="C121" s="84"/>
    </row>
    <row r="122" spans="3:3">
      <c r="C122" s="84"/>
    </row>
    <row r="123" spans="3:3">
      <c r="C123" s="84"/>
    </row>
    <row r="124" spans="3:3">
      <c r="C124" s="84"/>
    </row>
    <row r="125" spans="3:3">
      <c r="C125" s="84"/>
    </row>
    <row r="126" spans="3:3">
      <c r="C126" s="84"/>
    </row>
    <row r="127" spans="3:3">
      <c r="C127" s="84"/>
    </row>
    <row r="128" spans="3:3">
      <c r="C128" s="84"/>
    </row>
    <row r="129" spans="3:3">
      <c r="C129" s="84"/>
    </row>
    <row r="130" spans="3:3">
      <c r="C130" s="84"/>
    </row>
    <row r="131" spans="3:3">
      <c r="C131" s="84"/>
    </row>
    <row r="132" spans="3:3">
      <c r="C132" s="84"/>
    </row>
    <row r="133" spans="3:3">
      <c r="C133" s="84"/>
    </row>
    <row r="134" spans="3:3">
      <c r="C134" s="84"/>
    </row>
    <row r="135" spans="3:3">
      <c r="C135" s="84"/>
    </row>
    <row r="136" spans="3:3">
      <c r="C136" s="84"/>
    </row>
    <row r="137" spans="3:3">
      <c r="C137" s="84"/>
    </row>
    <row r="138" spans="3:3">
      <c r="C138" s="84"/>
    </row>
    <row r="139" spans="3:3">
      <c r="C139" s="84"/>
    </row>
    <row r="140" spans="3:3">
      <c r="C140" s="84"/>
    </row>
    <row r="141" spans="3:3">
      <c r="C141" s="84"/>
    </row>
    <row r="142" spans="3:3">
      <c r="C142" s="84"/>
    </row>
    <row r="143" spans="3:3">
      <c r="C143" s="84"/>
    </row>
    <row r="144" spans="3:3">
      <c r="C144" s="84"/>
    </row>
    <row r="145" spans="3:3">
      <c r="C145" s="84"/>
    </row>
    <row r="146" spans="3:3">
      <c r="C146" s="84"/>
    </row>
    <row r="147" spans="3:3">
      <c r="C147" s="84"/>
    </row>
    <row r="148" spans="3:3">
      <c r="C148" s="84"/>
    </row>
    <row r="149" spans="3:3">
      <c r="C149" s="84"/>
    </row>
    <row r="150" spans="3:3">
      <c r="C150" s="84"/>
    </row>
    <row r="151" spans="3:3">
      <c r="C151" s="84"/>
    </row>
    <row r="152" spans="3:3">
      <c r="C152" s="84"/>
    </row>
    <row r="153" spans="3:3">
      <c r="C153" s="84"/>
    </row>
    <row r="154" spans="3:3">
      <c r="C154" s="84"/>
    </row>
    <row r="155" spans="3:3">
      <c r="C155" s="84"/>
    </row>
    <row r="156" spans="3:3">
      <c r="C156" s="84"/>
    </row>
    <row r="157" spans="3:3">
      <c r="C157" s="84"/>
    </row>
    <row r="158" spans="3:3">
      <c r="C158" s="84"/>
    </row>
    <row r="159" spans="3:3">
      <c r="C159" s="84"/>
    </row>
    <row r="160" spans="3:3">
      <c r="C160" s="84"/>
    </row>
    <row r="161" spans="3:3">
      <c r="C161" s="84"/>
    </row>
    <row r="162" spans="3:3">
      <c r="C162" s="84"/>
    </row>
    <row r="163" spans="3:3">
      <c r="C163" s="84"/>
    </row>
    <row r="164" spans="3:3">
      <c r="C164" s="84"/>
    </row>
    <row r="165" spans="3:3">
      <c r="C165" s="84"/>
    </row>
    <row r="166" spans="3:3">
      <c r="C166" s="84"/>
    </row>
    <row r="167" spans="3:3">
      <c r="C167" s="84"/>
    </row>
    <row r="168" spans="3:3">
      <c r="C168" s="84"/>
    </row>
    <row r="169" spans="3:3">
      <c r="C169" s="84"/>
    </row>
    <row r="170" spans="3:3">
      <c r="C170" s="84"/>
    </row>
    <row r="171" spans="3:3">
      <c r="C171" s="84"/>
    </row>
    <row r="172" spans="3:3">
      <c r="C172" s="84"/>
    </row>
    <row r="173" spans="3:3">
      <c r="C173" s="84"/>
    </row>
    <row r="174" spans="3:3">
      <c r="C174" s="84"/>
    </row>
    <row r="175" spans="3:3">
      <c r="C175" s="84"/>
    </row>
    <row r="176" spans="3:3">
      <c r="C176" s="84"/>
    </row>
    <row r="177" spans="3:3">
      <c r="C177" s="84"/>
    </row>
    <row r="178" spans="3:3">
      <c r="C178" s="84"/>
    </row>
    <row r="179" spans="3:3">
      <c r="C179" s="84"/>
    </row>
    <row r="180" spans="3:3">
      <c r="C180" s="84"/>
    </row>
    <row r="181" spans="3:3">
      <c r="C181" s="84"/>
    </row>
    <row r="182" spans="3:3">
      <c r="C182" s="84"/>
    </row>
    <row r="183" spans="3:3">
      <c r="C183" s="84"/>
    </row>
    <row r="184" spans="3:3">
      <c r="C184" s="84"/>
    </row>
    <row r="185" spans="3:3">
      <c r="C185" s="84"/>
    </row>
    <row r="186" spans="3:3">
      <c r="C186" s="84"/>
    </row>
    <row r="187" spans="3:3">
      <c r="C187" s="84"/>
    </row>
    <row r="188" spans="3:3">
      <c r="C188" s="84"/>
    </row>
    <row r="189" spans="3:3">
      <c r="C189" s="84"/>
    </row>
    <row r="190" spans="3:3">
      <c r="C190" s="84"/>
    </row>
    <row r="191" spans="3:3">
      <c r="C191" s="84"/>
    </row>
    <row r="192" spans="3:3">
      <c r="C192" s="84"/>
    </row>
    <row r="193" spans="3:3">
      <c r="C193" s="84"/>
    </row>
    <row r="194" spans="3:3">
      <c r="C194" s="84"/>
    </row>
    <row r="195" spans="3:3">
      <c r="C195" s="84"/>
    </row>
    <row r="196" spans="3:3">
      <c r="C196" s="84"/>
    </row>
    <row r="197" spans="3:3">
      <c r="C197" s="84"/>
    </row>
    <row r="198" spans="3:3">
      <c r="C198" s="84"/>
    </row>
    <row r="199" spans="3:3">
      <c r="C199" s="84"/>
    </row>
    <row r="200" spans="3:3">
      <c r="C200" s="84"/>
    </row>
    <row r="201" spans="3:3">
      <c r="C201" s="84"/>
    </row>
    <row r="202" spans="3:3">
      <c r="C202" s="84"/>
    </row>
    <row r="203" spans="3:3">
      <c r="C203" s="84"/>
    </row>
    <row r="204" spans="3:3">
      <c r="C204" s="84"/>
    </row>
    <row r="205" spans="3:3">
      <c r="C205" s="84"/>
    </row>
    <row r="206" spans="3:3">
      <c r="C206" s="84"/>
    </row>
    <row r="207" spans="3:3">
      <c r="C207" s="84"/>
    </row>
    <row r="208" spans="3:3">
      <c r="C208" s="84"/>
    </row>
    <row r="209" spans="3:3">
      <c r="C209" s="84"/>
    </row>
    <row r="210" spans="3:3">
      <c r="C210" s="84"/>
    </row>
    <row r="211" spans="3:3">
      <c r="C211" s="84"/>
    </row>
    <row r="212" spans="3:3">
      <c r="C212" s="84"/>
    </row>
    <row r="213" spans="3:3">
      <c r="C213" s="84"/>
    </row>
    <row r="214" spans="3:3">
      <c r="C214" s="84"/>
    </row>
    <row r="215" spans="3:3">
      <c r="C215" s="84"/>
    </row>
    <row r="216" spans="3:3">
      <c r="C216" s="84"/>
    </row>
    <row r="217" spans="3:3">
      <c r="C217" s="84"/>
    </row>
    <row r="218" spans="3:3">
      <c r="C218" s="84"/>
    </row>
    <row r="219" spans="3:3">
      <c r="C219" s="84"/>
    </row>
    <row r="220" spans="3:3">
      <c r="C220" s="84"/>
    </row>
    <row r="221" spans="3:3">
      <c r="C221" s="84"/>
    </row>
    <row r="222" spans="3:3">
      <c r="C222" s="84"/>
    </row>
    <row r="223" spans="3:3">
      <c r="C223" s="84"/>
    </row>
    <row r="224" spans="3:3">
      <c r="C224" s="84"/>
    </row>
    <row r="225" spans="3:3">
      <c r="C225" s="84"/>
    </row>
    <row r="226" spans="3:3">
      <c r="C226" s="84"/>
    </row>
  </sheetData>
  <mergeCells count="14">
    <mergeCell ref="M3:M4"/>
    <mergeCell ref="A2:M2"/>
    <mergeCell ref="A3:A4"/>
    <mergeCell ref="B3:B4"/>
    <mergeCell ref="C3:C4"/>
    <mergeCell ref="D3:D4"/>
    <mergeCell ref="I3:I4"/>
    <mergeCell ref="E3:E4"/>
    <mergeCell ref="H3:H4"/>
    <mergeCell ref="K3:K4"/>
    <mergeCell ref="L3:L4"/>
    <mergeCell ref="G3:G4"/>
    <mergeCell ref="F3:F4"/>
    <mergeCell ref="J3:J4"/>
  </mergeCells>
  <phoneticPr fontId="4" type="noConversion"/>
  <pageMargins left="0.70866141732283472" right="0.70866141732283472" top="0.43307086614173229" bottom="0.43307086614173229" header="0.31496062992125984" footer="0.31496062992125984"/>
  <pageSetup paperSize="9" scale="58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Y86"/>
  <sheetViews>
    <sheetView zoomScale="80" workbookViewId="0">
      <pane xSplit="5" ySplit="6" topLeftCell="F48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/>
  <cols>
    <col min="1" max="1" width="7.33203125" style="330" bestFit="1" customWidth="1"/>
    <col min="2" max="2" width="40.109375" style="330" customWidth="1"/>
    <col min="3" max="5" width="12.6640625" style="359" hidden="1" customWidth="1"/>
    <col min="6" max="7" width="12.6640625" style="359" customWidth="1"/>
    <col min="8" max="8" width="12.6640625" style="359" hidden="1" customWidth="1"/>
    <col min="9" max="9" width="12.6640625" style="359" customWidth="1"/>
    <col min="10" max="10" width="12.6640625" style="359" hidden="1" customWidth="1"/>
    <col min="11" max="11" width="14.44140625" style="359" customWidth="1"/>
    <col min="12" max="12" width="13.33203125" style="359" customWidth="1"/>
    <col min="13" max="13" width="13.109375" style="330" customWidth="1"/>
    <col min="14" max="14" width="12.6640625" style="330" hidden="1" customWidth="1"/>
    <col min="15" max="16" width="12.6640625" style="330" customWidth="1"/>
    <col min="17" max="17" width="14.33203125" style="330" customWidth="1"/>
    <col min="18" max="16384" width="8.88671875" style="330"/>
  </cols>
  <sheetData>
    <row r="1" spans="1:25" ht="15.6">
      <c r="A1" s="305"/>
      <c r="B1" s="1758" t="s">
        <v>359</v>
      </c>
      <c r="C1" s="1758"/>
      <c r="D1" s="1758"/>
      <c r="E1" s="1758"/>
      <c r="F1" s="1758"/>
      <c r="G1" s="1758"/>
      <c r="H1" s="1758"/>
      <c r="I1" s="1758"/>
      <c r="J1" s="1758"/>
      <c r="K1" s="1758"/>
      <c r="L1" s="1758"/>
      <c r="M1" s="1758"/>
      <c r="N1" s="11"/>
      <c r="O1" s="11"/>
      <c r="P1" s="11"/>
      <c r="Q1" s="109" t="s">
        <v>0</v>
      </c>
    </row>
    <row r="2" spans="1:25" ht="16.5" customHeight="1">
      <c r="A2" s="1757" t="s">
        <v>441</v>
      </c>
      <c r="B2" s="1757"/>
      <c r="C2" s="1757"/>
      <c r="D2" s="1757"/>
      <c r="E2" s="1757"/>
      <c r="F2" s="1757"/>
      <c r="G2" s="1757"/>
      <c r="H2" s="1757"/>
      <c r="I2" s="1757"/>
      <c r="J2" s="1757"/>
      <c r="K2" s="1757"/>
      <c r="L2" s="1757"/>
      <c r="M2" s="1757"/>
      <c r="N2" s="1757"/>
      <c r="O2" s="1757"/>
      <c r="P2" s="1757"/>
      <c r="Q2" s="1757"/>
    </row>
    <row r="3" spans="1:25" s="6" customFormat="1" ht="19.5" customHeight="1">
      <c r="A3" s="1"/>
      <c r="D3" s="331"/>
      <c r="E3" s="331"/>
      <c r="F3" s="331"/>
      <c r="G3" s="331"/>
      <c r="H3" s="331"/>
      <c r="I3" s="331"/>
      <c r="J3" s="331"/>
      <c r="K3" s="331"/>
      <c r="L3" s="331"/>
      <c r="Q3" s="332" t="s">
        <v>95</v>
      </c>
      <c r="Y3" s="1214"/>
    </row>
    <row r="4" spans="1:25" s="6" customFormat="1" ht="19.5" customHeight="1" thickBot="1">
      <c r="A4" s="1"/>
      <c r="D4" s="331"/>
      <c r="E4" s="331"/>
      <c r="F4" s="331"/>
      <c r="G4" s="331"/>
      <c r="H4" s="331">
        <f>'1.25'!D6</f>
        <v>0</v>
      </c>
      <c r="I4" s="331"/>
      <c r="J4" s="331"/>
      <c r="K4" s="331"/>
      <c r="L4" s="331"/>
    </row>
    <row r="5" spans="1:25" s="334" customFormat="1" ht="70.5" customHeight="1" thickBot="1">
      <c r="A5" s="159" t="s">
        <v>1</v>
      </c>
      <c r="B5" s="160" t="s">
        <v>2</v>
      </c>
      <c r="C5" s="160" t="s">
        <v>75</v>
      </c>
      <c r="D5" s="160" t="s">
        <v>72</v>
      </c>
      <c r="E5" s="306" t="s">
        <v>73</v>
      </c>
      <c r="F5" s="730" t="s">
        <v>458</v>
      </c>
      <c r="G5" s="369" t="s">
        <v>450</v>
      </c>
      <c r="H5" s="316" t="s">
        <v>74</v>
      </c>
      <c r="I5" s="730" t="s">
        <v>459</v>
      </c>
      <c r="J5" s="383" t="s">
        <v>354</v>
      </c>
      <c r="K5" s="732" t="s">
        <v>460</v>
      </c>
      <c r="L5" s="732" t="s">
        <v>453</v>
      </c>
      <c r="M5" s="732" t="s">
        <v>454</v>
      </c>
      <c r="N5" s="388" t="s">
        <v>358</v>
      </c>
      <c r="O5" s="733" t="s">
        <v>455</v>
      </c>
      <c r="P5" s="1182" t="s">
        <v>484</v>
      </c>
      <c r="Q5" s="879"/>
    </row>
    <row r="6" spans="1:25" s="340" customFormat="1" ht="13.8" thickBot="1">
      <c r="A6" s="162">
        <v>1</v>
      </c>
      <c r="B6" s="163">
        <v>2</v>
      </c>
      <c r="C6" s="335">
        <v>3</v>
      </c>
      <c r="D6" s="335">
        <v>4</v>
      </c>
      <c r="E6" s="336">
        <v>3</v>
      </c>
      <c r="F6" s="370">
        <v>4</v>
      </c>
      <c r="G6" s="337">
        <v>3</v>
      </c>
      <c r="H6" s="338">
        <v>5</v>
      </c>
      <c r="I6" s="370">
        <v>4</v>
      </c>
      <c r="J6" s="384">
        <v>7</v>
      </c>
      <c r="K6" s="1157">
        <v>5</v>
      </c>
      <c r="L6" s="1157">
        <v>6</v>
      </c>
      <c r="M6" s="1197">
        <v>7</v>
      </c>
      <c r="N6" s="389">
        <v>11</v>
      </c>
      <c r="O6" s="400">
        <v>8</v>
      </c>
      <c r="P6" s="1183"/>
      <c r="Q6" s="339">
        <v>9</v>
      </c>
    </row>
    <row r="7" spans="1:25" s="72" customFormat="1" ht="13.5" customHeight="1">
      <c r="A7" s="164" t="s">
        <v>3</v>
      </c>
      <c r="B7" s="368" t="s">
        <v>4</v>
      </c>
      <c r="C7" s="161"/>
      <c r="D7" s="161"/>
      <c r="E7" s="307"/>
      <c r="F7" s="447"/>
      <c r="G7" s="447"/>
      <c r="H7" s="446"/>
      <c r="I7" s="447"/>
      <c r="J7" s="1140"/>
      <c r="K7" s="1270"/>
      <c r="L7" s="1270"/>
      <c r="M7" s="1198"/>
      <c r="N7" s="1271"/>
      <c r="O7" s="1272"/>
      <c r="P7" s="1184"/>
      <c r="Q7" s="896"/>
    </row>
    <row r="8" spans="1:25" s="72" customFormat="1" ht="13.5" customHeight="1">
      <c r="A8" s="165" t="s">
        <v>5</v>
      </c>
      <c r="B8" s="101" t="s">
        <v>6</v>
      </c>
      <c r="C8" s="102">
        <v>22</v>
      </c>
      <c r="D8" s="102">
        <v>51</v>
      </c>
      <c r="E8" s="308"/>
      <c r="F8" s="371">
        <f>'1.15передача и сбыт'!F8*0.95</f>
        <v>951.9</v>
      </c>
      <c r="G8" s="371">
        <f>'1.15передача и сбыт'!G8*0.95</f>
        <v>496.28047499999997</v>
      </c>
      <c r="H8" s="107"/>
      <c r="I8" s="371">
        <v>416</v>
      </c>
      <c r="J8" s="1141"/>
      <c r="K8" s="1270">
        <f>'1.15передача и сбыт'!K8*0.95</f>
        <v>228</v>
      </c>
      <c r="L8" s="1270">
        <f>O8/2</f>
        <v>121.18199999999999</v>
      </c>
      <c r="M8" s="1198">
        <f>O8/2</f>
        <v>121.18199999999999</v>
      </c>
      <c r="N8" s="1273" t="e">
        <f>H8*$N$68/$Q$68</f>
        <v>#DIV/0!</v>
      </c>
      <c r="O8" s="1272">
        <f>'1.15передача и сбыт'!O8*0.95</f>
        <v>242.36399999999998</v>
      </c>
      <c r="P8" s="1185"/>
      <c r="Q8" s="897"/>
    </row>
    <row r="9" spans="1:25" s="64" customFormat="1" ht="13.5" customHeight="1">
      <c r="A9" s="166"/>
      <c r="B9" s="63" t="s">
        <v>7</v>
      </c>
      <c r="C9" s="74">
        <v>22</v>
      </c>
      <c r="D9" s="74">
        <v>51</v>
      </c>
      <c r="E9" s="309"/>
      <c r="F9" s="371"/>
      <c r="G9" s="372"/>
      <c r="H9" s="448"/>
      <c r="I9" s="372"/>
      <c r="J9" s="1142"/>
      <c r="K9" s="1159"/>
      <c r="L9" s="1159"/>
      <c r="M9" s="1198">
        <f>L9+K9</f>
        <v>0</v>
      </c>
      <c r="N9" s="1273" t="e">
        <f>H9*$N$68/$Q$68</f>
        <v>#DIV/0!</v>
      </c>
      <c r="O9" s="401"/>
      <c r="P9" s="1185"/>
      <c r="Q9" s="897">
        <f>Q8</f>
        <v>0</v>
      </c>
    </row>
    <row r="10" spans="1:25" s="72" customFormat="1" ht="27" customHeight="1">
      <c r="A10" s="165" t="s">
        <v>8</v>
      </c>
      <c r="B10" s="101" t="s">
        <v>55</v>
      </c>
      <c r="C10" s="102">
        <v>384</v>
      </c>
      <c r="D10" s="102">
        <v>1547</v>
      </c>
      <c r="E10" s="308"/>
      <c r="F10" s="371">
        <v>1169</v>
      </c>
      <c r="G10" s="371">
        <f>'1.15передача и сбыт'!G10*0.95</f>
        <v>125.25179999999999</v>
      </c>
      <c r="H10" s="107"/>
      <c r="I10" s="371">
        <v>167</v>
      </c>
      <c r="J10" s="1141"/>
      <c r="K10" s="1158">
        <f>K11</f>
        <v>102.6</v>
      </c>
      <c r="L10" s="1178">
        <f>O10*0.5</f>
        <v>52.582499999999989</v>
      </c>
      <c r="M10" s="1178">
        <f>O10*0.5</f>
        <v>52.582499999999989</v>
      </c>
      <c r="N10" s="1273" t="e">
        <f>H10*$N$68/$Q$68</f>
        <v>#DIV/0!</v>
      </c>
      <c r="O10" s="948">
        <f>O11</f>
        <v>105.16499999999998</v>
      </c>
      <c r="P10" s="1185"/>
      <c r="Q10" s="897"/>
    </row>
    <row r="11" spans="1:25" s="64" customFormat="1" ht="13.5" customHeight="1">
      <c r="A11" s="166"/>
      <c r="B11" s="63" t="s">
        <v>7</v>
      </c>
      <c r="C11" s="74">
        <v>384</v>
      </c>
      <c r="D11" s="74">
        <v>1547</v>
      </c>
      <c r="E11" s="309"/>
      <c r="F11" s="372">
        <v>1169</v>
      </c>
      <c r="G11" s="371">
        <f>'1.15передача и сбыт'!G11*0.95</f>
        <v>125.25179999999999</v>
      </c>
      <c r="H11" s="448"/>
      <c r="I11" s="372">
        <v>167</v>
      </c>
      <c r="J11" s="1142"/>
      <c r="K11" s="1159">
        <f>'1.15передача и сбыт'!K11*0.95</f>
        <v>102.6</v>
      </c>
      <c r="L11" s="1180">
        <f>L10</f>
        <v>52.582499999999989</v>
      </c>
      <c r="M11" s="1201">
        <f>M10</f>
        <v>52.582499999999989</v>
      </c>
      <c r="N11" s="1273" t="e">
        <f>H11*$N$68/$Q$68</f>
        <v>#DIV/0!</v>
      </c>
      <c r="O11" s="948">
        <f>'1.15передача и сбыт'!O11*0.95</f>
        <v>105.16499999999998</v>
      </c>
      <c r="P11" s="1185"/>
      <c r="Q11" s="897">
        <f>Q10</f>
        <v>0</v>
      </c>
    </row>
    <row r="12" spans="1:25" s="72" customFormat="1" ht="13.5" customHeight="1">
      <c r="A12" s="165" t="s">
        <v>9</v>
      </c>
      <c r="B12" s="101" t="s">
        <v>59</v>
      </c>
      <c r="C12" s="102">
        <v>88</v>
      </c>
      <c r="D12" s="102">
        <v>42</v>
      </c>
      <c r="E12" s="308"/>
      <c r="F12" s="371">
        <v>85</v>
      </c>
      <c r="G12" s="371">
        <f>'1.15передача и сбыт'!G12*0.95</f>
        <v>61.8826295</v>
      </c>
      <c r="H12" s="107"/>
      <c r="I12" s="371">
        <v>65</v>
      </c>
      <c r="J12" s="1141"/>
      <c r="K12" s="1158">
        <f>'1.15передача и сбыт'!K12*0.95</f>
        <v>65.595587269999996</v>
      </c>
      <c r="L12" s="1178">
        <f>O12*0.5</f>
        <v>34.765661253100006</v>
      </c>
      <c r="M12" s="1201">
        <f>O12*0.5</f>
        <v>34.765661253100006</v>
      </c>
      <c r="N12" s="1273" t="e">
        <f>H12*$N$68/$Q$68</f>
        <v>#DIV/0!</v>
      </c>
      <c r="O12" s="948">
        <f>'1.15передача и сбыт'!O12*0.95</f>
        <v>69.531322506200013</v>
      </c>
      <c r="P12" s="1185"/>
      <c r="Q12" s="897"/>
    </row>
    <row r="13" spans="1:25" s="122" customFormat="1" ht="13.5" customHeight="1">
      <c r="A13" s="889" t="s">
        <v>10</v>
      </c>
      <c r="B13" s="890" t="s">
        <v>60</v>
      </c>
      <c r="C13" s="891">
        <v>1369</v>
      </c>
      <c r="D13" s="892">
        <f>D14+D15</f>
        <v>1520.9566749999999</v>
      </c>
      <c r="E13" s="893"/>
      <c r="F13" s="895">
        <f>F14+F15</f>
        <v>2005</v>
      </c>
      <c r="G13" s="895">
        <f>G14+G15</f>
        <v>599.49180000000001</v>
      </c>
      <c r="H13" s="894"/>
      <c r="I13" s="895">
        <v>2276</v>
      </c>
      <c r="J13" s="1143"/>
      <c r="K13" s="1160">
        <f>K14+K15</f>
        <v>2037.5600000000002</v>
      </c>
      <c r="L13" s="1179">
        <f>L14+L15</f>
        <v>235.82137279999998</v>
      </c>
      <c r="M13" s="1179">
        <f>M14+M15</f>
        <v>235.82137279999998</v>
      </c>
      <c r="N13" s="1212">
        <f>N14+N15</f>
        <v>0</v>
      </c>
      <c r="O13" s="949">
        <f>O14+O15</f>
        <v>471.64274559999996</v>
      </c>
      <c r="P13" s="1186"/>
      <c r="Q13" s="898">
        <f>Q14+Q15</f>
        <v>0</v>
      </c>
    </row>
    <row r="14" spans="1:25" s="64" customFormat="1" ht="12.75" customHeight="1">
      <c r="A14" s="166" t="s">
        <v>11</v>
      </c>
      <c r="B14" s="63" t="s">
        <v>352</v>
      </c>
      <c r="C14" s="74">
        <v>1256</v>
      </c>
      <c r="D14" s="74">
        <f>(337301*4.175)*0.001</f>
        <v>1408.231675</v>
      </c>
      <c r="E14" s="309"/>
      <c r="F14" s="372">
        <v>2005</v>
      </c>
      <c r="G14" s="371">
        <f>'1.15передача и сбыт'!G14*0.95</f>
        <v>599.49180000000001</v>
      </c>
      <c r="H14" s="318"/>
      <c r="I14" s="372">
        <v>2276</v>
      </c>
      <c r="J14" s="1144"/>
      <c r="K14" s="1159">
        <f>'1.15передача и сбыт'!K14*0.95</f>
        <v>2037.5600000000002</v>
      </c>
      <c r="L14" s="1180">
        <f>'1.15передача и сбыт'!L14*0.95</f>
        <v>235.82137279999998</v>
      </c>
      <c r="M14" s="1180">
        <f>'1.15передача и сбыт'!M14*0.95</f>
        <v>235.82137279999998</v>
      </c>
      <c r="N14" s="391">
        <f>'1.25'!J6*'1.2.2'!L12</f>
        <v>0</v>
      </c>
      <c r="O14" s="401">
        <f>M14+L14</f>
        <v>471.64274559999996</v>
      </c>
      <c r="P14" s="1185"/>
      <c r="Q14" s="899">
        <f>'1.25'!M6*'1.2.2'!O12</f>
        <v>0</v>
      </c>
    </row>
    <row r="15" spans="1:25" s="64" customFormat="1" ht="13.5" customHeight="1">
      <c r="A15" s="166" t="s">
        <v>12</v>
      </c>
      <c r="B15" s="63" t="s">
        <v>13</v>
      </c>
      <c r="C15" s="74">
        <v>113</v>
      </c>
      <c r="D15" s="74">
        <f>(27000*4.175)*0.001</f>
        <v>112.72500000000001</v>
      </c>
      <c r="E15" s="309"/>
      <c r="F15" s="372">
        <v>0</v>
      </c>
      <c r="G15" s="977"/>
      <c r="H15" s="448"/>
      <c r="I15" s="372"/>
      <c r="J15" s="1142"/>
      <c r="K15" s="1159"/>
      <c r="L15" s="1159"/>
      <c r="M15" s="1171">
        <f>L15+K15</f>
        <v>0</v>
      </c>
      <c r="N15" s="1274">
        <f>'1.25'!J6*'1.2.2'!L14</f>
        <v>0</v>
      </c>
      <c r="O15" s="401">
        <f>Q15-N15</f>
        <v>0</v>
      </c>
      <c r="P15" s="1185"/>
      <c r="Q15" s="899">
        <f>'1.25'!M6*'1.2.2'!O14</f>
        <v>0</v>
      </c>
    </row>
    <row r="16" spans="1:25" s="72" customFormat="1" ht="13.5" customHeight="1">
      <c r="A16" s="165" t="s">
        <v>14</v>
      </c>
      <c r="B16" s="101" t="s">
        <v>64</v>
      </c>
      <c r="C16" s="102">
        <v>2658</v>
      </c>
      <c r="D16" s="102">
        <f>'[3]1.16'!$E$27</f>
        <v>3400.3827199999992</v>
      </c>
      <c r="E16" s="308"/>
      <c r="F16" s="371">
        <v>1816</v>
      </c>
      <c r="G16" s="371">
        <f>G18+G19+G20+G21</f>
        <v>2302.9407900000001</v>
      </c>
      <c r="H16" s="107"/>
      <c r="I16" s="371">
        <f>I18+I19+I20+I21</f>
        <v>1903</v>
      </c>
      <c r="J16" s="1141"/>
      <c r="K16" s="1158">
        <f>K18+K19+K20+K21</f>
        <v>2419.5283999999997</v>
      </c>
      <c r="L16" s="1178">
        <f>L18+L19+L20+L21</f>
        <v>765.31895545156158</v>
      </c>
      <c r="M16" s="1178">
        <f>M18+M19+M20+M21</f>
        <v>765.31895545156158</v>
      </c>
      <c r="N16" s="1273" t="e">
        <f>H16*$N$68/$Q$68</f>
        <v>#DIV/0!</v>
      </c>
      <c r="O16" s="1275">
        <f>O18+O19+O20+O21</f>
        <v>1530.6191782192002</v>
      </c>
      <c r="P16" s="1185"/>
      <c r="Q16" s="898">
        <f>Q18+Q19</f>
        <v>0</v>
      </c>
    </row>
    <row r="17" spans="1:17" s="347" customFormat="1" ht="31.5" hidden="1" customHeight="1">
      <c r="A17" s="341"/>
      <c r="B17" s="342" t="s">
        <v>15</v>
      </c>
      <c r="C17" s="343"/>
      <c r="D17" s="343"/>
      <c r="E17" s="344"/>
      <c r="F17" s="373"/>
      <c r="G17" s="974"/>
      <c r="H17" s="1276"/>
      <c r="I17" s="373"/>
      <c r="J17" s="1277"/>
      <c r="K17" s="1158"/>
      <c r="L17" s="1161"/>
      <c r="M17" s="1199"/>
      <c r="N17" s="1278"/>
      <c r="O17" s="401">
        <f>Q17-N17</f>
        <v>0</v>
      </c>
      <c r="P17" s="1185"/>
      <c r="Q17" s="900"/>
    </row>
    <row r="18" spans="1:17" s="64" customFormat="1" ht="13.5" customHeight="1">
      <c r="A18" s="166" t="s">
        <v>69</v>
      </c>
      <c r="B18" s="63" t="s">
        <v>65</v>
      </c>
      <c r="C18" s="74">
        <v>2636</v>
      </c>
      <c r="D18" s="75">
        <f>D16-D19</f>
        <v>3380.3827199999992</v>
      </c>
      <c r="E18" s="309"/>
      <c r="F18" s="372">
        <v>1780</v>
      </c>
      <c r="G18" s="372">
        <f>'1.16передача'!I29</f>
        <v>2290.6705900000002</v>
      </c>
      <c r="H18" s="448"/>
      <c r="I18" s="372">
        <v>1858</v>
      </c>
      <c r="J18" s="1142"/>
      <c r="K18" s="1159">
        <f>('1.16передача и сбыт'!L29)*0.95</f>
        <v>2335.9283999999998</v>
      </c>
      <c r="L18" s="1180">
        <f>('1.16передача и сбыт'!M29)*0.95</f>
        <v>737.11583045156158</v>
      </c>
      <c r="M18" s="1201">
        <f>('1.16передача и сбыт'!N29)*0.95</f>
        <v>737.11583045156158</v>
      </c>
      <c r="N18" s="1273" t="e">
        <f>H18*$N$68/$Q$68</f>
        <v>#DIV/0!</v>
      </c>
      <c r="O18" s="948">
        <f>'1.16передача'!R29</f>
        <v>1474.2129282192002</v>
      </c>
      <c r="P18" s="1185"/>
      <c r="Q18" s="899">
        <f>'1.16передача и сбыт'!Q24</f>
        <v>0</v>
      </c>
    </row>
    <row r="19" spans="1:17" s="64" customFormat="1" ht="13.5" customHeight="1">
      <c r="A19" s="166" t="s">
        <v>71</v>
      </c>
      <c r="B19" s="63" t="s">
        <v>63</v>
      </c>
      <c r="C19" s="74">
        <v>22</v>
      </c>
      <c r="D19" s="74">
        <f>'[3]1.16'!$E$28</f>
        <v>20</v>
      </c>
      <c r="E19" s="309"/>
      <c r="F19" s="372">
        <v>36</v>
      </c>
      <c r="G19" s="372">
        <f>'1.16передача'!I33</f>
        <v>12.270199999999999</v>
      </c>
      <c r="H19" s="448"/>
      <c r="I19" s="372">
        <v>45</v>
      </c>
      <c r="J19" s="1142"/>
      <c r="K19" s="1159">
        <f>('1.16передача и сбыт'!L33)*0.95</f>
        <v>83.6</v>
      </c>
      <c r="L19" s="1159">
        <f>('1.16передача и сбыт'!M33)*0.95</f>
        <v>28.203125</v>
      </c>
      <c r="M19" s="1171">
        <f>('1.16передача и сбыт'!N33)*0.95</f>
        <v>28.203125</v>
      </c>
      <c r="N19" s="1273" t="e">
        <f>H19*$N$68/$Q$68</f>
        <v>#DIV/0!</v>
      </c>
      <c r="O19" s="401">
        <f>'1.16передача'!R33</f>
        <v>56.40625</v>
      </c>
      <c r="P19" s="1185"/>
      <c r="Q19" s="901">
        <f>'1.16передача и сбыт'!Q25</f>
        <v>0</v>
      </c>
    </row>
    <row r="20" spans="1:17" s="64" customFormat="1" ht="27" customHeight="1">
      <c r="A20" s="166" t="s">
        <v>188</v>
      </c>
      <c r="B20" s="329" t="s">
        <v>371</v>
      </c>
      <c r="C20" s="74"/>
      <c r="D20" s="74"/>
      <c r="E20" s="309"/>
      <c r="F20" s="372">
        <f>'1.16передача и сбыт'!F31</f>
        <v>0</v>
      </c>
      <c r="G20" s="372">
        <f>'1.16передача'!I31</f>
        <v>0</v>
      </c>
      <c r="H20" s="318"/>
      <c r="I20" s="372">
        <f>'1.16передача и сбыт'!I31</f>
        <v>0</v>
      </c>
      <c r="J20" s="1144"/>
      <c r="K20" s="1159">
        <f>'1.16передача и сбыт'!K31</f>
        <v>0</v>
      </c>
      <c r="L20" s="1159">
        <f>'1.16передача и сбыт'!M31</f>
        <v>0</v>
      </c>
      <c r="M20" s="1171">
        <v>0</v>
      </c>
      <c r="N20" s="390"/>
      <c r="O20" s="401">
        <v>0</v>
      </c>
      <c r="P20" s="1185"/>
      <c r="Q20" s="901"/>
    </row>
    <row r="21" spans="1:17" s="64" customFormat="1" ht="27" customHeight="1">
      <c r="A21" s="166" t="s">
        <v>372</v>
      </c>
      <c r="B21" s="329" t="s">
        <v>373</v>
      </c>
      <c r="C21" s="74"/>
      <c r="D21" s="74"/>
      <c r="E21" s="309"/>
      <c r="F21" s="372">
        <f>'1.16передача и сбыт'!F32</f>
        <v>0</v>
      </c>
      <c r="G21" s="372">
        <f>'1.16передача'!I32</f>
        <v>0</v>
      </c>
      <c r="H21" s="318"/>
      <c r="I21" s="372">
        <f>'1.16передача и сбыт'!I32</f>
        <v>0</v>
      </c>
      <c r="J21" s="1144"/>
      <c r="K21" s="1159">
        <f>'1.16передача и сбыт'!K32</f>
        <v>0</v>
      </c>
      <c r="L21" s="1159">
        <f>'1.16передача и сбыт'!M32</f>
        <v>0</v>
      </c>
      <c r="M21" s="1171">
        <v>0</v>
      </c>
      <c r="N21" s="390"/>
      <c r="O21" s="401">
        <v>0</v>
      </c>
      <c r="P21" s="1185"/>
      <c r="Q21" s="901"/>
    </row>
    <row r="22" spans="1:17" s="72" customFormat="1" ht="13.5" customHeight="1">
      <c r="A22" s="165" t="s">
        <v>16</v>
      </c>
      <c r="B22" s="101" t="s">
        <v>17</v>
      </c>
      <c r="C22" s="123">
        <v>688</v>
      </c>
      <c r="D22" s="123">
        <v>812</v>
      </c>
      <c r="E22" s="308"/>
      <c r="F22" s="374">
        <v>556</v>
      </c>
      <c r="G22" s="374">
        <f>G18*0.306</f>
        <v>700.94520054000009</v>
      </c>
      <c r="H22" s="107"/>
      <c r="I22" s="374">
        <v>569</v>
      </c>
      <c r="J22" s="1141"/>
      <c r="K22" s="1158">
        <f>K18*0.306</f>
        <v>714.79409039999996</v>
      </c>
      <c r="L22" s="1158">
        <f>L18*0.306</f>
        <v>225.55744411817784</v>
      </c>
      <c r="M22" s="1158">
        <f>M18*0.306</f>
        <v>225.55744411817784</v>
      </c>
      <c r="N22" s="1273" t="e">
        <f>H22*$N$68/$Q$68</f>
        <v>#DIV/0!</v>
      </c>
      <c r="O22" s="371">
        <f>O18*0.306</f>
        <v>451.10915603507527</v>
      </c>
      <c r="P22" s="1185"/>
      <c r="Q22" s="899"/>
    </row>
    <row r="23" spans="1:17" s="347" customFormat="1" ht="31.5" hidden="1" customHeight="1">
      <c r="A23" s="341"/>
      <c r="B23" s="342" t="s">
        <v>7</v>
      </c>
      <c r="C23" s="343"/>
      <c r="D23" s="343"/>
      <c r="E23" s="344"/>
      <c r="F23" s="373"/>
      <c r="G23" s="373"/>
      <c r="H23" s="1276"/>
      <c r="I23" s="373"/>
      <c r="J23" s="1277"/>
      <c r="K23" s="1161"/>
      <c r="L23" s="1161"/>
      <c r="M23" s="1199"/>
      <c r="N23" s="1278"/>
      <c r="O23" s="401">
        <f>Q23-N23</f>
        <v>0</v>
      </c>
      <c r="P23" s="1185"/>
      <c r="Q23" s="899"/>
    </row>
    <row r="24" spans="1:17" s="72" customFormat="1" ht="13.5" customHeight="1">
      <c r="A24" s="165" t="s">
        <v>18</v>
      </c>
      <c r="B24" s="101" t="s">
        <v>19</v>
      </c>
      <c r="C24" s="102">
        <v>43</v>
      </c>
      <c r="D24" s="102">
        <v>27</v>
      </c>
      <c r="E24" s="308"/>
      <c r="F24" s="371">
        <v>530</v>
      </c>
      <c r="G24" s="371">
        <f>'1.17передача'!D14</f>
        <v>605.77699999999993</v>
      </c>
      <c r="H24" s="107"/>
      <c r="I24" s="371">
        <v>736</v>
      </c>
      <c r="J24" s="1141"/>
      <c r="K24" s="1158">
        <f>'1.17передача'!G14</f>
        <v>746.22499999999991</v>
      </c>
      <c r="L24" s="1158">
        <f>'1.17передача'!H14</f>
        <v>372.73250000000002</v>
      </c>
      <c r="M24" s="1171">
        <f>'1.17передача'!I14</f>
        <v>372.73250000000002</v>
      </c>
      <c r="N24" s="1273" t="e">
        <f>H24*$N$68/$Q$68</f>
        <v>#DIV/0!</v>
      </c>
      <c r="O24" s="401">
        <f>'1.17передача'!J14</f>
        <v>745.46500000000003</v>
      </c>
      <c r="P24" s="1185"/>
      <c r="Q24" s="899"/>
    </row>
    <row r="25" spans="1:17" s="72" customFormat="1" ht="13.5" customHeight="1">
      <c r="A25" s="165" t="s">
        <v>20</v>
      </c>
      <c r="B25" s="101" t="s">
        <v>21</v>
      </c>
      <c r="C25" s="102">
        <v>997</v>
      </c>
      <c r="D25" s="102">
        <f>D31+D34</f>
        <v>958</v>
      </c>
      <c r="E25" s="310"/>
      <c r="F25" s="375">
        <v>1466</v>
      </c>
      <c r="G25" s="375">
        <f>G26+G27+G28+G29+G30+G31+G34</f>
        <v>4396.0559350000003</v>
      </c>
      <c r="H25" s="1282"/>
      <c r="I25" s="375">
        <f>I26+I27+I28+I29+I30+I31+I34</f>
        <v>330</v>
      </c>
      <c r="J25" s="1283"/>
      <c r="K25" s="1162">
        <f>K26+K27+K28+K29+K30+K31+K34</f>
        <v>4605.4438418499994</v>
      </c>
      <c r="L25" s="1162">
        <f>L26+L27+L28+L29+L30+L31+L34</f>
        <v>3150.900676893275</v>
      </c>
      <c r="M25" s="1162">
        <f>M26+M27+M28+M29+M30+M31+M34</f>
        <v>3168.0006768932749</v>
      </c>
      <c r="N25" s="1273" t="e">
        <f>H25*$N$68/$Q$68+300+165.88328</f>
        <v>#DIV/0!</v>
      </c>
      <c r="O25" s="401">
        <f>L25+M25</f>
        <v>6318.9013537865503</v>
      </c>
      <c r="P25" s="1185"/>
      <c r="Q25" s="899">
        <f>Q31+Q34</f>
        <v>0</v>
      </c>
    </row>
    <row r="26" spans="1:17" s="64" customFormat="1" ht="31.5" hidden="1" customHeight="1">
      <c r="A26" s="166" t="s">
        <v>22</v>
      </c>
      <c r="B26" s="63" t="s">
        <v>23</v>
      </c>
      <c r="C26" s="74"/>
      <c r="D26" s="74"/>
      <c r="E26" s="309"/>
      <c r="F26" s="372"/>
      <c r="G26" s="372"/>
      <c r="H26" s="448"/>
      <c r="I26" s="372"/>
      <c r="J26" s="1142"/>
      <c r="K26" s="1159"/>
      <c r="L26" s="1159"/>
      <c r="M26" s="1171">
        <f t="shared" ref="M26:M33" si="0">L26+K26</f>
        <v>0</v>
      </c>
      <c r="N26" s="1279"/>
      <c r="O26" s="401">
        <f>Q26-N26</f>
        <v>0</v>
      </c>
      <c r="P26" s="1185"/>
      <c r="Q26" s="899"/>
    </row>
    <row r="27" spans="1:17" s="64" customFormat="1" ht="31.5" hidden="1" customHeight="1">
      <c r="A27" s="166" t="s">
        <v>24</v>
      </c>
      <c r="B27" s="63" t="s">
        <v>25</v>
      </c>
      <c r="C27" s="74"/>
      <c r="D27" s="74"/>
      <c r="E27" s="309"/>
      <c r="F27" s="372"/>
      <c r="G27" s="372"/>
      <c r="H27" s="448"/>
      <c r="I27" s="372"/>
      <c r="J27" s="1142"/>
      <c r="K27" s="1159"/>
      <c r="L27" s="1159"/>
      <c r="M27" s="1171">
        <f t="shared" si="0"/>
        <v>0</v>
      </c>
      <c r="N27" s="1279"/>
      <c r="O27" s="401">
        <f>Q27-N27</f>
        <v>0</v>
      </c>
      <c r="P27" s="1185"/>
      <c r="Q27" s="899"/>
    </row>
    <row r="28" spans="1:17" s="64" customFormat="1" ht="31.5" hidden="1" customHeight="1">
      <c r="A28" s="168" t="s">
        <v>26</v>
      </c>
      <c r="B28" s="63" t="s">
        <v>56</v>
      </c>
      <c r="C28" s="76"/>
      <c r="D28" s="76"/>
      <c r="E28" s="309"/>
      <c r="F28" s="372"/>
      <c r="G28" s="372"/>
      <c r="H28" s="448"/>
      <c r="I28" s="372"/>
      <c r="J28" s="1142"/>
      <c r="K28" s="1159"/>
      <c r="L28" s="1159"/>
      <c r="M28" s="1171">
        <f t="shared" si="0"/>
        <v>0</v>
      </c>
      <c r="N28" s="1279"/>
      <c r="O28" s="401">
        <f>Q28-N28</f>
        <v>0</v>
      </c>
      <c r="P28" s="1185"/>
      <c r="Q28" s="899"/>
    </row>
    <row r="29" spans="1:17" s="64" customFormat="1" ht="31.5" hidden="1" customHeight="1">
      <c r="A29" s="166" t="s">
        <v>27</v>
      </c>
      <c r="B29" s="63" t="s">
        <v>50</v>
      </c>
      <c r="C29" s="74"/>
      <c r="D29" s="74"/>
      <c r="E29" s="309"/>
      <c r="F29" s="372"/>
      <c r="G29" s="372"/>
      <c r="H29" s="448"/>
      <c r="I29" s="372"/>
      <c r="J29" s="1142"/>
      <c r="K29" s="1159"/>
      <c r="L29" s="1159"/>
      <c r="M29" s="1171">
        <f t="shared" si="0"/>
        <v>0</v>
      </c>
      <c r="N29" s="1279"/>
      <c r="O29" s="401">
        <f>Q29-N29</f>
        <v>0</v>
      </c>
      <c r="P29" s="1185"/>
      <c r="Q29" s="899"/>
    </row>
    <row r="30" spans="1:17" s="64" customFormat="1" ht="31.5" hidden="1" customHeight="1">
      <c r="A30" s="166" t="s">
        <v>28</v>
      </c>
      <c r="B30" s="63" t="s">
        <v>29</v>
      </c>
      <c r="C30" s="74"/>
      <c r="D30" s="74"/>
      <c r="E30" s="309"/>
      <c r="F30" s="372"/>
      <c r="G30" s="372"/>
      <c r="H30" s="448"/>
      <c r="I30" s="372"/>
      <c r="J30" s="1142"/>
      <c r="K30" s="1159"/>
      <c r="L30" s="1159"/>
      <c r="M30" s="1171">
        <f t="shared" si="0"/>
        <v>0</v>
      </c>
      <c r="N30" s="1279"/>
      <c r="O30" s="401">
        <f>Q30-N30</f>
        <v>0</v>
      </c>
      <c r="P30" s="1185"/>
      <c r="Q30" s="899"/>
    </row>
    <row r="31" spans="1:17" s="64" customFormat="1" ht="26.4">
      <c r="A31" s="166" t="s">
        <v>30</v>
      </c>
      <c r="B31" s="63" t="s">
        <v>51</v>
      </c>
      <c r="C31" s="74">
        <v>86</v>
      </c>
      <c r="D31" s="74">
        <v>86</v>
      </c>
      <c r="E31" s="309"/>
      <c r="F31" s="372">
        <f>F32+F33</f>
        <v>0</v>
      </c>
      <c r="G31" s="372">
        <f>G32+G33</f>
        <v>0</v>
      </c>
      <c r="H31" s="448"/>
      <c r="I31" s="372">
        <f>I32+I33</f>
        <v>0</v>
      </c>
      <c r="J31" s="1142"/>
      <c r="K31" s="1159">
        <f>K32+K33</f>
        <v>0</v>
      </c>
      <c r="L31" s="1159">
        <f>L32+L33</f>
        <v>0</v>
      </c>
      <c r="M31" s="1171">
        <f t="shared" si="0"/>
        <v>0</v>
      </c>
      <c r="N31" s="1279" t="e">
        <f>H31*$N$68/$Q$68</f>
        <v>#DIV/0!</v>
      </c>
      <c r="O31" s="401">
        <v>0</v>
      </c>
      <c r="P31" s="1185"/>
      <c r="Q31" s="899"/>
    </row>
    <row r="32" spans="1:17" s="64" customFormat="1" ht="13.5" customHeight="1">
      <c r="A32" s="166" t="s">
        <v>31</v>
      </c>
      <c r="B32" s="63" t="s">
        <v>32</v>
      </c>
      <c r="C32" s="74">
        <v>66</v>
      </c>
      <c r="D32" s="74">
        <v>66</v>
      </c>
      <c r="E32" s="309"/>
      <c r="F32" s="372"/>
      <c r="G32" s="372"/>
      <c r="H32" s="448"/>
      <c r="I32" s="372"/>
      <c r="J32" s="1142"/>
      <c r="K32" s="1159"/>
      <c r="L32" s="1159"/>
      <c r="M32" s="1171">
        <f t="shared" si="0"/>
        <v>0</v>
      </c>
      <c r="N32" s="1279" t="e">
        <f>H32*$N$68/$Q$68</f>
        <v>#DIV/0!</v>
      </c>
      <c r="O32" s="401">
        <v>0</v>
      </c>
      <c r="P32" s="1185"/>
      <c r="Q32" s="899"/>
    </row>
    <row r="33" spans="1:19" s="64" customFormat="1" ht="13.5" customHeight="1">
      <c r="A33" s="166" t="s">
        <v>33</v>
      </c>
      <c r="B33" s="63" t="s">
        <v>34</v>
      </c>
      <c r="C33" s="74"/>
      <c r="D33" s="74"/>
      <c r="E33" s="309"/>
      <c r="F33" s="372"/>
      <c r="G33" s="372"/>
      <c r="H33" s="448"/>
      <c r="I33" s="372"/>
      <c r="J33" s="1142"/>
      <c r="K33" s="1159"/>
      <c r="L33" s="1159"/>
      <c r="M33" s="1171">
        <f t="shared" si="0"/>
        <v>0</v>
      </c>
      <c r="N33" s="1279" t="e">
        <f>H33*$N$68/$Q$68</f>
        <v>#DIV/0!</v>
      </c>
      <c r="O33" s="401"/>
      <c r="P33" s="1185"/>
      <c r="Q33" s="899"/>
    </row>
    <row r="34" spans="1:19" s="64" customFormat="1" ht="24" customHeight="1">
      <c r="A34" s="166" t="s">
        <v>35</v>
      </c>
      <c r="B34" s="63" t="s">
        <v>52</v>
      </c>
      <c r="C34" s="74">
        <v>911</v>
      </c>
      <c r="D34" s="74">
        <f>D36+D58</f>
        <v>872</v>
      </c>
      <c r="E34" s="309"/>
      <c r="F34" s="372">
        <f>F36+F37+F38+F39+F40</f>
        <v>1465.17</v>
      </c>
      <c r="G34" s="372">
        <f>G36+G37+G38+G39+G40</f>
        <v>4396.0559350000003</v>
      </c>
      <c r="H34" s="1284"/>
      <c r="I34" s="372">
        <f>I36+I37+I38+I39+I40</f>
        <v>330</v>
      </c>
      <c r="J34" s="1142"/>
      <c r="K34" s="1159">
        <f>K36+K37+K38+K39+K40</f>
        <v>4605.4438418499994</v>
      </c>
      <c r="L34" s="1159">
        <f>L36+L37+L38+L39+L40</f>
        <v>3150.900676893275</v>
      </c>
      <c r="M34" s="1159">
        <f>M36+M37+M38+M39+M40</f>
        <v>3168.0006768932749</v>
      </c>
      <c r="N34" s="1279"/>
      <c r="O34" s="401">
        <f>L34+M34</f>
        <v>6318.9013537865503</v>
      </c>
      <c r="P34" s="1185"/>
      <c r="Q34" s="899">
        <f>Q36+Q58</f>
        <v>0</v>
      </c>
    </row>
    <row r="35" spans="1:19" s="64" customFormat="1" ht="13.5" customHeight="1">
      <c r="A35" s="166"/>
      <c r="B35" s="63" t="s">
        <v>36</v>
      </c>
      <c r="C35" s="74"/>
      <c r="D35" s="74"/>
      <c r="E35" s="309"/>
      <c r="F35" s="372"/>
      <c r="G35" s="372"/>
      <c r="H35" s="448"/>
      <c r="I35" s="372"/>
      <c r="J35" s="1142"/>
      <c r="K35" s="1159"/>
      <c r="L35" s="1159"/>
      <c r="M35" s="1200"/>
      <c r="N35" s="1279" t="e">
        <f>H35*$N$68/$Q$68</f>
        <v>#DIV/0!</v>
      </c>
      <c r="O35" s="401"/>
      <c r="P35" s="1185"/>
      <c r="Q35" s="899"/>
      <c r="S35" s="64">
        <f>F25-F37-F38-F36-F40-F39-F46-F47-F48-F49</f>
        <v>-20.340000000000074</v>
      </c>
    </row>
    <row r="36" spans="1:19" s="64" customFormat="1" ht="13.5" customHeight="1">
      <c r="A36" s="166" t="s">
        <v>37</v>
      </c>
      <c r="B36" s="63" t="s">
        <v>38</v>
      </c>
      <c r="C36" s="74">
        <v>669</v>
      </c>
      <c r="D36" s="74">
        <v>661</v>
      </c>
      <c r="E36" s="309"/>
      <c r="F36" s="376">
        <f>'1.15передача и сбыт'!F36*0.95</f>
        <v>57</v>
      </c>
      <c r="G36" s="376">
        <f>'1.15передача и сбыт'!G36*0.95</f>
        <v>154.44719049999998</v>
      </c>
      <c r="H36" s="448"/>
      <c r="I36" s="376">
        <v>52</v>
      </c>
      <c r="J36" s="1142"/>
      <c r="K36" s="1159">
        <f>'1.15передача и сбыт'!K36*0.95</f>
        <v>384.92099999999999</v>
      </c>
      <c r="L36" s="1159">
        <f>O36/2</f>
        <v>192.4605</v>
      </c>
      <c r="M36" s="1171">
        <f>O36/2</f>
        <v>192.4605</v>
      </c>
      <c r="N36" s="1279"/>
      <c r="O36" s="401">
        <f>'1.15передача и сбыт'!O36*0.95</f>
        <v>384.92099999999999</v>
      </c>
      <c r="P36" s="1185"/>
      <c r="Q36" s="899"/>
    </row>
    <row r="37" spans="1:19" s="64" customFormat="1" ht="13.5" customHeight="1">
      <c r="A37" s="168" t="s">
        <v>70</v>
      </c>
      <c r="B37" s="65" t="s">
        <v>361</v>
      </c>
      <c r="C37" s="76"/>
      <c r="D37" s="76"/>
      <c r="E37" s="311"/>
      <c r="F37" s="372">
        <f>'1.15передача и сбыт'!F37*0.95</f>
        <v>15.2</v>
      </c>
      <c r="G37" s="377">
        <f>'1.15передача и сбыт'!G37*0.95</f>
        <v>16.620050499999998</v>
      </c>
      <c r="H37" s="449"/>
      <c r="I37" s="377">
        <v>19</v>
      </c>
      <c r="J37" s="450"/>
      <c r="K37" s="1163">
        <f>'1.15передача и сбыт'!K37*0.95</f>
        <v>16.620050499999998</v>
      </c>
      <c r="L37" s="1259">
        <f>O37*0.5</f>
        <v>8.8335568407499974</v>
      </c>
      <c r="M37" s="1280">
        <f>O37*0.5</f>
        <v>8.8335568407499974</v>
      </c>
      <c r="N37" s="1279"/>
      <c r="O37" s="948">
        <f>'1.15передача и сбыт'!O37*0.95</f>
        <v>17.667113681499995</v>
      </c>
      <c r="P37" s="1185"/>
      <c r="Q37" s="899"/>
    </row>
    <row r="38" spans="1:19" s="64" customFormat="1" ht="13.5" customHeight="1">
      <c r="A38" s="168" t="s">
        <v>360</v>
      </c>
      <c r="B38" s="65" t="s">
        <v>366</v>
      </c>
      <c r="C38" s="76"/>
      <c r="D38" s="76"/>
      <c r="E38" s="311"/>
      <c r="F38" s="372">
        <f>'1.15передача и сбыт'!F38*0.95</f>
        <v>3.8</v>
      </c>
      <c r="G38" s="377">
        <f>'1.15передача и сбыт'!G38*0.95</f>
        <v>0</v>
      </c>
      <c r="H38" s="449"/>
      <c r="I38" s="377">
        <v>0</v>
      </c>
      <c r="J38" s="450"/>
      <c r="K38" s="1159">
        <f>'1.15передача и сбыт'!K38*0.95</f>
        <v>0</v>
      </c>
      <c r="L38" s="1259">
        <f>O38*0.5</f>
        <v>0</v>
      </c>
      <c r="M38" s="1280">
        <f>O38*0.5</f>
        <v>0</v>
      </c>
      <c r="N38" s="1279"/>
      <c r="O38" s="948">
        <f>'1.15передача и сбыт'!O38*0.95</f>
        <v>0</v>
      </c>
      <c r="P38" s="1185"/>
      <c r="Q38" s="899"/>
    </row>
    <row r="39" spans="1:19" s="64" customFormat="1">
      <c r="A39" s="168" t="s">
        <v>362</v>
      </c>
      <c r="B39" s="65" t="s">
        <v>369</v>
      </c>
      <c r="C39" s="76"/>
      <c r="D39" s="76"/>
      <c r="E39" s="311"/>
      <c r="F39" s="378">
        <f>1440*0.95</f>
        <v>1368</v>
      </c>
      <c r="G39" s="377">
        <f>'1.15передача и сбыт'!G39*0.95</f>
        <v>934.69169999999997</v>
      </c>
      <c r="H39" s="449"/>
      <c r="I39" s="377">
        <v>209</v>
      </c>
      <c r="J39" s="450"/>
      <c r="K39" s="1163">
        <f>'1.15передача и сбыт'!K39*0.95</f>
        <v>934.69169999999997</v>
      </c>
      <c r="L39" s="1163">
        <f>O39*0.5</f>
        <v>467.34584999999998</v>
      </c>
      <c r="M39" s="1171">
        <f>O39*0.5</f>
        <v>467.34584999999998</v>
      </c>
      <c r="N39" s="1279"/>
      <c r="O39" s="401">
        <f>'1.15передача и сбыт'!O39*0.95</f>
        <v>934.69169999999997</v>
      </c>
      <c r="P39" s="1185"/>
      <c r="Q39" s="899"/>
    </row>
    <row r="40" spans="1:19" s="64" customFormat="1">
      <c r="A40" s="168" t="s">
        <v>365</v>
      </c>
      <c r="B40" s="65" t="s">
        <v>376</v>
      </c>
      <c r="C40" s="76"/>
      <c r="D40" s="76"/>
      <c r="E40" s="311"/>
      <c r="F40" s="372">
        <f>F46+F47+F48+F49</f>
        <v>21.17</v>
      </c>
      <c r="G40" s="378">
        <f>SUM(G42:G58)</f>
        <v>3290.2969939999998</v>
      </c>
      <c r="H40" s="449"/>
      <c r="I40" s="378">
        <f>SUM(I42:I58)</f>
        <v>50</v>
      </c>
      <c r="J40" s="450"/>
      <c r="K40" s="1163">
        <f>SUM(K42:K58)</f>
        <v>3269.2110913500001</v>
      </c>
      <c r="L40" s="1163">
        <f>SUM(L42:L58)</f>
        <v>2482.260770052525</v>
      </c>
      <c r="M40" s="1163">
        <f>SUM(M42:M58)</f>
        <v>2499.3607700525249</v>
      </c>
      <c r="N40" s="1279"/>
      <c r="O40" s="401">
        <f>L40+M40</f>
        <v>4981.6215401050504</v>
      </c>
      <c r="P40" s="1185"/>
      <c r="Q40" s="899"/>
    </row>
    <row r="41" spans="1:19" s="64" customFormat="1">
      <c r="A41" s="168"/>
      <c r="B41" s="65" t="s">
        <v>216</v>
      </c>
      <c r="C41" s="76"/>
      <c r="D41" s="76"/>
      <c r="E41" s="311"/>
      <c r="F41" s="377"/>
      <c r="G41" s="377"/>
      <c r="H41" s="449"/>
      <c r="I41" s="377"/>
      <c r="J41" s="450"/>
      <c r="K41" s="1163"/>
      <c r="L41" s="1163"/>
      <c r="M41" s="1171"/>
      <c r="N41" s="1279"/>
      <c r="O41" s="401"/>
      <c r="P41" s="1185"/>
      <c r="Q41" s="899"/>
    </row>
    <row r="42" spans="1:19" s="64" customFormat="1">
      <c r="A42" s="168"/>
      <c r="B42" s="65" t="s">
        <v>465</v>
      </c>
      <c r="C42" s="76"/>
      <c r="D42" s="76"/>
      <c r="E42" s="311"/>
      <c r="F42" s="377"/>
      <c r="G42" s="377">
        <f>'1.15передача и сбыт'!G42*0.95</f>
        <v>3.0766225</v>
      </c>
      <c r="H42" s="449"/>
      <c r="I42" s="377">
        <v>0</v>
      </c>
      <c r="J42" s="450"/>
      <c r="K42" s="1163">
        <f>'1.15передача и сбыт'!K42*0.95</f>
        <v>3.2612198500000003</v>
      </c>
      <c r="L42" s="1181">
        <f>O42/2</f>
        <v>1.7333383502749999</v>
      </c>
      <c r="M42" s="1268">
        <f>O42/2</f>
        <v>1.7333383502749999</v>
      </c>
      <c r="N42" s="1279"/>
      <c r="O42" s="401">
        <f>'1.15передача и сбыт'!O42*0.95</f>
        <v>3.4666767005499999</v>
      </c>
      <c r="P42" s="1185"/>
      <c r="Q42" s="899"/>
    </row>
    <row r="43" spans="1:19" s="64" customFormat="1">
      <c r="A43" s="168"/>
      <c r="B43" s="65" t="s">
        <v>363</v>
      </c>
      <c r="C43" s="76"/>
      <c r="D43" s="76"/>
      <c r="E43" s="311"/>
      <c r="F43" s="377"/>
      <c r="G43" s="377">
        <f>'1.15передача и сбыт'!G43*0.95</f>
        <v>20.062099999999997</v>
      </c>
      <c r="H43" s="449"/>
      <c r="I43" s="377">
        <v>1</v>
      </c>
      <c r="J43" s="450"/>
      <c r="K43" s="1163">
        <f>'1.15передача и сбыт'!K43*0.95</f>
        <v>20.062099999999997</v>
      </c>
      <c r="L43" s="1181">
        <f>O43*0.5</f>
        <v>10.663006149999999</v>
      </c>
      <c r="M43" s="1181">
        <f>O43*0.5</f>
        <v>10.663006149999999</v>
      </c>
      <c r="N43" s="1279"/>
      <c r="O43" s="401">
        <f>'1.15передача и сбыт'!O43*0.95</f>
        <v>21.326012299999999</v>
      </c>
      <c r="P43" s="1185"/>
      <c r="Q43" s="899"/>
    </row>
    <row r="44" spans="1:19" s="64" customFormat="1">
      <c r="A44" s="168"/>
      <c r="B44" s="65" t="s">
        <v>364</v>
      </c>
      <c r="C44" s="76"/>
      <c r="D44" s="76"/>
      <c r="E44" s="311"/>
      <c r="F44" s="377"/>
      <c r="G44" s="377">
        <f>'1.15передача и сбыт'!G44*0.95</f>
        <v>0</v>
      </c>
      <c r="H44" s="449"/>
      <c r="I44" s="377">
        <v>0</v>
      </c>
      <c r="J44" s="450"/>
      <c r="K44" s="1181">
        <f>'1.15передача и сбыт'!K44*0.95</f>
        <v>0</v>
      </c>
      <c r="L44" s="1181">
        <f>O44/2</f>
        <v>0</v>
      </c>
      <c r="M44" s="1181">
        <f>O44/2</f>
        <v>0</v>
      </c>
      <c r="N44" s="1279"/>
      <c r="O44" s="401"/>
      <c r="P44" s="1185"/>
      <c r="Q44" s="899"/>
    </row>
    <row r="45" spans="1:19" s="64" customFormat="1">
      <c r="A45" s="168"/>
      <c r="B45" s="65" t="s">
        <v>422</v>
      </c>
      <c r="C45" s="76"/>
      <c r="D45" s="76"/>
      <c r="E45" s="311"/>
      <c r="F45" s="377"/>
      <c r="G45" s="377">
        <f>'1.15передача и сбыт'!G45*0.95</f>
        <v>0</v>
      </c>
      <c r="H45" s="449"/>
      <c r="I45" s="377"/>
      <c r="J45" s="450"/>
      <c r="K45" s="1181">
        <f>'1.15передача и сбыт'!K45*0.95</f>
        <v>0</v>
      </c>
      <c r="L45" s="1181">
        <f>O45/2</f>
        <v>0</v>
      </c>
      <c r="M45" s="1181">
        <f>O45/2</f>
        <v>0</v>
      </c>
      <c r="N45" s="1285"/>
      <c r="O45" s="948">
        <f>'1.15передача и сбыт'!O45*0.95</f>
        <v>0</v>
      </c>
      <c r="P45" s="1185"/>
      <c r="Q45" s="899"/>
    </row>
    <row r="46" spans="1:19" s="64" customFormat="1">
      <c r="A46" s="168"/>
      <c r="B46" s="65" t="s">
        <v>423</v>
      </c>
      <c r="C46" s="76"/>
      <c r="D46" s="76"/>
      <c r="E46" s="311"/>
      <c r="F46" s="376">
        <f>'1.15передача и сбыт'!F46*0.95</f>
        <v>8.17</v>
      </c>
      <c r="G46" s="377">
        <f>'1.15передача и сбыт'!G46*0.95</f>
        <v>0.42749999999999999</v>
      </c>
      <c r="H46" s="449"/>
      <c r="I46" s="377">
        <v>10</v>
      </c>
      <c r="J46" s="450"/>
      <c r="K46" s="1259">
        <f>'1.15передача и сбыт'!K46*0.95</f>
        <v>0.42749999999999999</v>
      </c>
      <c r="L46" s="1181">
        <f>'1.15передача и сбыт'!L46*0.95</f>
        <v>0.22721624999999998</v>
      </c>
      <c r="M46" s="1181">
        <f>'1.15передача и сбыт'!M46*0.95</f>
        <v>0.22721624999999998</v>
      </c>
      <c r="N46" s="1279"/>
      <c r="O46" s="948">
        <f>'1.15передача и сбыт'!O46*0.95</f>
        <v>0.45443249999999996</v>
      </c>
      <c r="P46" s="1185"/>
      <c r="Q46" s="899"/>
    </row>
    <row r="47" spans="1:19" s="64" customFormat="1" ht="26.4">
      <c r="A47" s="168"/>
      <c r="B47" s="65" t="s">
        <v>427</v>
      </c>
      <c r="C47" s="76"/>
      <c r="D47" s="76"/>
      <c r="E47" s="311"/>
      <c r="F47" s="377">
        <v>2.4</v>
      </c>
      <c r="G47" s="377">
        <f>'1.15передача и сбыт'!G47*0.95</f>
        <v>0</v>
      </c>
      <c r="H47" s="449"/>
      <c r="I47" s="377">
        <v>3</v>
      </c>
      <c r="J47" s="450"/>
      <c r="K47" s="1163">
        <f>'1.15передача и сбыт'!K47*0.95</f>
        <v>0</v>
      </c>
      <c r="L47" s="1181">
        <f>O47/2</f>
        <v>0</v>
      </c>
      <c r="M47" s="1181">
        <f>O47/2</f>
        <v>0</v>
      </c>
      <c r="N47" s="1279"/>
      <c r="O47" s="401">
        <f>'1.15передача и сбыт'!O47*0.95</f>
        <v>0</v>
      </c>
      <c r="P47" s="1185"/>
      <c r="Q47" s="899"/>
    </row>
    <row r="48" spans="1:19" s="64" customFormat="1">
      <c r="A48" s="168"/>
      <c r="B48" s="65" t="s">
        <v>424</v>
      </c>
      <c r="C48" s="76"/>
      <c r="D48" s="76"/>
      <c r="E48" s="311"/>
      <c r="F48" s="377">
        <v>1.8</v>
      </c>
      <c r="G48" s="377">
        <f>'1.15передача и сбыт'!G48*0.95</f>
        <v>3.0532715000000001</v>
      </c>
      <c r="H48" s="449"/>
      <c r="I48" s="377">
        <v>26</v>
      </c>
      <c r="J48" s="450"/>
      <c r="K48" s="1163">
        <f>'1.15передача и сбыт'!K48*0.95</f>
        <v>3.0532715000000001</v>
      </c>
      <c r="L48" s="1181">
        <f>O48/2</f>
        <v>1.6228138022499998</v>
      </c>
      <c r="M48" s="1181">
        <f>O48/2</f>
        <v>1.6228138022499998</v>
      </c>
      <c r="N48" s="1279"/>
      <c r="O48" s="401">
        <f>'1.15передача и сбыт'!O48*0.95</f>
        <v>3.2456276044999997</v>
      </c>
      <c r="P48" s="1185"/>
      <c r="Q48" s="899"/>
    </row>
    <row r="49" spans="1:17" s="64" customFormat="1">
      <c r="A49" s="168"/>
      <c r="B49" s="65" t="s">
        <v>425</v>
      </c>
      <c r="C49" s="76"/>
      <c r="D49" s="76"/>
      <c r="E49" s="311"/>
      <c r="F49" s="377">
        <v>8.8000000000000007</v>
      </c>
      <c r="G49" s="377">
        <f>'1.15передача и сбыт'!G49*0.95</f>
        <v>9.9274999999999984</v>
      </c>
      <c r="H49" s="449"/>
      <c r="I49" s="377">
        <v>10</v>
      </c>
      <c r="J49" s="450"/>
      <c r="K49" s="1181">
        <f>'1.15передача и сбыт'!K49*0.95</f>
        <v>11.457000000000001</v>
      </c>
      <c r="L49" s="1181">
        <f>O49/2</f>
        <v>6.0893954999999993</v>
      </c>
      <c r="M49" s="1181">
        <f>O49/2</f>
        <v>6.0893954999999993</v>
      </c>
      <c r="N49" s="1279"/>
      <c r="O49" s="401">
        <f>'1.15передача и сбыт'!O49*0.95</f>
        <v>12.178790999999999</v>
      </c>
      <c r="P49" s="1185"/>
      <c r="Q49" s="899"/>
    </row>
    <row r="50" spans="1:17" s="64" customFormat="1">
      <c r="A50" s="168"/>
      <c r="B50" s="65" t="s">
        <v>438</v>
      </c>
      <c r="C50" s="76"/>
      <c r="D50" s="76"/>
      <c r="E50" s="311"/>
      <c r="F50" s="377"/>
      <c r="G50" s="377">
        <f>'1.15передача и сбыт'!G50*0.95</f>
        <v>22.799999999999997</v>
      </c>
      <c r="H50" s="449"/>
      <c r="I50" s="377"/>
      <c r="J50" s="450"/>
      <c r="K50" s="1259">
        <f>'1.15передача и сбыт'!K50*0.95</f>
        <v>0</v>
      </c>
      <c r="L50" s="1181"/>
      <c r="M50" s="1181"/>
      <c r="N50" s="1279"/>
      <c r="O50" s="401"/>
      <c r="P50" s="1185"/>
      <c r="Q50" s="899"/>
    </row>
    <row r="51" spans="1:17" s="64" customFormat="1" ht="24" customHeight="1">
      <c r="A51" s="168"/>
      <c r="B51" s="65" t="s">
        <v>437</v>
      </c>
      <c r="C51" s="76"/>
      <c r="D51" s="76"/>
      <c r="E51" s="311"/>
      <c r="F51" s="377"/>
      <c r="G51" s="377"/>
      <c r="H51" s="449"/>
      <c r="I51" s="377"/>
      <c r="J51" s="450"/>
      <c r="K51" s="1163">
        <f>'1.15передача и сбыт'!K51*0.95</f>
        <v>0</v>
      </c>
      <c r="L51" s="1163">
        <f>'1.15передача и сбыт'!L51*0.95</f>
        <v>712.5</v>
      </c>
      <c r="M51" s="1171">
        <f>'1.15передача и сбыт'!M51*0.95</f>
        <v>712.5</v>
      </c>
      <c r="N51" s="1279"/>
      <c r="O51" s="401">
        <f>'1.15передача и сбыт'!O51*0.95</f>
        <v>1425</v>
      </c>
      <c r="P51" s="1185"/>
      <c r="Q51" s="899"/>
    </row>
    <row r="52" spans="1:17" s="64" customFormat="1">
      <c r="A52" s="168"/>
      <c r="B52" s="65" t="s">
        <v>491</v>
      </c>
      <c r="C52" s="76"/>
      <c r="D52" s="76"/>
      <c r="E52" s="311"/>
      <c r="F52" s="377"/>
      <c r="G52" s="377"/>
      <c r="H52" s="449"/>
      <c r="I52" s="377"/>
      <c r="J52" s="450"/>
      <c r="K52" s="1163">
        <f>'1.15передача и сбыт'!K52*0.95</f>
        <v>0</v>
      </c>
      <c r="L52" s="1163">
        <f>'1.15передача и сбыт'!L52*0.95</f>
        <v>142.5</v>
      </c>
      <c r="M52" s="1171">
        <f>'1.15передача и сбыт'!M52*0.95</f>
        <v>142.5</v>
      </c>
      <c r="N52" s="1279"/>
      <c r="O52" s="401">
        <f>'1.15передача и сбыт'!O52*0.95</f>
        <v>285</v>
      </c>
      <c r="P52" s="1185"/>
      <c r="Q52" s="899"/>
    </row>
    <row r="53" spans="1:17" s="64" customFormat="1" ht="36.6" hidden="1" customHeight="1">
      <c r="A53" s="168"/>
      <c r="B53" s="65" t="s">
        <v>437</v>
      </c>
      <c r="C53" s="76"/>
      <c r="D53" s="76"/>
      <c r="E53" s="311"/>
      <c r="F53" s="377"/>
      <c r="G53" s="377">
        <f>'1.15передача и сбыт'!G53*0.95</f>
        <v>0</v>
      </c>
      <c r="H53" s="449"/>
      <c r="I53" s="377"/>
      <c r="J53" s="450"/>
      <c r="K53" s="1159">
        <f>'1.15передача и сбыт'!K53*0.95</f>
        <v>0</v>
      </c>
      <c r="L53" s="1163"/>
      <c r="M53" s="1171">
        <f>'1.15передача и сбыт'!M53*0.95</f>
        <v>0</v>
      </c>
      <c r="N53" s="1279"/>
      <c r="O53" s="401">
        <f>'1.15передача и сбыт'!O53*0.95</f>
        <v>0</v>
      </c>
      <c r="P53" s="1185"/>
      <c r="Q53" s="899"/>
    </row>
    <row r="54" spans="1:17" s="64" customFormat="1">
      <c r="A54" s="168"/>
      <c r="B54" s="65" t="s">
        <v>464</v>
      </c>
      <c r="C54" s="76"/>
      <c r="D54" s="76"/>
      <c r="E54" s="311"/>
      <c r="F54" s="377"/>
      <c r="G54" s="377">
        <f>'1.15передача и сбыт'!G55*0.95</f>
        <v>17.099999999999998</v>
      </c>
      <c r="H54" s="449"/>
      <c r="I54" s="377"/>
      <c r="J54" s="450"/>
      <c r="K54" s="1163">
        <f>'1.15передача и сбыт'!K55*0.95</f>
        <v>17.099999999999998</v>
      </c>
      <c r="L54" s="1163"/>
      <c r="M54" s="1171">
        <f>L54+K54</f>
        <v>17.099999999999998</v>
      </c>
      <c r="N54" s="1279"/>
      <c r="O54" s="401"/>
      <c r="P54" s="1185"/>
      <c r="Q54" s="899"/>
    </row>
    <row r="55" spans="1:17" s="64" customFormat="1" ht="13.95" customHeight="1">
      <c r="A55" s="168"/>
      <c r="B55" s="65" t="s">
        <v>368</v>
      </c>
      <c r="C55" s="76"/>
      <c r="D55" s="76"/>
      <c r="E55" s="311"/>
      <c r="F55" s="378"/>
      <c r="G55" s="377">
        <f>'1.15передача и сбыт'!G56*0.95</f>
        <v>3213.85</v>
      </c>
      <c r="H55" s="449"/>
      <c r="I55" s="378"/>
      <c r="J55" s="450"/>
      <c r="K55" s="1163">
        <f>'1.15передача и сбыт'!K56*0.95</f>
        <v>3213.85</v>
      </c>
      <c r="L55" s="1163">
        <f>O55/2</f>
        <v>1606.925</v>
      </c>
      <c r="M55" s="1163">
        <f>O55/2</f>
        <v>1606.925</v>
      </c>
      <c r="N55" s="1279"/>
      <c r="O55" s="401">
        <f>'1.15передача и сбыт'!O56*0.95</f>
        <v>3213.85</v>
      </c>
      <c r="P55" s="1185"/>
      <c r="Q55" s="899"/>
    </row>
    <row r="56" spans="1:17" s="64" customFormat="1" ht="24" customHeight="1" thickBot="1">
      <c r="A56" s="166"/>
      <c r="B56" s="63" t="s">
        <v>375</v>
      </c>
      <c r="C56" s="74"/>
      <c r="D56" s="74"/>
      <c r="E56" s="309"/>
      <c r="F56" s="376"/>
      <c r="G56" s="376">
        <f>'1.15передача и сбыт'!G57*0.95</f>
        <v>0</v>
      </c>
      <c r="H56" s="448"/>
      <c r="I56" s="372"/>
      <c r="J56" s="1142"/>
      <c r="K56" s="1159">
        <f>'1.15передача и сбыт'!K57*0.95</f>
        <v>0</v>
      </c>
      <c r="L56" s="1159">
        <f>O56/2</f>
        <v>0</v>
      </c>
      <c r="M56" s="1171">
        <f>O56/2</f>
        <v>0</v>
      </c>
      <c r="N56" s="1279"/>
      <c r="O56" s="401">
        <f>'1.15передача и сбыт'!O57*0.95</f>
        <v>0</v>
      </c>
      <c r="P56" s="1185"/>
      <c r="Q56" s="899"/>
    </row>
    <row r="57" spans="1:17" s="64" customFormat="1" hidden="1">
      <c r="A57" s="421"/>
      <c r="B57" s="328" t="s">
        <v>374</v>
      </c>
      <c r="C57" s="422"/>
      <c r="D57" s="422"/>
      <c r="E57" s="423"/>
      <c r="F57" s="452"/>
      <c r="G57" s="978"/>
      <c r="H57" s="451"/>
      <c r="I57" s="452"/>
      <c r="J57" s="1148"/>
      <c r="K57" s="1164"/>
      <c r="L57" s="1164"/>
      <c r="M57" s="1171">
        <f>L57+K57</f>
        <v>0</v>
      </c>
      <c r="N57" s="1279"/>
      <c r="O57" s="401"/>
      <c r="P57" s="1185"/>
      <c r="Q57" s="899"/>
    </row>
    <row r="58" spans="1:17" s="64" customFormat="1" ht="29.4" hidden="1" customHeight="1" thickBot="1">
      <c r="A58" s="168"/>
      <c r="B58" s="65" t="s">
        <v>434</v>
      </c>
      <c r="C58" s="76">
        <v>242</v>
      </c>
      <c r="D58" s="76">
        <v>211</v>
      </c>
      <c r="E58" s="311"/>
      <c r="F58" s="378"/>
      <c r="G58" s="378"/>
      <c r="H58" s="321"/>
      <c r="I58" s="378"/>
      <c r="J58" s="385"/>
      <c r="K58" s="1165">
        <f>'1.15передача и сбыт'!K59*0.95</f>
        <v>0</v>
      </c>
      <c r="L58" s="1163"/>
      <c r="M58" s="1171">
        <f>L58+K58</f>
        <v>0</v>
      </c>
      <c r="N58" s="393" t="e">
        <f>H58*$N$68/$Q$68</f>
        <v>#DIV/0!</v>
      </c>
      <c r="O58" s="1202"/>
      <c r="P58" s="1185"/>
      <c r="Q58" s="899"/>
    </row>
    <row r="59" spans="1:17" s="68" customFormat="1" ht="19.5" customHeight="1" thickBot="1">
      <c r="A59" s="66" t="s">
        <v>39</v>
      </c>
      <c r="B59" s="67" t="s">
        <v>53</v>
      </c>
      <c r="C59" s="77">
        <v>6249</v>
      </c>
      <c r="D59" s="77">
        <f>D8+D10+D12+D13+D16+D22+D24+D25</f>
        <v>8358.3393949999991</v>
      </c>
      <c r="E59" s="312"/>
      <c r="F59" s="379">
        <v>8577</v>
      </c>
      <c r="G59" s="379">
        <f>G7+G8+G10+G12+G13+G16+G22+G24+G25</f>
        <v>9288.62563004</v>
      </c>
      <c r="H59" s="322"/>
      <c r="I59" s="379">
        <v>6462</v>
      </c>
      <c r="J59" s="386"/>
      <c r="K59" s="1166">
        <f>K7+K8+K10+K12+K13+K16+K22+K24+K25</f>
        <v>10919.746919519999</v>
      </c>
      <c r="L59" s="1166">
        <f>L7+L8+L10+L12+L13+L16+L22+L24+L25</f>
        <v>4958.8611105161144</v>
      </c>
      <c r="M59" s="1166">
        <f>M7+M8+M10+M12+M13+M16+M22+M24+M25</f>
        <v>4975.9611105161148</v>
      </c>
      <c r="N59" s="950" t="e">
        <f>N8+N10+N12+N13+N16+N22+N24+N25</f>
        <v>#DIV/0!</v>
      </c>
      <c r="O59" s="951">
        <f>L59+M59</f>
        <v>9934.8222210322292</v>
      </c>
      <c r="P59" s="950"/>
      <c r="Q59" s="902">
        <f>Q8+Q10+Q12+Q13+Q16+Q22+Q24+Q25</f>
        <v>0</v>
      </c>
    </row>
    <row r="60" spans="1:17" s="347" customFormat="1" ht="31.5" hidden="1" customHeight="1">
      <c r="A60" s="348"/>
      <c r="B60" s="349" t="s">
        <v>7</v>
      </c>
      <c r="C60" s="350"/>
      <c r="D60" s="350"/>
      <c r="E60" s="351"/>
      <c r="F60" s="380"/>
      <c r="G60" s="380"/>
      <c r="H60" s="352"/>
      <c r="I60" s="380"/>
      <c r="J60" s="1149"/>
      <c r="K60" s="1167"/>
      <c r="L60" s="1167"/>
      <c r="M60" s="1203"/>
      <c r="N60" s="394"/>
      <c r="O60" s="403"/>
      <c r="P60" s="1187"/>
      <c r="Q60" s="903"/>
    </row>
    <row r="61" spans="1:17" s="347" customFormat="1" ht="30" customHeight="1">
      <c r="A61" s="167" t="s">
        <v>40</v>
      </c>
      <c r="B61" s="62" t="s">
        <v>57</v>
      </c>
      <c r="C61" s="73"/>
      <c r="D61" s="73">
        <v>519</v>
      </c>
      <c r="E61" s="344"/>
      <c r="F61" s="1014">
        <v>4064</v>
      </c>
      <c r="G61" s="1014"/>
      <c r="H61" s="1015"/>
      <c r="I61" s="1014"/>
      <c r="J61" s="1150"/>
      <c r="K61" s="1168"/>
      <c r="L61" s="1168"/>
      <c r="M61" s="1204"/>
      <c r="N61" s="1017"/>
      <c r="O61" s="1016"/>
      <c r="P61" s="1188"/>
      <c r="Q61" s="900"/>
    </row>
    <row r="62" spans="1:17" s="347" customFormat="1" ht="33.75" customHeight="1" thickBot="1">
      <c r="A62" s="169" t="s">
        <v>41</v>
      </c>
      <c r="B62" s="69" t="s">
        <v>58</v>
      </c>
      <c r="C62" s="78"/>
      <c r="D62" s="78"/>
      <c r="E62" s="353"/>
      <c r="F62" s="1018">
        <v>8683</v>
      </c>
      <c r="G62" s="1018"/>
      <c r="H62" s="1019"/>
      <c r="I62" s="1018"/>
      <c r="J62" s="1020"/>
      <c r="K62" s="1169"/>
      <c r="L62" s="1169"/>
      <c r="M62" s="1205"/>
      <c r="N62" s="1021"/>
      <c r="O62" s="1206"/>
      <c r="P62" s="1189"/>
      <c r="Q62" s="904"/>
    </row>
    <row r="63" spans="1:17" s="72" customFormat="1" ht="30.75" customHeight="1" thickBot="1">
      <c r="A63" s="70" t="s">
        <v>42</v>
      </c>
      <c r="B63" s="71" t="s">
        <v>54</v>
      </c>
      <c r="C63" s="79">
        <v>6249</v>
      </c>
      <c r="D63" s="79">
        <f>D59+D61</f>
        <v>8877.3393949999991</v>
      </c>
      <c r="E63" s="313"/>
      <c r="F63" s="381">
        <v>3958</v>
      </c>
      <c r="G63" s="381">
        <f>G59</f>
        <v>9288.62563004</v>
      </c>
      <c r="H63" s="323"/>
      <c r="I63" s="381">
        <f>I59</f>
        <v>6462</v>
      </c>
      <c r="J63" s="387"/>
      <c r="K63" s="1170">
        <f>K59</f>
        <v>10919.746919519999</v>
      </c>
      <c r="L63" s="1170">
        <f>L59</f>
        <v>4958.8611105161144</v>
      </c>
      <c r="M63" s="1170">
        <f>M59</f>
        <v>4975.9611105161148</v>
      </c>
      <c r="N63" s="396" t="e">
        <f>N59+N61</f>
        <v>#DIV/0!</v>
      </c>
      <c r="O63" s="381">
        <f>O59</f>
        <v>9934.8222210322292</v>
      </c>
      <c r="P63" s="1190"/>
      <c r="Q63" s="905">
        <f>Q59+Q61-Q62</f>
        <v>0</v>
      </c>
    </row>
    <row r="64" spans="1:17" s="347" customFormat="1" ht="13.5" hidden="1" customHeight="1">
      <c r="A64" s="348"/>
      <c r="B64" s="349" t="s">
        <v>43</v>
      </c>
      <c r="C64" s="350"/>
      <c r="D64" s="350"/>
      <c r="E64" s="351"/>
      <c r="F64" s="380"/>
      <c r="G64" s="380"/>
      <c r="H64" s="352"/>
      <c r="I64" s="380"/>
      <c r="J64" s="1149"/>
      <c r="K64" s="1167"/>
      <c r="L64" s="1167"/>
      <c r="M64" s="1203"/>
      <c r="N64" s="394"/>
      <c r="O64" s="403"/>
      <c r="P64" s="1187"/>
      <c r="Q64" s="903"/>
    </row>
    <row r="65" spans="1:17" s="347" customFormat="1" ht="13.5" hidden="1" customHeight="1">
      <c r="A65" s="167" t="s">
        <v>44</v>
      </c>
      <c r="B65" s="62" t="s">
        <v>45</v>
      </c>
      <c r="C65" s="73"/>
      <c r="D65" s="73"/>
      <c r="E65" s="344"/>
      <c r="F65" s="373"/>
      <c r="G65" s="373"/>
      <c r="H65" s="345"/>
      <c r="I65" s="373"/>
      <c r="J65" s="1146"/>
      <c r="K65" s="1161"/>
      <c r="L65" s="1161"/>
      <c r="M65" s="1199"/>
      <c r="N65" s="395"/>
      <c r="O65" s="404"/>
      <c r="P65" s="1191"/>
      <c r="Q65" s="904"/>
    </row>
    <row r="66" spans="1:17" s="347" customFormat="1" ht="13.5" hidden="1" customHeight="1">
      <c r="A66" s="167" t="s">
        <v>46</v>
      </c>
      <c r="B66" s="62" t="s">
        <v>47</v>
      </c>
      <c r="C66" s="73">
        <v>6249</v>
      </c>
      <c r="D66" s="73">
        <f>D63</f>
        <v>8877.3393949999991</v>
      </c>
      <c r="E66" s="344"/>
      <c r="F66" s="373">
        <f>F63</f>
        <v>3958</v>
      </c>
      <c r="G66" s="373">
        <f>G63</f>
        <v>9288.62563004</v>
      </c>
      <c r="H66" s="354"/>
      <c r="I66" s="373">
        <f>I63</f>
        <v>6462</v>
      </c>
      <c r="J66" s="1146"/>
      <c r="K66" s="1161">
        <f>K63</f>
        <v>10919.746919519999</v>
      </c>
      <c r="L66" s="1161">
        <f>L63</f>
        <v>4958.8611105161144</v>
      </c>
      <c r="M66" s="1161">
        <f>M63</f>
        <v>4975.9611105161148</v>
      </c>
      <c r="N66" s="397" t="e">
        <f>N63</f>
        <v>#DIV/0!</v>
      </c>
      <c r="O66" s="1207">
        <f>O63</f>
        <v>9934.8222210322292</v>
      </c>
      <c r="P66" s="1192"/>
      <c r="Q66" s="906">
        <f>Q63</f>
        <v>0</v>
      </c>
    </row>
    <row r="67" spans="1:17" s="347" customFormat="1" ht="13.5" hidden="1" customHeight="1">
      <c r="A67" s="167" t="s">
        <v>48</v>
      </c>
      <c r="B67" s="62" t="s">
        <v>49</v>
      </c>
      <c r="C67" s="73"/>
      <c r="D67" s="73"/>
      <c r="E67" s="344"/>
      <c r="F67" s="373"/>
      <c r="G67" s="373"/>
      <c r="H67" s="345"/>
      <c r="I67" s="373"/>
      <c r="J67" s="1146"/>
      <c r="K67" s="1161"/>
      <c r="L67" s="1161"/>
      <c r="M67" s="1199"/>
      <c r="N67" s="392"/>
      <c r="O67" s="402"/>
      <c r="P67" s="1188"/>
      <c r="Q67" s="900"/>
    </row>
    <row r="68" spans="1:17" s="72" customFormat="1" ht="13.5" hidden="1" customHeight="1">
      <c r="A68" s="170">
        <v>14</v>
      </c>
      <c r="B68" s="101" t="s">
        <v>421</v>
      </c>
      <c r="C68" s="102">
        <v>3720</v>
      </c>
      <c r="D68" s="103">
        <f>'[4]1.2.2'!D20*1000</f>
        <v>4141.9999999999991</v>
      </c>
      <c r="E68" s="314"/>
      <c r="F68" s="382">
        <f>'1.2.2'!C21*1000</f>
        <v>11760</v>
      </c>
      <c r="G68" s="382">
        <f>'1.2.2'!D21*1000</f>
        <v>10675</v>
      </c>
      <c r="H68" s="317"/>
      <c r="I68" s="382">
        <f>'1.2.2'!E21*1000</f>
        <v>11785</v>
      </c>
      <c r="J68" s="1151"/>
      <c r="K68" s="1171">
        <f>'1.2.2'!F21*1000</f>
        <v>8050.0000000000009</v>
      </c>
      <c r="L68" s="1171">
        <f>'1.2.2'!G21*1000</f>
        <v>4461</v>
      </c>
      <c r="M68" s="1171">
        <f>'1.2.2'!H21*1000</f>
        <v>4666</v>
      </c>
      <c r="N68" s="390">
        <f>'1.2.2'!L20*1000</f>
        <v>0</v>
      </c>
      <c r="O68" s="401">
        <f>'1.2.2'!I21*1000</f>
        <v>9126.9999999999982</v>
      </c>
      <c r="P68" s="1185"/>
      <c r="Q68" s="897">
        <f>'1.2.2'!O20*1000</f>
        <v>0</v>
      </c>
    </row>
    <row r="69" spans="1:17" s="72" customFormat="1" ht="13.5" hidden="1" customHeight="1">
      <c r="A69" s="945">
        <v>15</v>
      </c>
      <c r="B69" s="101" t="s">
        <v>419</v>
      </c>
      <c r="C69" s="102"/>
      <c r="D69" s="103"/>
      <c r="E69" s="944"/>
      <c r="F69" s="946">
        <f>F66/F68</f>
        <v>0.33656462585034014</v>
      </c>
      <c r="G69" s="946">
        <f>G66/G68</f>
        <v>0.87012886464074946</v>
      </c>
      <c r="H69" s="317"/>
      <c r="I69" s="946">
        <f>I66/I68</f>
        <v>0.54832414085702164</v>
      </c>
      <c r="J69" s="1151"/>
      <c r="K69" s="1172">
        <f>K66/K68</f>
        <v>1.3564903005614903</v>
      </c>
      <c r="L69" s="1172">
        <f>L66/L68</f>
        <v>1.1116030285846479</v>
      </c>
      <c r="M69" s="1172">
        <f>M66/M68</f>
        <v>1.0664297279288715</v>
      </c>
      <c r="N69" s="390"/>
      <c r="O69" s="946">
        <f>O66/O68</f>
        <v>1.0885090633321168</v>
      </c>
      <c r="P69" s="1185"/>
      <c r="Q69" s="897"/>
    </row>
    <row r="70" spans="1:17" s="347" customFormat="1" ht="13.5" hidden="1" customHeight="1">
      <c r="A70" s="355">
        <v>16</v>
      </c>
      <c r="B70" s="62" t="s">
        <v>61</v>
      </c>
      <c r="C70" s="346"/>
      <c r="D70" s="346"/>
      <c r="E70" s="344"/>
      <c r="F70" s="1001">
        <v>25</v>
      </c>
      <c r="G70" s="1001">
        <v>40</v>
      </c>
      <c r="H70" s="997"/>
      <c r="I70" s="1001">
        <v>27</v>
      </c>
      <c r="J70" s="1152"/>
      <c r="K70" s="1173">
        <f>('1.21передача и сбыт'!F28)*0.95</f>
        <v>71.25</v>
      </c>
      <c r="L70" s="1173">
        <f>('1.21передача и сбыт'!G28)*0.95</f>
        <v>15.43275</v>
      </c>
      <c r="M70" s="1208">
        <f>('1.21передача и сбыт'!H28)*0.95</f>
        <v>15.43275</v>
      </c>
      <c r="N70" s="1023"/>
      <c r="O70" s="1022">
        <f>('1.21передача и сбыт'!I28)*0.95</f>
        <v>30.846519000000004</v>
      </c>
      <c r="P70" s="1188"/>
      <c r="Q70" s="900"/>
    </row>
    <row r="71" spans="1:17" s="347" customFormat="1" ht="13.5" hidden="1" customHeight="1">
      <c r="A71" s="355">
        <v>17</v>
      </c>
      <c r="B71" s="62" t="s">
        <v>62</v>
      </c>
      <c r="C71" s="346">
        <f>C63+C70</f>
        <v>6249</v>
      </c>
      <c r="D71" s="346">
        <f>D63+D70</f>
        <v>8877.3393949999991</v>
      </c>
      <c r="E71" s="356"/>
      <c r="F71" s="1001">
        <f>F63+F70</f>
        <v>3983</v>
      </c>
      <c r="G71" s="373">
        <f>G63+G70</f>
        <v>9328.62563004</v>
      </c>
      <c r="H71" s="354"/>
      <c r="I71" s="1001">
        <f>I63+I70</f>
        <v>6489</v>
      </c>
      <c r="J71" s="1146"/>
      <c r="K71" s="1161">
        <f>K63+K70</f>
        <v>10990.996919519999</v>
      </c>
      <c r="L71" s="1161">
        <f>L63+L70</f>
        <v>4974.2938605161144</v>
      </c>
      <c r="M71" s="1161">
        <f>M63+M70</f>
        <v>4991.3938605161147</v>
      </c>
      <c r="N71" s="398" t="e">
        <f>N63+N70</f>
        <v>#DIV/0!</v>
      </c>
      <c r="O71" s="1209">
        <f>O63+O70</f>
        <v>9965.6687400322298</v>
      </c>
      <c r="P71" s="1193"/>
      <c r="Q71" s="907"/>
    </row>
    <row r="72" spans="1:17" s="357" customFormat="1" ht="28.5" hidden="1" customHeight="1">
      <c r="A72" s="947">
        <v>18</v>
      </c>
      <c r="B72" s="880" t="s">
        <v>420</v>
      </c>
      <c r="C72" s="881">
        <f>C71/C68</f>
        <v>1.6798387096774194</v>
      </c>
      <c r="D72" s="881">
        <f>D71/D68</f>
        <v>2.1432494917914053</v>
      </c>
      <c r="E72" s="881"/>
      <c r="F72" s="1002">
        <v>1.2529999999999999</v>
      </c>
      <c r="G72" s="975">
        <f>G71/G68</f>
        <v>0.87387593724028101</v>
      </c>
      <c r="H72" s="998"/>
      <c r="I72" s="1002">
        <v>0.57399999999999995</v>
      </c>
      <c r="J72" s="1153"/>
      <c r="K72" s="1174">
        <f t="shared" ref="K72:Q72" si="1">K71/K68</f>
        <v>1.365341232238509</v>
      </c>
      <c r="L72" s="1174">
        <f t="shared" si="1"/>
        <v>1.1150625107635315</v>
      </c>
      <c r="M72" s="1174">
        <f t="shared" si="1"/>
        <v>1.0697372182846367</v>
      </c>
      <c r="N72" s="1213" t="e">
        <f t="shared" si="1"/>
        <v>#DIV/0!</v>
      </c>
      <c r="O72" s="975">
        <f t="shared" si="1"/>
        <v>1.0918887630143783</v>
      </c>
      <c r="P72" s="1194"/>
      <c r="Q72" s="908" t="e">
        <f t="shared" si="1"/>
        <v>#DIV/0!</v>
      </c>
    </row>
    <row r="73" spans="1:17" s="105" customFormat="1" ht="21" hidden="1" customHeight="1">
      <c r="A73" s="171">
        <v>19</v>
      </c>
      <c r="B73" s="104" t="s">
        <v>353</v>
      </c>
      <c r="C73" s="108">
        <f>C71-C75</f>
        <v>4880</v>
      </c>
      <c r="D73" s="108">
        <f>D71-D75</f>
        <v>7356.3393949999991</v>
      </c>
      <c r="E73" s="315"/>
      <c r="F73" s="371">
        <v>4748</v>
      </c>
      <c r="G73" s="976">
        <f>G71-G75</f>
        <v>8729.1338300400002</v>
      </c>
      <c r="H73" s="999"/>
      <c r="I73" s="371">
        <v>4288</v>
      </c>
      <c r="J73" s="1154"/>
      <c r="K73" s="1175">
        <f t="shared" ref="K73:Q73" si="2">K71-K75</f>
        <v>8953.4369195199997</v>
      </c>
      <c r="L73" s="1175">
        <f t="shared" si="2"/>
        <v>4738.4724877161143</v>
      </c>
      <c r="M73" s="1175">
        <f t="shared" si="2"/>
        <v>4755.5724877161147</v>
      </c>
      <c r="N73" s="1000" t="e">
        <f t="shared" si="2"/>
        <v>#DIV/0!</v>
      </c>
      <c r="O73" s="1210">
        <f t="shared" si="2"/>
        <v>9494.0259944322297</v>
      </c>
      <c r="P73" s="1193"/>
      <c r="Q73" s="909">
        <f t="shared" si="2"/>
        <v>0</v>
      </c>
    </row>
    <row r="74" spans="1:17" s="357" customFormat="1" ht="13.5" hidden="1" customHeight="1">
      <c r="A74" s="883">
        <v>20</v>
      </c>
      <c r="B74" s="880" t="s">
        <v>66</v>
      </c>
      <c r="C74" s="881">
        <f>C73/C68</f>
        <v>1.3118279569892473</v>
      </c>
      <c r="D74" s="881">
        <f>D73/D68</f>
        <v>1.7760355854659586</v>
      </c>
      <c r="E74" s="881"/>
      <c r="F74" s="1002">
        <f>F73/F68</f>
        <v>0.40374149659863945</v>
      </c>
      <c r="G74" s="882">
        <f>G73/G68</f>
        <v>0.81771745480468383</v>
      </c>
      <c r="H74" s="881"/>
      <c r="I74" s="1002">
        <f>I73/I68</f>
        <v>0.3638523546881629</v>
      </c>
      <c r="J74" s="1155"/>
      <c r="K74" s="1176">
        <f t="shared" ref="K74:Q74" si="3">K73/K68</f>
        <v>1.1122281887602483</v>
      </c>
      <c r="L74" s="1176">
        <f t="shared" si="3"/>
        <v>1.0621996161659077</v>
      </c>
      <c r="M74" s="1176">
        <f t="shared" si="3"/>
        <v>1.0191968469172985</v>
      </c>
      <c r="N74" s="424" t="e">
        <f t="shared" si="3"/>
        <v>#DIV/0!</v>
      </c>
      <c r="O74" s="882">
        <f t="shared" si="3"/>
        <v>1.0402132129322046</v>
      </c>
      <c r="P74" s="1194"/>
      <c r="Q74" s="910" t="e">
        <f t="shared" si="3"/>
        <v>#DIV/0!</v>
      </c>
    </row>
    <row r="75" spans="1:17" s="105" customFormat="1" ht="26.25" hidden="1" customHeight="1">
      <c r="A75" s="172">
        <v>21</v>
      </c>
      <c r="B75" s="106" t="s">
        <v>67</v>
      </c>
      <c r="C75" s="108">
        <v>1369</v>
      </c>
      <c r="D75" s="108">
        <v>1521</v>
      </c>
      <c r="E75" s="315"/>
      <c r="F75" s="371">
        <f>F13</f>
        <v>2005</v>
      </c>
      <c r="G75" s="371">
        <f>G13</f>
        <v>599.49180000000001</v>
      </c>
      <c r="H75" s="315"/>
      <c r="I75" s="371">
        <f>I13</f>
        <v>2276</v>
      </c>
      <c r="J75" s="1145"/>
      <c r="K75" s="1158">
        <f t="shared" ref="K75:Q75" si="4">K13</f>
        <v>2037.5600000000002</v>
      </c>
      <c r="L75" s="1158">
        <f t="shared" si="4"/>
        <v>235.82137279999998</v>
      </c>
      <c r="M75" s="1158">
        <f t="shared" si="4"/>
        <v>235.82137279999998</v>
      </c>
      <c r="N75" s="399">
        <f t="shared" si="4"/>
        <v>0</v>
      </c>
      <c r="O75" s="1211">
        <f t="shared" si="4"/>
        <v>471.64274559999996</v>
      </c>
      <c r="P75" s="1195"/>
      <c r="Q75" s="911">
        <f t="shared" si="4"/>
        <v>0</v>
      </c>
    </row>
    <row r="76" spans="1:17" s="357" customFormat="1" ht="13.5" hidden="1" customHeight="1" thickBot="1">
      <c r="A76" s="884">
        <v>22</v>
      </c>
      <c r="B76" s="885" t="s">
        <v>68</v>
      </c>
      <c r="C76" s="886">
        <v>0.37</v>
      </c>
      <c r="D76" s="886">
        <f>D13/D68</f>
        <v>0.36720344640270408</v>
      </c>
      <c r="E76" s="886"/>
      <c r="F76" s="1003">
        <v>9.3090000000000006E-2</v>
      </c>
      <c r="G76" s="888">
        <f>G13/G68</f>
        <v>5.6158482435597193E-2</v>
      </c>
      <c r="H76" s="887"/>
      <c r="I76" s="1315">
        <v>0.25800000000000001</v>
      </c>
      <c r="J76" s="1156"/>
      <c r="K76" s="1177">
        <f t="shared" ref="K76:Q76" si="5">K13/K68</f>
        <v>0.25311304347826086</v>
      </c>
      <c r="L76" s="1177">
        <f t="shared" si="5"/>
        <v>5.2862894597623847E-2</v>
      </c>
      <c r="M76" s="1177">
        <f t="shared" si="5"/>
        <v>5.0540371367338188E-2</v>
      </c>
      <c r="N76" s="425" t="e">
        <f t="shared" si="5"/>
        <v>#DIV/0!</v>
      </c>
      <c r="O76" s="888">
        <f t="shared" si="5"/>
        <v>5.1675550082173775E-2</v>
      </c>
      <c r="P76" s="1196"/>
      <c r="Q76" s="912" t="e">
        <f t="shared" si="5"/>
        <v>#DIV/0!</v>
      </c>
    </row>
    <row r="77" spans="1:17"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</row>
    <row r="79" spans="1:17" ht="15" customHeight="1">
      <c r="A79" s="110" t="s">
        <v>377</v>
      </c>
      <c r="B79" s="454"/>
      <c r="C79" s="455"/>
      <c r="D79" s="455"/>
      <c r="E79" s="455"/>
      <c r="F79" s="455"/>
      <c r="G79" s="455"/>
      <c r="H79" s="455"/>
      <c r="I79" s="455"/>
      <c r="J79" s="456"/>
      <c r="K79" s="456"/>
      <c r="L79" s="18"/>
      <c r="M79" s="456" t="s">
        <v>436</v>
      </c>
      <c r="N79" s="360"/>
      <c r="O79" s="360"/>
      <c r="P79" s="360"/>
      <c r="Q79" s="360"/>
    </row>
    <row r="80" spans="1:17">
      <c r="A80" s="110" t="s">
        <v>378</v>
      </c>
      <c r="B80" s="110"/>
      <c r="C80" s="453"/>
      <c r="D80" s="453"/>
      <c r="E80" s="453"/>
      <c r="F80" s="453"/>
      <c r="G80" s="453"/>
      <c r="H80" s="453"/>
      <c r="I80" s="453"/>
      <c r="J80" s="453"/>
      <c r="K80" s="453"/>
      <c r="N80" s="361"/>
    </row>
    <row r="81" spans="1:17" ht="17.25" customHeight="1">
      <c r="A81" s="110" t="s">
        <v>379</v>
      </c>
      <c r="B81" s="110"/>
      <c r="C81" s="453"/>
      <c r="D81" s="453"/>
      <c r="E81" s="453"/>
      <c r="F81" s="453"/>
      <c r="G81" s="453"/>
      <c r="H81" s="453"/>
      <c r="I81" s="453"/>
      <c r="J81" s="453"/>
      <c r="K81" s="453"/>
      <c r="Q81" s="362"/>
    </row>
    <row r="84" spans="1:17">
      <c r="N84" s="363"/>
      <c r="O84" s="363"/>
      <c r="P84" s="363"/>
      <c r="Q84" s="363"/>
    </row>
    <row r="85" spans="1:17">
      <c r="N85" s="364"/>
      <c r="O85" s="364"/>
      <c r="P85" s="364"/>
      <c r="Q85" s="364"/>
    </row>
    <row r="86" spans="1:17" ht="15.6">
      <c r="N86" s="365"/>
      <c r="O86" s="366"/>
      <c r="P86" s="366"/>
      <c r="Q86" s="367"/>
    </row>
  </sheetData>
  <mergeCells count="2">
    <mergeCell ref="B1:M1"/>
    <mergeCell ref="A2:Q2"/>
  </mergeCells>
  <phoneticPr fontId="4" type="noConversion"/>
  <pageMargins left="0.78740157480314965" right="0.78740157480314965" top="0" bottom="0" header="0.51181102362204722" footer="0.51181102362204722"/>
  <pageSetup paperSize="9" scale="4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Y54"/>
  <sheetViews>
    <sheetView zoomScale="80" workbookViewId="0">
      <selection activeCell="R44" sqref="R44"/>
    </sheetView>
  </sheetViews>
  <sheetFormatPr defaultRowHeight="13.2"/>
  <cols>
    <col min="1" max="1" width="6.109375" customWidth="1"/>
    <col min="2" max="2" width="58.33203125" customWidth="1"/>
    <col min="3" max="3" width="7.109375" style="2" customWidth="1"/>
    <col min="4" max="4" width="9.33203125" style="124" hidden="1" customWidth="1"/>
    <col min="5" max="5" width="9.44140625" style="124" hidden="1" customWidth="1"/>
    <col min="6" max="6" width="10.6640625" style="124" hidden="1" customWidth="1"/>
    <col min="7" max="7" width="10.5546875" style="124" customWidth="1"/>
    <col min="8" max="8" width="10.6640625" style="150" hidden="1" customWidth="1"/>
    <col min="9" max="9" width="11" style="124" customWidth="1"/>
    <col min="10" max="10" width="9.109375" style="124" hidden="1" customWidth="1"/>
    <col min="11" max="11" width="12.33203125" bestFit="1" customWidth="1"/>
    <col min="12" max="12" width="12.33203125" customWidth="1"/>
    <col min="13" max="13" width="12.44140625" customWidth="1"/>
    <col min="14" max="14" width="11.44140625" customWidth="1"/>
    <col min="15" max="17" width="10.44140625" hidden="1" customWidth="1"/>
    <col min="18" max="19" width="10.44140625" customWidth="1"/>
    <col min="20" max="20" width="16.109375" customWidth="1"/>
    <col min="21" max="24" width="10.44140625" hidden="1" customWidth="1"/>
    <col min="25" max="25" width="12.6640625" hidden="1" customWidth="1"/>
  </cols>
  <sheetData>
    <row r="1" spans="1:25" ht="15.6">
      <c r="B1" s="419" t="s">
        <v>359</v>
      </c>
      <c r="C1" s="92"/>
      <c r="D1" s="11"/>
      <c r="E1" s="11"/>
      <c r="F1" s="11"/>
      <c r="G1" s="11"/>
      <c r="H1" s="11"/>
      <c r="I1" s="11"/>
      <c r="J1" s="11"/>
      <c r="K1" s="13"/>
      <c r="L1" s="13"/>
      <c r="M1" s="13"/>
      <c r="N1" s="13"/>
      <c r="O1" s="13"/>
      <c r="P1" s="13"/>
      <c r="R1" s="13"/>
      <c r="S1" s="13"/>
      <c r="T1" s="13" t="s">
        <v>76</v>
      </c>
      <c r="U1" s="13"/>
      <c r="V1" s="13"/>
      <c r="W1" s="13"/>
      <c r="X1" s="13"/>
      <c r="Y1" s="13"/>
    </row>
    <row r="2" spans="1:25" hidden="1">
      <c r="A2" s="3"/>
    </row>
    <row r="3" spans="1:25" hidden="1">
      <c r="A3" s="3"/>
    </row>
    <row r="4" spans="1:25" ht="12.75" customHeight="1">
      <c r="A4" s="1759" t="s">
        <v>317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</row>
    <row r="5" spans="1:25" ht="12.75" customHeight="1">
      <c r="A5" s="1759"/>
      <c r="B5" s="1759"/>
      <c r="C5" s="1759"/>
      <c r="D5" s="1759"/>
      <c r="E5" s="1759"/>
      <c r="F5" s="1759"/>
      <c r="G5" s="1759"/>
      <c r="H5" s="1759"/>
      <c r="I5" s="1759"/>
      <c r="J5" s="1759"/>
      <c r="K5" s="1759"/>
      <c r="L5" s="1759"/>
      <c r="M5" s="1759"/>
      <c r="N5" s="1759"/>
      <c r="O5" s="1759"/>
      <c r="P5" s="1759"/>
      <c r="Q5" s="1759"/>
      <c r="R5" s="1759"/>
      <c r="S5" s="1759"/>
      <c r="T5" s="1759"/>
      <c r="U5" s="1759"/>
      <c r="V5" s="1759"/>
      <c r="W5" s="1759"/>
      <c r="X5" s="1759"/>
      <c r="Y5" s="1759"/>
    </row>
    <row r="6" spans="1:25" ht="15.75" customHeight="1">
      <c r="A6" s="1760" t="s">
        <v>440</v>
      </c>
      <c r="B6" s="1760"/>
      <c r="C6" s="1760"/>
      <c r="D6" s="1760"/>
      <c r="E6" s="1760"/>
      <c r="F6" s="1760"/>
      <c r="G6" s="1760"/>
      <c r="H6" s="1760"/>
      <c r="I6" s="1760"/>
      <c r="J6" s="1760"/>
      <c r="K6" s="1760"/>
      <c r="L6" s="1760"/>
      <c r="M6" s="1760"/>
      <c r="N6" s="1760"/>
      <c r="O6" s="1760"/>
      <c r="P6" s="1760"/>
      <c r="Q6" s="1760"/>
      <c r="R6" s="1760"/>
      <c r="S6" s="1760"/>
      <c r="T6" s="1760"/>
      <c r="U6" s="1760"/>
      <c r="V6" s="1760"/>
      <c r="W6" s="1760"/>
      <c r="X6" s="1760"/>
      <c r="Y6" s="1760"/>
    </row>
    <row r="7" spans="1:25" ht="12" customHeight="1">
      <c r="A7" s="113"/>
      <c r="B7" s="113"/>
      <c r="C7" s="91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57"/>
      <c r="S7" s="113"/>
      <c r="T7" s="113"/>
      <c r="U7" s="157"/>
      <c r="V7" s="113"/>
      <c r="W7" s="113"/>
      <c r="X7" s="113"/>
      <c r="Y7" s="113"/>
    </row>
    <row r="8" spans="1:25" ht="12" customHeight="1" thickBot="1">
      <c r="A8" s="1"/>
      <c r="C8" s="125"/>
      <c r="D8" s="4"/>
      <c r="E8" s="4"/>
      <c r="F8" s="4"/>
      <c r="G8" s="4"/>
      <c r="H8" s="151"/>
      <c r="I8" s="4"/>
      <c r="J8" s="4"/>
    </row>
    <row r="9" spans="1:25" ht="63.75" customHeight="1" thickBot="1">
      <c r="A9" s="727" t="s">
        <v>77</v>
      </c>
      <c r="B9" s="727" t="s">
        <v>78</v>
      </c>
      <c r="C9" s="728" t="s">
        <v>79</v>
      </c>
      <c r="D9" s="729" t="s">
        <v>80</v>
      </c>
      <c r="E9" s="148" t="s">
        <v>81</v>
      </c>
      <c r="F9" s="148" t="s">
        <v>82</v>
      </c>
      <c r="G9" s="1005" t="s">
        <v>466</v>
      </c>
      <c r="H9" s="148" t="s">
        <v>83</v>
      </c>
      <c r="I9" s="1006" t="s">
        <v>450</v>
      </c>
      <c r="J9" s="731" t="s">
        <v>354</v>
      </c>
      <c r="K9" s="1005" t="s">
        <v>468</v>
      </c>
      <c r="L9" s="732" t="s">
        <v>460</v>
      </c>
      <c r="M9" s="733" t="s">
        <v>453</v>
      </c>
      <c r="N9" s="733" t="s">
        <v>454</v>
      </c>
      <c r="O9" s="731" t="s">
        <v>394</v>
      </c>
      <c r="P9" s="149" t="s">
        <v>395</v>
      </c>
      <c r="Q9" s="149" t="s">
        <v>396</v>
      </c>
      <c r="R9" s="733" t="s">
        <v>455</v>
      </c>
      <c r="S9" s="734" t="s">
        <v>448</v>
      </c>
      <c r="T9" s="298"/>
      <c r="U9" s="243" t="s">
        <v>356</v>
      </c>
      <c r="V9" s="250" t="s">
        <v>357</v>
      </c>
      <c r="W9" s="269" t="s">
        <v>356</v>
      </c>
      <c r="X9" s="257" t="s">
        <v>357</v>
      </c>
      <c r="Y9" s="279" t="s">
        <v>355</v>
      </c>
    </row>
    <row r="10" spans="1:25" s="114" customFormat="1" ht="16.5" customHeight="1" thickBot="1">
      <c r="A10" s="735">
        <v>1</v>
      </c>
      <c r="B10" s="736">
        <v>2</v>
      </c>
      <c r="C10" s="737">
        <v>3</v>
      </c>
      <c r="D10" s="738">
        <v>4</v>
      </c>
      <c r="E10" s="739">
        <v>5</v>
      </c>
      <c r="F10" s="739">
        <v>4</v>
      </c>
      <c r="G10" s="740">
        <v>4</v>
      </c>
      <c r="H10" s="739">
        <v>6</v>
      </c>
      <c r="I10" s="741">
        <v>5</v>
      </c>
      <c r="J10" s="742">
        <v>5</v>
      </c>
      <c r="K10" s="741">
        <v>6</v>
      </c>
      <c r="L10" s="737">
        <v>7</v>
      </c>
      <c r="M10" s="737">
        <v>8</v>
      </c>
      <c r="N10" s="737">
        <v>9</v>
      </c>
      <c r="O10" s="742">
        <v>5</v>
      </c>
      <c r="P10" s="740">
        <v>5</v>
      </c>
      <c r="Q10" s="740">
        <v>5</v>
      </c>
      <c r="R10" s="936">
        <v>10</v>
      </c>
      <c r="S10" s="743">
        <v>11</v>
      </c>
      <c r="T10" s="744">
        <v>12</v>
      </c>
      <c r="U10" s="244">
        <f>T10+1</f>
        <v>13</v>
      </c>
      <c r="V10" s="251">
        <f>U10+1</f>
        <v>14</v>
      </c>
      <c r="W10" s="283">
        <v>14</v>
      </c>
      <c r="X10" s="258">
        <v>15</v>
      </c>
      <c r="Y10" s="280">
        <v>16</v>
      </c>
    </row>
    <row r="11" spans="1:25" s="114" customFormat="1" ht="16.5" customHeight="1" thickBot="1">
      <c r="A11" s="745"/>
      <c r="B11" s="746" t="s">
        <v>397</v>
      </c>
      <c r="C11" s="747"/>
      <c r="D11" s="748"/>
      <c r="E11" s="749"/>
      <c r="F11" s="749"/>
      <c r="G11" s="749"/>
      <c r="H11" s="749"/>
      <c r="I11" s="750"/>
      <c r="J11" s="751"/>
      <c r="K11" s="752"/>
      <c r="L11" s="753"/>
      <c r="M11" s="753"/>
      <c r="N11" s="753"/>
      <c r="O11" s="751"/>
      <c r="P11" s="754"/>
      <c r="Q11" s="754"/>
      <c r="R11" s="937"/>
      <c r="S11" s="755"/>
      <c r="T11" s="756"/>
      <c r="U11" s="244"/>
      <c r="V11" s="251"/>
      <c r="W11" s="283"/>
      <c r="X11" s="258"/>
      <c r="Y11" s="280"/>
    </row>
    <row r="12" spans="1:25" s="12" customFormat="1">
      <c r="A12" s="757" t="s">
        <v>3</v>
      </c>
      <c r="B12" s="757" t="s">
        <v>398</v>
      </c>
      <c r="C12" s="758"/>
      <c r="D12" s="759">
        <v>10</v>
      </c>
      <c r="E12" s="115">
        <v>12</v>
      </c>
      <c r="F12" s="126"/>
      <c r="G12" s="761">
        <v>3.8</v>
      </c>
      <c r="H12" s="760"/>
      <c r="I12" s="761">
        <f>4*0.95</f>
        <v>3.8</v>
      </c>
      <c r="J12" s="762"/>
      <c r="K12" s="1253">
        <v>3.8</v>
      </c>
      <c r="L12" s="1254">
        <v>2.85</v>
      </c>
      <c r="M12" s="1253">
        <f>M13</f>
        <v>2.85</v>
      </c>
      <c r="N12" s="1253">
        <f>N13</f>
        <v>2.85</v>
      </c>
      <c r="O12" s="765"/>
      <c r="P12" s="136"/>
      <c r="Q12" s="136"/>
      <c r="R12" s="1253">
        <f>R13</f>
        <v>2.85</v>
      </c>
      <c r="S12" s="153"/>
      <c r="T12" s="299"/>
      <c r="U12" s="245">
        <v>11</v>
      </c>
      <c r="V12" s="252">
        <v>11</v>
      </c>
      <c r="W12" s="284">
        <v>11</v>
      </c>
      <c r="X12" s="259">
        <v>11</v>
      </c>
      <c r="Y12" s="281">
        <v>11</v>
      </c>
    </row>
    <row r="13" spans="1:25" s="12" customFormat="1">
      <c r="A13" s="757"/>
      <c r="B13" s="757" t="s">
        <v>399</v>
      </c>
      <c r="C13" s="758" t="s">
        <v>84</v>
      </c>
      <c r="D13" s="759">
        <v>6</v>
      </c>
      <c r="E13" s="115">
        <v>7</v>
      </c>
      <c r="F13" s="126"/>
      <c r="G13" s="766">
        <v>3.8</v>
      </c>
      <c r="H13" s="126"/>
      <c r="I13" s="766">
        <f>4*0.95</f>
        <v>3.8</v>
      </c>
      <c r="J13" s="767"/>
      <c r="K13" s="1255">
        <v>3.8</v>
      </c>
      <c r="L13" s="1256">
        <v>2.85</v>
      </c>
      <c r="M13" s="1256">
        <v>2.85</v>
      </c>
      <c r="N13" s="1256">
        <v>2.85</v>
      </c>
      <c r="O13" s="765"/>
      <c r="P13" s="136"/>
      <c r="Q13" s="136"/>
      <c r="R13" s="1256">
        <f>N13</f>
        <v>2.85</v>
      </c>
      <c r="S13" s="142"/>
      <c r="T13" s="299"/>
      <c r="U13" s="246">
        <f>$H$13</f>
        <v>0</v>
      </c>
      <c r="V13" s="253">
        <f>$H$13</f>
        <v>0</v>
      </c>
      <c r="W13" s="285">
        <v>5</v>
      </c>
      <c r="X13" s="261">
        <v>5</v>
      </c>
      <c r="Y13" s="270">
        <f>$H$13</f>
        <v>0</v>
      </c>
    </row>
    <row r="14" spans="1:25" s="12" customFormat="1" ht="25.5" customHeight="1">
      <c r="A14" s="770">
        <v>2</v>
      </c>
      <c r="B14" s="757" t="s">
        <v>85</v>
      </c>
      <c r="C14" s="758" t="s">
        <v>86</v>
      </c>
      <c r="D14" s="759">
        <v>5867</v>
      </c>
      <c r="E14" s="115">
        <v>6270</v>
      </c>
      <c r="F14" s="126"/>
      <c r="G14" s="771">
        <v>10885</v>
      </c>
      <c r="H14" s="126"/>
      <c r="I14" s="771">
        <f>(658852+124025)/3.8/12*0.95</f>
        <v>16309.937500000002</v>
      </c>
      <c r="J14" s="767"/>
      <c r="K14" s="768">
        <v>11962</v>
      </c>
      <c r="L14" s="768">
        <f>(137645+38115)/3/3</f>
        <v>19528.888888888887</v>
      </c>
      <c r="M14" s="769">
        <f>K14*1.058</f>
        <v>12655.796</v>
      </c>
      <c r="N14" s="769">
        <f>M14</f>
        <v>12655.796</v>
      </c>
      <c r="O14" s="765"/>
      <c r="P14" s="136"/>
      <c r="Q14" s="136"/>
      <c r="R14" s="938">
        <f>K14*1.058</f>
        <v>12655.796</v>
      </c>
      <c r="S14" s="142"/>
      <c r="T14" s="299"/>
      <c r="U14" s="246">
        <f>K14</f>
        <v>11962</v>
      </c>
      <c r="V14" s="253">
        <f>K14*1.051</f>
        <v>12572.062</v>
      </c>
      <c r="W14" s="285">
        <f>H14</f>
        <v>0</v>
      </c>
      <c r="X14" s="261">
        <f>H14</f>
        <v>0</v>
      </c>
      <c r="Y14" s="270">
        <f>H14</f>
        <v>0</v>
      </c>
    </row>
    <row r="15" spans="1:25" s="12" customFormat="1" ht="39.6" customHeight="1">
      <c r="A15" s="757" t="s">
        <v>189</v>
      </c>
      <c r="B15" s="757" t="s">
        <v>400</v>
      </c>
      <c r="C15" s="758"/>
      <c r="D15" s="759"/>
      <c r="E15" s="115"/>
      <c r="F15" s="126"/>
      <c r="G15" s="771">
        <f>G17+G18+G19</f>
        <v>0</v>
      </c>
      <c r="H15" s="126"/>
      <c r="I15" s="771">
        <f>I17+I18+I19</f>
        <v>0</v>
      </c>
      <c r="J15" s="767"/>
      <c r="K15" s="771">
        <f>K17+K18+K19</f>
        <v>0</v>
      </c>
      <c r="L15" s="771">
        <f>L17+L18+L19</f>
        <v>0</v>
      </c>
      <c r="M15" s="773">
        <f>M17+M18+M19</f>
        <v>0</v>
      </c>
      <c r="N15" s="773">
        <f>N17+N18+N19</f>
        <v>0</v>
      </c>
      <c r="O15" s="765"/>
      <c r="P15" s="136"/>
      <c r="Q15" s="136"/>
      <c r="R15" s="771">
        <f>R17+R18+R19</f>
        <v>0</v>
      </c>
      <c r="S15" s="142"/>
      <c r="T15" s="299"/>
      <c r="U15" s="246"/>
      <c r="V15" s="253"/>
      <c r="W15" s="285"/>
      <c r="X15" s="261"/>
      <c r="Y15" s="270"/>
    </row>
    <row r="16" spans="1:25" s="12" customFormat="1">
      <c r="A16" s="757" t="s">
        <v>401</v>
      </c>
      <c r="B16" s="757" t="s">
        <v>402</v>
      </c>
      <c r="C16" s="758" t="s">
        <v>88</v>
      </c>
      <c r="D16" s="759">
        <v>4</v>
      </c>
      <c r="E16" s="115">
        <v>4</v>
      </c>
      <c r="F16" s="126"/>
      <c r="G16" s="771"/>
      <c r="H16" s="126"/>
      <c r="I16" s="771"/>
      <c r="J16" s="767"/>
      <c r="K16" s="774"/>
      <c r="L16" s="772"/>
      <c r="M16" s="772"/>
      <c r="N16" s="772"/>
      <c r="O16" s="765"/>
      <c r="P16" s="136"/>
      <c r="Q16" s="136"/>
      <c r="R16" s="938"/>
      <c r="S16" s="142"/>
      <c r="T16" s="299"/>
      <c r="U16" s="246">
        <f>K16</f>
        <v>0</v>
      </c>
      <c r="V16" s="253">
        <f>U16</f>
        <v>0</v>
      </c>
      <c r="W16" s="272">
        <f>S16</f>
        <v>0</v>
      </c>
      <c r="X16" s="261">
        <f>T16</f>
        <v>0</v>
      </c>
      <c r="Y16" s="270">
        <f>U16</f>
        <v>0</v>
      </c>
    </row>
    <row r="17" spans="1:25" s="12" customFormat="1" ht="18" customHeight="1">
      <c r="A17" s="757" t="s">
        <v>403</v>
      </c>
      <c r="B17" s="757" t="s">
        <v>404</v>
      </c>
      <c r="C17" s="758" t="s">
        <v>89</v>
      </c>
      <c r="D17" s="759">
        <v>235</v>
      </c>
      <c r="E17" s="115">
        <f>E14*4%</f>
        <v>250.8</v>
      </c>
      <c r="F17" s="115"/>
      <c r="G17" s="775"/>
      <c r="H17" s="115"/>
      <c r="I17" s="775"/>
      <c r="J17" s="765"/>
      <c r="K17" s="774"/>
      <c r="L17" s="772"/>
      <c r="M17" s="772"/>
      <c r="N17" s="772"/>
      <c r="O17" s="765"/>
      <c r="P17" s="136"/>
      <c r="Q17" s="136"/>
      <c r="R17" s="938"/>
      <c r="S17" s="142"/>
      <c r="T17" s="299"/>
      <c r="U17" s="246">
        <f>U14*U16%</f>
        <v>0</v>
      </c>
      <c r="V17" s="253">
        <f>V14*V16%</f>
        <v>0</v>
      </c>
      <c r="W17" s="272">
        <f>W14*W16%</f>
        <v>0</v>
      </c>
      <c r="X17" s="261">
        <f>X14*X16%</f>
        <v>0</v>
      </c>
      <c r="Y17" s="270">
        <f>Y14*Y16%</f>
        <v>0</v>
      </c>
    </row>
    <row r="18" spans="1:25" s="12" customFormat="1" ht="18" customHeight="1">
      <c r="A18" s="757" t="s">
        <v>405</v>
      </c>
      <c r="B18" s="757" t="s">
        <v>406</v>
      </c>
      <c r="C18" s="758" t="s">
        <v>89</v>
      </c>
      <c r="D18" s="759"/>
      <c r="E18" s="115"/>
      <c r="F18" s="115"/>
      <c r="G18" s="775"/>
      <c r="H18" s="115"/>
      <c r="I18" s="775"/>
      <c r="J18" s="765"/>
      <c r="K18" s="774"/>
      <c r="L18" s="772"/>
      <c r="M18" s="772"/>
      <c r="N18" s="772"/>
      <c r="O18" s="765"/>
      <c r="P18" s="136"/>
      <c r="Q18" s="136"/>
      <c r="R18" s="938"/>
      <c r="S18" s="142"/>
      <c r="T18" s="299"/>
      <c r="U18" s="246"/>
      <c r="V18" s="253"/>
      <c r="W18" s="272"/>
      <c r="X18" s="261"/>
      <c r="Y18" s="270"/>
    </row>
    <row r="19" spans="1:25" s="12" customFormat="1" ht="18" customHeight="1">
      <c r="A19" s="757" t="s">
        <v>407</v>
      </c>
      <c r="B19" s="757" t="s">
        <v>408</v>
      </c>
      <c r="C19" s="758" t="s">
        <v>89</v>
      </c>
      <c r="D19" s="759"/>
      <c r="E19" s="115"/>
      <c r="F19" s="115"/>
      <c r="G19" s="775"/>
      <c r="H19" s="115"/>
      <c r="I19" s="775"/>
      <c r="J19" s="765"/>
      <c r="K19" s="774"/>
      <c r="L19" s="772"/>
      <c r="M19" s="772"/>
      <c r="N19" s="772"/>
      <c r="O19" s="765"/>
      <c r="P19" s="136"/>
      <c r="Q19" s="136"/>
      <c r="R19" s="938"/>
      <c r="S19" s="142"/>
      <c r="T19" s="299"/>
      <c r="U19" s="246"/>
      <c r="V19" s="253"/>
      <c r="W19" s="272"/>
      <c r="X19" s="261"/>
      <c r="Y19" s="270"/>
    </row>
    <row r="20" spans="1:25" s="12" customFormat="1">
      <c r="A20" s="757" t="s">
        <v>181</v>
      </c>
      <c r="B20" s="757" t="s">
        <v>90</v>
      </c>
      <c r="C20" s="758" t="s">
        <v>89</v>
      </c>
      <c r="D20" s="759"/>
      <c r="E20" s="115"/>
      <c r="F20" s="126"/>
      <c r="G20" s="929">
        <v>3206</v>
      </c>
      <c r="H20" s="126"/>
      <c r="I20" s="776">
        <f>I22+I23</f>
        <v>3010.833333333333</v>
      </c>
      <c r="J20" s="767"/>
      <c r="K20" s="776">
        <v>3708</v>
      </c>
      <c r="L20" s="777">
        <f>L22+L23</f>
        <v>6741.1111111111104</v>
      </c>
      <c r="M20" s="777">
        <f>M14*0.31</f>
        <v>3923.2967600000002</v>
      </c>
      <c r="N20" s="777">
        <f>N14*0.31</f>
        <v>3923.2967600000002</v>
      </c>
      <c r="O20" s="765"/>
      <c r="P20" s="136"/>
      <c r="Q20" s="136"/>
      <c r="R20" s="938">
        <f>R14*0.31</f>
        <v>3923.2967600000002</v>
      </c>
      <c r="S20" s="142"/>
      <c r="T20" s="299"/>
      <c r="U20" s="246"/>
      <c r="V20" s="253"/>
      <c r="W20" s="272"/>
      <c r="X20" s="261"/>
      <c r="Y20" s="270"/>
    </row>
    <row r="21" spans="1:25" s="12" customFormat="1">
      <c r="A21" s="757"/>
      <c r="B21" s="757" t="s">
        <v>87</v>
      </c>
      <c r="C21" s="758" t="s">
        <v>88</v>
      </c>
      <c r="D21" s="759">
        <v>40</v>
      </c>
      <c r="E21" s="115">
        <v>40</v>
      </c>
      <c r="F21" s="115"/>
      <c r="G21" s="778">
        <v>29</v>
      </c>
      <c r="H21" s="115"/>
      <c r="I21" s="1007">
        <v>39</v>
      </c>
      <c r="J21" s="765"/>
      <c r="K21" s="774">
        <v>31</v>
      </c>
      <c r="L21" s="1008">
        <v>46</v>
      </c>
      <c r="M21" s="775">
        <v>31</v>
      </c>
      <c r="N21" s="775">
        <v>31</v>
      </c>
      <c r="O21" s="765"/>
      <c r="P21" s="136"/>
      <c r="Q21" s="136"/>
      <c r="R21" s="775">
        <v>31</v>
      </c>
      <c r="S21" s="142"/>
      <c r="T21" s="299"/>
      <c r="U21" s="246">
        <f>K21</f>
        <v>31</v>
      </c>
      <c r="V21" s="253">
        <f>U21</f>
        <v>31</v>
      </c>
      <c r="W21" s="272">
        <f>S21</f>
        <v>0</v>
      </c>
      <c r="X21" s="261">
        <f>T21</f>
        <v>0</v>
      </c>
      <c r="Y21" s="270">
        <f>U21</f>
        <v>31</v>
      </c>
    </row>
    <row r="22" spans="1:25" s="12" customFormat="1" ht="16.5" customHeight="1">
      <c r="A22" s="757" t="s">
        <v>401</v>
      </c>
      <c r="B22" s="757" t="s">
        <v>409</v>
      </c>
      <c r="C22" s="758" t="s">
        <v>89</v>
      </c>
      <c r="D22" s="759">
        <v>2347</v>
      </c>
      <c r="E22" s="115">
        <f>E14*40%</f>
        <v>2508</v>
      </c>
      <c r="F22" s="115"/>
      <c r="G22" s="775"/>
      <c r="H22" s="115"/>
      <c r="I22" s="775">
        <f>(112790+21325+3000+7405)/3.8/12*0.95</f>
        <v>3010.833333333333</v>
      </c>
      <c r="J22" s="765"/>
      <c r="K22" s="768"/>
      <c r="L22" s="768">
        <f>(60670)/3/3</f>
        <v>6741.1111111111104</v>
      </c>
      <c r="M22" s="769"/>
      <c r="N22" s="772"/>
      <c r="O22" s="765"/>
      <c r="P22" s="136"/>
      <c r="Q22" s="136"/>
      <c r="R22" s="938"/>
      <c r="S22" s="142"/>
      <c r="T22" s="299"/>
      <c r="U22" s="246">
        <f>U14*U21%</f>
        <v>3708.22</v>
      </c>
      <c r="V22" s="253">
        <f>V14*V21%</f>
        <v>3897.3392199999998</v>
      </c>
      <c r="W22" s="272">
        <f>W14*W21%</f>
        <v>0</v>
      </c>
      <c r="X22" s="261">
        <f>X14*X21%</f>
        <v>0</v>
      </c>
      <c r="Y22" s="270">
        <f>Y14*Y21%</f>
        <v>0</v>
      </c>
    </row>
    <row r="23" spans="1:25" s="12" customFormat="1" ht="16.5" customHeight="1">
      <c r="A23" s="757" t="s">
        <v>403</v>
      </c>
      <c r="B23" s="757" t="s">
        <v>410</v>
      </c>
      <c r="C23" s="758" t="s">
        <v>89</v>
      </c>
      <c r="D23" s="759"/>
      <c r="E23" s="115"/>
      <c r="F23" s="115"/>
      <c r="G23" s="775"/>
      <c r="H23" s="115"/>
      <c r="I23" s="775"/>
      <c r="J23" s="765"/>
      <c r="K23" s="768"/>
      <c r="L23" s="769"/>
      <c r="M23" s="769"/>
      <c r="N23" s="772"/>
      <c r="O23" s="765"/>
      <c r="P23" s="136"/>
      <c r="Q23" s="136"/>
      <c r="R23" s="938"/>
      <c r="S23" s="142"/>
      <c r="T23" s="299"/>
      <c r="U23" s="246"/>
      <c r="V23" s="253"/>
      <c r="W23" s="272"/>
      <c r="X23" s="261"/>
      <c r="Y23" s="270"/>
    </row>
    <row r="24" spans="1:25" s="12" customFormat="1" ht="16.5" customHeight="1">
      <c r="A24" s="757" t="s">
        <v>182</v>
      </c>
      <c r="B24" s="757" t="s">
        <v>411</v>
      </c>
      <c r="C24" s="758"/>
      <c r="D24" s="759"/>
      <c r="E24" s="115"/>
      <c r="F24" s="115"/>
      <c r="G24" s="775"/>
      <c r="H24" s="115"/>
      <c r="I24" s="775"/>
      <c r="J24" s="765"/>
      <c r="K24" s="774"/>
      <c r="L24" s="772"/>
      <c r="M24" s="772"/>
      <c r="N24" s="772"/>
      <c r="O24" s="765"/>
      <c r="P24" s="136"/>
      <c r="Q24" s="136"/>
      <c r="R24" s="938"/>
      <c r="S24" s="142"/>
      <c r="T24" s="299"/>
      <c r="U24" s="246"/>
      <c r="V24" s="253"/>
      <c r="W24" s="272"/>
      <c r="X24" s="261"/>
      <c r="Y24" s="270"/>
    </row>
    <row r="25" spans="1:25" s="12" customFormat="1" ht="32.25" customHeight="1">
      <c r="A25" s="757" t="s">
        <v>412</v>
      </c>
      <c r="B25" s="757" t="s">
        <v>92</v>
      </c>
      <c r="C25" s="758"/>
      <c r="D25" s="759"/>
      <c r="E25" s="115"/>
      <c r="F25" s="126"/>
      <c r="G25" s="779"/>
      <c r="H25" s="126"/>
      <c r="I25" s="779"/>
      <c r="J25" s="767"/>
      <c r="K25" s="774"/>
      <c r="L25" s="772"/>
      <c r="M25" s="772"/>
      <c r="N25" s="772"/>
      <c r="O25" s="765"/>
      <c r="P25" s="136"/>
      <c r="Q25" s="136"/>
      <c r="R25" s="938"/>
      <c r="S25" s="142"/>
      <c r="T25" s="299"/>
      <c r="U25" s="246"/>
      <c r="V25" s="253"/>
      <c r="W25" s="272"/>
      <c r="X25" s="261"/>
      <c r="Y25" s="270"/>
    </row>
    <row r="26" spans="1:25" s="12" customFormat="1" ht="19.5" customHeight="1">
      <c r="A26" s="757"/>
      <c r="B26" s="757" t="s">
        <v>87</v>
      </c>
      <c r="C26" s="758" t="s">
        <v>88</v>
      </c>
      <c r="D26" s="759">
        <v>160</v>
      </c>
      <c r="E26" s="115">
        <v>160</v>
      </c>
      <c r="F26" s="115"/>
      <c r="G26" s="778">
        <v>152</v>
      </c>
      <c r="H26" s="115"/>
      <c r="I26" s="778">
        <v>160</v>
      </c>
      <c r="J26" s="765"/>
      <c r="K26" s="778">
        <v>160</v>
      </c>
      <c r="L26" s="772">
        <v>160</v>
      </c>
      <c r="M26" s="772">
        <v>160</v>
      </c>
      <c r="N26" s="772">
        <v>160</v>
      </c>
      <c r="O26" s="765"/>
      <c r="P26" s="136"/>
      <c r="Q26" s="136"/>
      <c r="R26" s="772">
        <v>160</v>
      </c>
      <c r="S26" s="142"/>
      <c r="T26" s="299"/>
      <c r="U26" s="246">
        <f>K26</f>
        <v>160</v>
      </c>
      <c r="V26" s="253">
        <f>U26</f>
        <v>160</v>
      </c>
      <c r="W26" s="272">
        <f>S26</f>
        <v>0</v>
      </c>
      <c r="X26" s="261">
        <f>T26</f>
        <v>0</v>
      </c>
      <c r="Y26" s="270">
        <f>U26</f>
        <v>160</v>
      </c>
    </row>
    <row r="27" spans="1:25" s="12" customFormat="1">
      <c r="A27" s="757"/>
      <c r="B27" s="757" t="s">
        <v>91</v>
      </c>
      <c r="C27" s="758" t="s">
        <v>89</v>
      </c>
      <c r="D27" s="759">
        <v>13518</v>
      </c>
      <c r="E27" s="115">
        <f>(E14+E17+E22)*1.6</f>
        <v>14446.08</v>
      </c>
      <c r="F27" s="115"/>
      <c r="G27" s="778">
        <v>21417</v>
      </c>
      <c r="H27" s="115"/>
      <c r="I27" s="778">
        <f>(I14+I15+I20+I24)*1.6</f>
        <v>30913.233333333337</v>
      </c>
      <c r="J27" s="765"/>
      <c r="K27" s="778">
        <v>25072</v>
      </c>
      <c r="L27" s="778">
        <f>(L14+L15+L20+L24)*1.6</f>
        <v>42032</v>
      </c>
      <c r="M27" s="772">
        <f>(M14+M15+M20+M24)*1.6</f>
        <v>26526.548416000001</v>
      </c>
      <c r="N27" s="772">
        <f>(N14+N15+N20+N24)*1.6</f>
        <v>26526.548416000001</v>
      </c>
      <c r="O27" s="765"/>
      <c r="P27" s="136"/>
      <c r="Q27" s="136"/>
      <c r="R27" s="772">
        <f>(R14+R15+R20+R24)*1.6</f>
        <v>26526.548416000001</v>
      </c>
      <c r="S27" s="142"/>
      <c r="T27" s="299"/>
      <c r="U27" s="246">
        <f>(U14+U17+U22)*U26%</f>
        <v>25072.351999999999</v>
      </c>
      <c r="V27" s="253">
        <f>(V14+V17+V22)*V26%</f>
        <v>26351.041952</v>
      </c>
      <c r="W27" s="272">
        <f>(W14+W17+W22)*W26%</f>
        <v>0</v>
      </c>
      <c r="X27" s="261">
        <f>(X14+X17+X22)*X26%</f>
        <v>0</v>
      </c>
      <c r="Y27" s="270">
        <f>(Y14+Y17+Y22)*Y26%</f>
        <v>0</v>
      </c>
    </row>
    <row r="28" spans="1:25" s="12" customFormat="1" ht="13.8" thickBot="1">
      <c r="A28" s="780"/>
      <c r="B28" s="746" t="s">
        <v>93</v>
      </c>
      <c r="C28" s="781" t="s">
        <v>89</v>
      </c>
      <c r="D28" s="782">
        <v>21967</v>
      </c>
      <c r="E28" s="116">
        <f>E14+E17+E22+E27</f>
        <v>23474.879999999997</v>
      </c>
      <c r="F28" s="116"/>
      <c r="G28" s="784">
        <f>G14+G15+G20+G24+G27</f>
        <v>35508</v>
      </c>
      <c r="H28" s="783"/>
      <c r="I28" s="784">
        <f>I14+I15+I20+I24+I27</f>
        <v>50234.004166666673</v>
      </c>
      <c r="J28" s="785"/>
      <c r="K28" s="784">
        <v>40742</v>
      </c>
      <c r="L28" s="784">
        <f>L14+L15+L20+L24+L27</f>
        <v>68302</v>
      </c>
      <c r="M28" s="786">
        <f>M14+M15+M20+M24+M27</f>
        <v>43105.641176000005</v>
      </c>
      <c r="N28" s="786">
        <f>N14+N15+N20+N24+N27</f>
        <v>43105.641176000005</v>
      </c>
      <c r="O28" s="785"/>
      <c r="P28" s="137"/>
      <c r="Q28" s="137"/>
      <c r="R28" s="786">
        <f>R14+R15+R20+R24+R27</f>
        <v>43105.641176000005</v>
      </c>
      <c r="S28" s="145"/>
      <c r="T28" s="300"/>
      <c r="U28" s="247">
        <f>U14+U17+U22+U27</f>
        <v>40742.572</v>
      </c>
      <c r="V28" s="254">
        <f>V14+V17+V22+V27</f>
        <v>42820.443171999999</v>
      </c>
      <c r="W28" s="274">
        <f>W14+W17+W22+W27</f>
        <v>0</v>
      </c>
      <c r="X28" s="266">
        <f>X14+X17+X22+X27</f>
        <v>0</v>
      </c>
      <c r="Y28" s="271">
        <f>Y14+Y17+Y22+Y27</f>
        <v>0</v>
      </c>
    </row>
    <row r="29" spans="1:25" s="12" customFormat="1" ht="39.75" customHeight="1" thickBot="1">
      <c r="A29" s="787" t="s">
        <v>8</v>
      </c>
      <c r="B29" s="787" t="s">
        <v>94</v>
      </c>
      <c r="C29" s="788" t="s">
        <v>95</v>
      </c>
      <c r="D29" s="789">
        <f>D28*D12*12/1000</f>
        <v>2636.04</v>
      </c>
      <c r="E29" s="117">
        <f>E28*E12*12/1000</f>
        <v>3380.3827199999992</v>
      </c>
      <c r="F29" s="117"/>
      <c r="G29" s="790">
        <f>G28*G12*12/1000</f>
        <v>1619.1647999999998</v>
      </c>
      <c r="H29" s="117"/>
      <c r="I29" s="931">
        <f>I28*I12*12/1000</f>
        <v>2290.6705900000002</v>
      </c>
      <c r="J29" s="791"/>
      <c r="K29" s="1264">
        <f>K28*K12*12/1000</f>
        <v>1857.8352000000002</v>
      </c>
      <c r="L29" s="790">
        <f>L28*L12*12/1000</f>
        <v>2335.9284000000002</v>
      </c>
      <c r="M29" s="792">
        <f>M28*M12*6/1000</f>
        <v>737.1064641096001</v>
      </c>
      <c r="N29" s="792">
        <f>N28*N12*6/1000</f>
        <v>737.1064641096001</v>
      </c>
      <c r="O29" s="791"/>
      <c r="P29" s="138"/>
      <c r="Q29" s="138"/>
      <c r="R29" s="790">
        <f>R28*R12*12/1000</f>
        <v>1474.2129282192002</v>
      </c>
      <c r="S29" s="143"/>
      <c r="T29" s="301"/>
      <c r="U29" s="248">
        <f>U28*U12*6/1000</f>
        <v>2689.0097520000004</v>
      </c>
      <c r="V29" s="255">
        <f>V28*V12*6/1000</f>
        <v>2826.1492493519995</v>
      </c>
      <c r="W29" s="286">
        <f>W28*W12*6/1000</f>
        <v>0</v>
      </c>
      <c r="X29" s="263">
        <f>X28*X12*6/1000</f>
        <v>0</v>
      </c>
      <c r="Y29" s="268">
        <f>Y28*Y12*12/1000</f>
        <v>0</v>
      </c>
    </row>
    <row r="30" spans="1:25" s="12" customFormat="1" ht="24" customHeight="1">
      <c r="A30" s="793">
        <v>4</v>
      </c>
      <c r="B30" s="794" t="s">
        <v>374</v>
      </c>
      <c r="C30" s="795" t="s">
        <v>95</v>
      </c>
      <c r="D30" s="796"/>
      <c r="E30" s="797"/>
      <c r="F30" s="797"/>
      <c r="G30" s="799"/>
      <c r="H30" s="798"/>
      <c r="I30" s="799"/>
      <c r="J30" s="800"/>
      <c r="K30" s="801"/>
      <c r="L30" s="802"/>
      <c r="M30" s="802"/>
      <c r="N30" s="802"/>
      <c r="O30" s="800"/>
      <c r="P30" s="803"/>
      <c r="Q30" s="803"/>
      <c r="R30" s="940"/>
      <c r="S30" s="804"/>
      <c r="T30" s="805"/>
      <c r="U30" s="806"/>
      <c r="V30" s="807"/>
      <c r="W30" s="808"/>
      <c r="X30" s="809"/>
      <c r="Y30" s="810"/>
    </row>
    <row r="31" spans="1:25" s="12" customFormat="1" ht="27.6" customHeight="1">
      <c r="A31" s="793">
        <v>5</v>
      </c>
      <c r="B31" s="794" t="s">
        <v>371</v>
      </c>
      <c r="C31" s="811" t="s">
        <v>95</v>
      </c>
      <c r="D31" s="796"/>
      <c r="E31" s="797"/>
      <c r="F31" s="797"/>
      <c r="G31" s="799"/>
      <c r="H31" s="798"/>
      <c r="I31" s="799"/>
      <c r="J31" s="800"/>
      <c r="K31" s="801"/>
      <c r="L31" s="802"/>
      <c r="M31" s="802"/>
      <c r="N31" s="802"/>
      <c r="O31" s="800"/>
      <c r="P31" s="803"/>
      <c r="Q31" s="803"/>
      <c r="R31" s="940"/>
      <c r="S31" s="804"/>
      <c r="T31" s="805"/>
      <c r="U31" s="806"/>
      <c r="V31" s="807"/>
      <c r="W31" s="808"/>
      <c r="X31" s="809"/>
      <c r="Y31" s="810"/>
    </row>
    <row r="32" spans="1:25" s="12" customFormat="1" ht="30.6" customHeight="1">
      <c r="A32" s="793">
        <v>6</v>
      </c>
      <c r="B32" s="794" t="s">
        <v>373</v>
      </c>
      <c r="C32" s="811" t="s">
        <v>95</v>
      </c>
      <c r="D32" s="796"/>
      <c r="E32" s="797"/>
      <c r="F32" s="797"/>
      <c r="G32" s="799"/>
      <c r="H32" s="798"/>
      <c r="I32" s="799"/>
      <c r="J32" s="800"/>
      <c r="K32" s="812"/>
      <c r="L32" s="799"/>
      <c r="M32" s="813"/>
      <c r="N32" s="799"/>
      <c r="O32" s="800"/>
      <c r="P32" s="803"/>
      <c r="Q32" s="803"/>
      <c r="R32" s="940"/>
      <c r="S32" s="804"/>
      <c r="T32" s="805"/>
      <c r="U32" s="806"/>
      <c r="V32" s="807"/>
      <c r="W32" s="808"/>
      <c r="X32" s="809"/>
      <c r="Y32" s="810"/>
    </row>
    <row r="33" spans="1:25" s="12" customFormat="1" ht="15.6" customHeight="1" thickBot="1">
      <c r="A33" s="814">
        <v>7</v>
      </c>
      <c r="B33" s="815" t="s">
        <v>96</v>
      </c>
      <c r="C33" s="781" t="s">
        <v>95</v>
      </c>
      <c r="D33" s="816">
        <v>22</v>
      </c>
      <c r="E33" s="118">
        <v>20</v>
      </c>
      <c r="F33" s="127"/>
      <c r="G33" s="932">
        <v>36</v>
      </c>
      <c r="H33" s="127"/>
      <c r="I33" s="817">
        <f>12916*0.95/1000</f>
        <v>12.270199999999999</v>
      </c>
      <c r="J33" s="818"/>
      <c r="K33" s="819">
        <v>45</v>
      </c>
      <c r="L33" s="819">
        <f>88*0.95</f>
        <v>83.6</v>
      </c>
      <c r="M33" s="820">
        <f>47.5*1.25/2*0.95</f>
        <v>28.203125</v>
      </c>
      <c r="N33" s="820">
        <f>M33</f>
        <v>28.203125</v>
      </c>
      <c r="O33" s="821"/>
      <c r="P33" s="139"/>
      <c r="Q33" s="139"/>
      <c r="R33" s="942">
        <f>M33+N33</f>
        <v>56.40625</v>
      </c>
      <c r="S33" s="144"/>
      <c r="T33" s="302"/>
      <c r="U33" s="249">
        <f>K33/2</f>
        <v>22.5</v>
      </c>
      <c r="V33" s="256">
        <f>Y33-U33</f>
        <v>-22.5</v>
      </c>
      <c r="W33" s="287">
        <f>Y33/2</f>
        <v>0</v>
      </c>
      <c r="X33" s="264">
        <f>Y33/2</f>
        <v>0</v>
      </c>
      <c r="Y33" s="282">
        <f>H33</f>
        <v>0</v>
      </c>
    </row>
    <row r="34" spans="1:25" s="12" customFormat="1" ht="21" hidden="1" customHeight="1">
      <c r="A34" s="822" t="s">
        <v>97</v>
      </c>
      <c r="B34" s="822" t="s">
        <v>98</v>
      </c>
      <c r="C34" s="823" t="s">
        <v>99</v>
      </c>
      <c r="D34" s="824"/>
      <c r="E34" s="119"/>
      <c r="F34" s="128"/>
      <c r="G34" s="825"/>
      <c r="H34" s="128"/>
      <c r="I34" s="825"/>
      <c r="J34" s="826"/>
      <c r="K34" s="827"/>
      <c r="L34" s="828"/>
      <c r="M34" s="828"/>
      <c r="N34" s="828"/>
      <c r="O34" s="829"/>
      <c r="P34" s="140"/>
      <c r="Q34" s="140"/>
      <c r="R34" s="939"/>
      <c r="S34" s="145"/>
      <c r="T34" s="300"/>
      <c r="U34" s="247"/>
      <c r="V34" s="254"/>
      <c r="W34" s="288"/>
      <c r="X34" s="262"/>
      <c r="Y34" s="271"/>
    </row>
    <row r="35" spans="1:25" s="12" customFormat="1" ht="27" customHeight="1" thickBot="1">
      <c r="A35" s="830">
        <v>8</v>
      </c>
      <c r="B35" s="831" t="s">
        <v>100</v>
      </c>
      <c r="C35" s="832" t="s">
        <v>99</v>
      </c>
      <c r="D35" s="833">
        <f>D29+D33</f>
        <v>2658.04</v>
      </c>
      <c r="E35" s="120">
        <f>E29+E33</f>
        <v>3400.3827199999992</v>
      </c>
      <c r="F35" s="120"/>
      <c r="G35" s="834">
        <v>1655</v>
      </c>
      <c r="H35" s="120"/>
      <c r="I35" s="129">
        <f>I29+I30+I31+I32+I33</f>
        <v>2302.9407900000001</v>
      </c>
      <c r="J35" s="835"/>
      <c r="K35" s="834">
        <v>1903</v>
      </c>
      <c r="L35" s="834">
        <f>L29+L30+L31+L32+L33</f>
        <v>2419.5284000000001</v>
      </c>
      <c r="M35" s="836">
        <f>M29+M30+M31+M32+M33</f>
        <v>765.3095891096001</v>
      </c>
      <c r="N35" s="836">
        <f>N29+N30+N31+N32+N33</f>
        <v>765.3095891096001</v>
      </c>
      <c r="O35" s="835"/>
      <c r="P35" s="141"/>
      <c r="Q35" s="141"/>
      <c r="R35" s="836">
        <f>R29+R30+R31+R32+R33</f>
        <v>1530.6191782192002</v>
      </c>
      <c r="S35" s="129"/>
      <c r="T35" s="303"/>
      <c r="U35" s="248">
        <f>U29+U33</f>
        <v>2711.5097520000004</v>
      </c>
      <c r="V35" s="255">
        <f>V29+V33</f>
        <v>2803.6492493519995</v>
      </c>
      <c r="W35" s="289">
        <f>W29+W33</f>
        <v>0</v>
      </c>
      <c r="X35" s="129">
        <f>X29+X33</f>
        <v>0</v>
      </c>
      <c r="Y35" s="267">
        <f>Y29+Y33</f>
        <v>0</v>
      </c>
    </row>
    <row r="36" spans="1:25" s="12" customFormat="1" ht="45.75" hidden="1" customHeight="1">
      <c r="A36" s="815" t="s">
        <v>9</v>
      </c>
      <c r="B36" s="815" t="s">
        <v>101</v>
      </c>
      <c r="C36" s="837"/>
      <c r="D36" s="816"/>
      <c r="E36" s="118"/>
      <c r="F36" s="127"/>
      <c r="G36" s="838"/>
      <c r="H36" s="127"/>
      <c r="I36" s="838"/>
      <c r="J36" s="818"/>
      <c r="K36" s="839"/>
      <c r="L36" s="840"/>
      <c r="M36" s="840"/>
      <c r="N36" s="840"/>
      <c r="O36" s="821"/>
      <c r="P36" s="139"/>
      <c r="Q36" s="139"/>
      <c r="R36" s="941"/>
      <c r="S36" s="144"/>
      <c r="T36" s="302"/>
      <c r="U36" s="249"/>
      <c r="V36" s="256"/>
      <c r="W36" s="287"/>
      <c r="X36" s="264"/>
      <c r="Y36" s="282"/>
    </row>
    <row r="37" spans="1:25" s="12" customFormat="1" ht="33" hidden="1" customHeight="1">
      <c r="A37" s="757" t="s">
        <v>102</v>
      </c>
      <c r="B37" s="757" t="s">
        <v>103</v>
      </c>
      <c r="C37" s="758" t="s">
        <v>84</v>
      </c>
      <c r="D37" s="759"/>
      <c r="E37" s="115"/>
      <c r="F37" s="126"/>
      <c r="G37" s="779"/>
      <c r="H37" s="126"/>
      <c r="I37" s="779"/>
      <c r="J37" s="767"/>
      <c r="K37" s="774"/>
      <c r="L37" s="772"/>
      <c r="M37" s="772"/>
      <c r="N37" s="772"/>
      <c r="O37" s="765"/>
      <c r="P37" s="136"/>
      <c r="Q37" s="136"/>
      <c r="R37" s="938"/>
      <c r="S37" s="142"/>
      <c r="T37" s="299"/>
      <c r="U37" s="246"/>
      <c r="V37" s="253"/>
      <c r="W37" s="285"/>
      <c r="X37" s="261"/>
      <c r="Y37" s="270"/>
    </row>
    <row r="38" spans="1:25" s="12" customFormat="1" ht="13.8" hidden="1" thickBot="1">
      <c r="A38" s="757" t="s">
        <v>104</v>
      </c>
      <c r="B38" s="757" t="s">
        <v>105</v>
      </c>
      <c r="C38" s="758" t="s">
        <v>89</v>
      </c>
      <c r="D38" s="759"/>
      <c r="E38" s="115"/>
      <c r="F38" s="126"/>
      <c r="G38" s="779"/>
      <c r="H38" s="126"/>
      <c r="I38" s="779"/>
      <c r="J38" s="767"/>
      <c r="K38" s="774"/>
      <c r="L38" s="772"/>
      <c r="M38" s="772"/>
      <c r="N38" s="772"/>
      <c r="O38" s="765"/>
      <c r="P38" s="136"/>
      <c r="Q38" s="136"/>
      <c r="R38" s="938"/>
      <c r="S38" s="142"/>
      <c r="T38" s="299"/>
      <c r="U38" s="246"/>
      <c r="V38" s="253"/>
      <c r="W38" s="285"/>
      <c r="X38" s="261"/>
      <c r="Y38" s="270"/>
    </row>
    <row r="39" spans="1:25" s="12" customFormat="1" ht="13.5" hidden="1" customHeight="1">
      <c r="A39" s="757" t="s">
        <v>106</v>
      </c>
      <c r="B39" s="757" t="s">
        <v>96</v>
      </c>
      <c r="C39" s="758" t="s">
        <v>95</v>
      </c>
      <c r="D39" s="759"/>
      <c r="E39" s="115"/>
      <c r="F39" s="126"/>
      <c r="G39" s="779"/>
      <c r="H39" s="126"/>
      <c r="I39" s="779"/>
      <c r="J39" s="767"/>
      <c r="K39" s="774"/>
      <c r="L39" s="772"/>
      <c r="M39" s="772"/>
      <c r="N39" s="772"/>
      <c r="O39" s="765"/>
      <c r="P39" s="136"/>
      <c r="Q39" s="136"/>
      <c r="R39" s="938"/>
      <c r="S39" s="142"/>
      <c r="T39" s="299"/>
      <c r="U39" s="246"/>
      <c r="V39" s="253"/>
      <c r="W39" s="285"/>
      <c r="X39" s="261"/>
      <c r="Y39" s="270"/>
    </row>
    <row r="40" spans="1:25" s="12" customFormat="1" ht="22.5" hidden="1" customHeight="1">
      <c r="A40" s="757" t="s">
        <v>107</v>
      </c>
      <c r="B40" s="757" t="s">
        <v>98</v>
      </c>
      <c r="C40" s="758" t="s">
        <v>95</v>
      </c>
      <c r="D40" s="759"/>
      <c r="E40" s="115"/>
      <c r="F40" s="126"/>
      <c r="G40" s="779"/>
      <c r="H40" s="126"/>
      <c r="I40" s="779"/>
      <c r="J40" s="767"/>
      <c r="K40" s="774"/>
      <c r="L40" s="772"/>
      <c r="M40" s="772"/>
      <c r="N40" s="772"/>
      <c r="O40" s="765"/>
      <c r="P40" s="136"/>
      <c r="Q40" s="136"/>
      <c r="R40" s="938"/>
      <c r="S40" s="142"/>
      <c r="T40" s="299"/>
      <c r="U40" s="246"/>
      <c r="V40" s="253"/>
      <c r="W40" s="285"/>
      <c r="X40" s="261"/>
      <c r="Y40" s="270"/>
    </row>
    <row r="41" spans="1:25" s="12" customFormat="1" ht="24" hidden="1" customHeight="1">
      <c r="A41" s="757" t="s">
        <v>108</v>
      </c>
      <c r="B41" s="757" t="s">
        <v>109</v>
      </c>
      <c r="C41" s="758" t="s">
        <v>95</v>
      </c>
      <c r="D41" s="759"/>
      <c r="E41" s="115"/>
      <c r="F41" s="126"/>
      <c r="G41" s="779"/>
      <c r="H41" s="126"/>
      <c r="I41" s="779"/>
      <c r="J41" s="767"/>
      <c r="K41" s="774"/>
      <c r="L41" s="772"/>
      <c r="M41" s="772"/>
      <c r="N41" s="772"/>
      <c r="O41" s="765"/>
      <c r="P41" s="136"/>
      <c r="Q41" s="136"/>
      <c r="R41" s="938"/>
      <c r="S41" s="142"/>
      <c r="T41" s="299"/>
      <c r="U41" s="246"/>
      <c r="V41" s="253"/>
      <c r="W41" s="285"/>
      <c r="X41" s="261"/>
      <c r="Y41" s="271"/>
    </row>
    <row r="42" spans="1:25" s="12" customFormat="1">
      <c r="A42" s="770">
        <v>9</v>
      </c>
      <c r="B42" s="841" t="s">
        <v>413</v>
      </c>
      <c r="C42" s="758"/>
      <c r="D42" s="759"/>
      <c r="E42" s="115"/>
      <c r="F42" s="126"/>
      <c r="G42" s="779"/>
      <c r="H42" s="126"/>
      <c r="I42" s="779"/>
      <c r="J42" s="767"/>
      <c r="K42" s="774"/>
      <c r="L42" s="772"/>
      <c r="M42" s="772"/>
      <c r="N42" s="772"/>
      <c r="O42" s="765"/>
      <c r="P42" s="136"/>
      <c r="Q42" s="136"/>
      <c r="R42" s="938"/>
      <c r="S42" s="142"/>
      <c r="T42" s="299"/>
      <c r="U42" s="246"/>
      <c r="V42" s="253"/>
      <c r="W42" s="285"/>
      <c r="X42" s="260"/>
      <c r="Y42" s="294"/>
    </row>
    <row r="43" spans="1:25" s="12" customFormat="1" ht="27" customHeight="1">
      <c r="A43" s="757" t="s">
        <v>414</v>
      </c>
      <c r="B43" s="757" t="s">
        <v>110</v>
      </c>
      <c r="C43" s="758" t="s">
        <v>84</v>
      </c>
      <c r="D43" s="759">
        <v>10</v>
      </c>
      <c r="E43" s="115">
        <v>12</v>
      </c>
      <c r="F43" s="126"/>
      <c r="G43" s="842">
        <v>4</v>
      </c>
      <c r="H43" s="126"/>
      <c r="I43" s="1679">
        <v>3.8</v>
      </c>
      <c r="J43" s="767"/>
      <c r="K43" s="1257">
        <v>3.8</v>
      </c>
      <c r="L43" s="1257">
        <f>L12</f>
        <v>2.85</v>
      </c>
      <c r="M43" s="1258">
        <f>M12</f>
        <v>2.85</v>
      </c>
      <c r="N43" s="1258">
        <f>N12</f>
        <v>2.85</v>
      </c>
      <c r="O43" s="844"/>
      <c r="P43" s="115"/>
      <c r="Q43" s="765"/>
      <c r="R43" s="1258">
        <f>R12</f>
        <v>2.85</v>
      </c>
      <c r="S43" s="142"/>
      <c r="T43" s="299"/>
      <c r="U43" s="142">
        <f>I43</f>
        <v>3.8</v>
      </c>
      <c r="V43" s="275">
        <f>J43</f>
        <v>0</v>
      </c>
      <c r="W43" s="272">
        <f>W12</f>
        <v>11</v>
      </c>
      <c r="X43" s="291">
        <f>X12</f>
        <v>11</v>
      </c>
      <c r="Y43" s="295">
        <f>Y12</f>
        <v>11</v>
      </c>
    </row>
    <row r="44" spans="1:25" s="12" customFormat="1" ht="25.5" customHeight="1">
      <c r="A44" s="757" t="s">
        <v>415</v>
      </c>
      <c r="B44" s="757" t="s">
        <v>416</v>
      </c>
      <c r="C44" s="758" t="s">
        <v>89</v>
      </c>
      <c r="D44" s="759"/>
      <c r="E44" s="115"/>
      <c r="F44" s="126"/>
      <c r="G44" s="934">
        <v>620</v>
      </c>
      <c r="H44" s="130"/>
      <c r="I44" s="934">
        <f>I45</f>
        <v>1041.6666666666665</v>
      </c>
      <c r="J44" s="846"/>
      <c r="K44" s="934">
        <v>0</v>
      </c>
      <c r="L44" s="934">
        <f>L45</f>
        <v>1666.6666666666667</v>
      </c>
      <c r="M44" s="847">
        <f>M45</f>
        <v>722</v>
      </c>
      <c r="N44" s="847">
        <f>N45</f>
        <v>722</v>
      </c>
      <c r="O44" s="848"/>
      <c r="P44" s="130"/>
      <c r="Q44" s="849"/>
      <c r="R44" s="847">
        <f>R45</f>
        <v>722</v>
      </c>
      <c r="S44" s="146"/>
      <c r="T44" s="304"/>
      <c r="U44" s="146">
        <f>S44</f>
        <v>0</v>
      </c>
      <c r="V44" s="276">
        <f>T44</f>
        <v>0</v>
      </c>
      <c r="W44" s="273">
        <f>H44</f>
        <v>0</v>
      </c>
      <c r="X44" s="292">
        <f>V44</f>
        <v>0</v>
      </c>
      <c r="Y44" s="296">
        <f>H44</f>
        <v>0</v>
      </c>
    </row>
    <row r="45" spans="1:25" s="12" customFormat="1" ht="25.5" customHeight="1">
      <c r="A45" s="757"/>
      <c r="B45" s="757" t="s">
        <v>417</v>
      </c>
      <c r="C45" s="758" t="s">
        <v>89</v>
      </c>
      <c r="D45" s="759"/>
      <c r="E45" s="115"/>
      <c r="F45" s="126"/>
      <c r="G45" s="934">
        <v>620</v>
      </c>
      <c r="H45" s="130"/>
      <c r="I45" s="845">
        <f>(10000+40000)/3.8/12*0.95</f>
        <v>1041.6666666666665</v>
      </c>
      <c r="J45" s="846"/>
      <c r="K45" s="1009">
        <v>0</v>
      </c>
      <c r="L45" s="850">
        <f>60000/12/3</f>
        <v>1666.6666666666667</v>
      </c>
      <c r="M45" s="847">
        <v>722</v>
      </c>
      <c r="N45" s="847">
        <f>M45</f>
        <v>722</v>
      </c>
      <c r="O45" s="848"/>
      <c r="P45" s="130"/>
      <c r="Q45" s="849"/>
      <c r="R45" s="1316">
        <v>722</v>
      </c>
      <c r="S45" s="146"/>
      <c r="T45" s="304"/>
      <c r="U45" s="146"/>
      <c r="V45" s="276"/>
      <c r="W45" s="851"/>
      <c r="X45" s="292"/>
      <c r="Y45" s="296"/>
    </row>
    <row r="46" spans="1:25" s="12" customFormat="1" ht="15.75" customHeight="1" thickBot="1">
      <c r="A46" s="822"/>
      <c r="B46" s="822" t="s">
        <v>111</v>
      </c>
      <c r="C46" s="852" t="s">
        <v>112</v>
      </c>
      <c r="D46" s="824"/>
      <c r="E46" s="119"/>
      <c r="F46" s="128"/>
      <c r="G46" s="854">
        <v>28</v>
      </c>
      <c r="H46" s="853"/>
      <c r="I46" s="935">
        <f>I44*I43*12/1000</f>
        <v>47.499999999999993</v>
      </c>
      <c r="J46" s="855"/>
      <c r="K46" s="1265">
        <f>K44*K43*12/1000</f>
        <v>0</v>
      </c>
      <c r="L46" s="854">
        <f>L44*L43*12/1000</f>
        <v>57</v>
      </c>
      <c r="M46" s="1010">
        <f>M44*M43*6/1000</f>
        <v>12.346200000000001</v>
      </c>
      <c r="N46" s="1010">
        <f>N44*N43*6/1000</f>
        <v>12.346200000000001</v>
      </c>
      <c r="O46" s="856"/>
      <c r="P46" s="853"/>
      <c r="Q46" s="857"/>
      <c r="R46" s="935">
        <f>R44*R43*12/1000</f>
        <v>24.692400000000003</v>
      </c>
      <c r="S46" s="858"/>
      <c r="T46" s="859"/>
      <c r="U46" s="154">
        <f>S46</f>
        <v>0</v>
      </c>
      <c r="V46" s="277">
        <f>T46</f>
        <v>0</v>
      </c>
      <c r="W46" s="290">
        <f>W44*W43*6/1000</f>
        <v>0</v>
      </c>
      <c r="X46" s="265">
        <f>X44*X43*6/1000</f>
        <v>0</v>
      </c>
      <c r="Y46" s="296">
        <f>Y44*Y43*12/1000</f>
        <v>0</v>
      </c>
    </row>
    <row r="47" spans="1:25" s="12" customFormat="1" ht="30" customHeight="1" thickBot="1">
      <c r="A47" s="860">
        <v>10</v>
      </c>
      <c r="B47" s="861" t="s">
        <v>113</v>
      </c>
      <c r="C47" s="862" t="s">
        <v>112</v>
      </c>
      <c r="D47" s="863">
        <f>D29+D46</f>
        <v>2636.04</v>
      </c>
      <c r="E47" s="864">
        <f>E29+E46</f>
        <v>3380.3827199999992</v>
      </c>
      <c r="F47" s="865"/>
      <c r="G47" s="874">
        <v>1683</v>
      </c>
      <c r="H47" s="866"/>
      <c r="I47" s="1011">
        <f>I35+I46</f>
        <v>2350.4407900000001</v>
      </c>
      <c r="J47" s="868"/>
      <c r="K47" s="874">
        <v>1903</v>
      </c>
      <c r="L47" s="867">
        <f>L35+L46</f>
        <v>2476.5284000000001</v>
      </c>
      <c r="M47" s="869">
        <f>M35+M46</f>
        <v>777.65578910960005</v>
      </c>
      <c r="N47" s="869">
        <f>N35+N46</f>
        <v>777.65578910960005</v>
      </c>
      <c r="O47" s="868"/>
      <c r="P47" s="866"/>
      <c r="Q47" s="870"/>
      <c r="R47" s="869">
        <f>R35+R46</f>
        <v>1555.3115782192001</v>
      </c>
      <c r="S47" s="871"/>
      <c r="T47" s="872"/>
      <c r="U47" s="142">
        <f>U29+U46</f>
        <v>2689.0097520000004</v>
      </c>
      <c r="V47" s="275">
        <f>V29+V46</f>
        <v>2826.1492493519995</v>
      </c>
      <c r="W47" s="272">
        <f>W29+W46</f>
        <v>0</v>
      </c>
      <c r="X47" s="291">
        <f>X29+X46</f>
        <v>0</v>
      </c>
      <c r="Y47" s="295">
        <f>Y29+Y46</f>
        <v>0</v>
      </c>
    </row>
    <row r="48" spans="1:25" s="12" customFormat="1" ht="29.25" customHeight="1" thickBot="1">
      <c r="A48" s="860">
        <v>11</v>
      </c>
      <c r="B48" s="861" t="s">
        <v>114</v>
      </c>
      <c r="C48" s="862" t="s">
        <v>89</v>
      </c>
      <c r="D48" s="873">
        <v>22150</v>
      </c>
      <c r="E48" s="866">
        <f>E47/E43/12*1000</f>
        <v>23474.879999999994</v>
      </c>
      <c r="F48" s="865"/>
      <c r="G48" s="874">
        <v>36919</v>
      </c>
      <c r="H48" s="866"/>
      <c r="I48" s="874">
        <f>I47/I43/12*1000</f>
        <v>51544.754166666673</v>
      </c>
      <c r="J48" s="870"/>
      <c r="K48" s="874">
        <v>41733</v>
      </c>
      <c r="L48" s="874">
        <f>L47/L43/12*1000</f>
        <v>72413.111111111124</v>
      </c>
      <c r="M48" s="875">
        <f>M47/M43/6*1000</f>
        <v>45476.946731555559</v>
      </c>
      <c r="N48" s="875">
        <f>N47/N43/6*1000</f>
        <v>45476.946731555559</v>
      </c>
      <c r="O48" s="870"/>
      <c r="P48" s="865"/>
      <c r="Q48" s="865"/>
      <c r="R48" s="874">
        <f>R47/R43/12*1000</f>
        <v>45476.946731555559</v>
      </c>
      <c r="S48" s="871"/>
      <c r="T48" s="872"/>
      <c r="U48" s="147">
        <f>U47/U43/12*1000</f>
        <v>58969.512105263173</v>
      </c>
      <c r="V48" s="278" t="e">
        <f>V47/V43/12*1000</f>
        <v>#DIV/0!</v>
      </c>
      <c r="W48" s="274">
        <f>W47/W43/6*1000</f>
        <v>0</v>
      </c>
      <c r="X48" s="293">
        <f>X47/X43/6*1000</f>
        <v>0</v>
      </c>
      <c r="Y48" s="297">
        <f>Y47/Y43/12*1000</f>
        <v>0</v>
      </c>
    </row>
    <row r="50" spans="2:25" ht="15.6">
      <c r="B50" s="17"/>
      <c r="C50" s="121"/>
      <c r="D50" s="16"/>
      <c r="E50" s="16"/>
      <c r="F50" s="16"/>
      <c r="G50" s="16"/>
      <c r="H50" s="152"/>
      <c r="I50" s="17"/>
      <c r="J50" s="16"/>
      <c r="R50" s="155"/>
      <c r="T50" s="158"/>
      <c r="U50" s="155"/>
      <c r="Y50" s="158"/>
    </row>
    <row r="51" spans="2:25" ht="15.6">
      <c r="B51" s="876" t="s">
        <v>377</v>
      </c>
      <c r="C51" s="877"/>
      <c r="D51" s="878"/>
      <c r="E51" s="878"/>
      <c r="G51" s="16"/>
      <c r="H51" s="152"/>
      <c r="I51" s="17"/>
      <c r="J51" s="16"/>
      <c r="K51" s="726" t="s">
        <v>436</v>
      </c>
      <c r="L51" s="726"/>
      <c r="R51" s="155"/>
      <c r="T51" s="158"/>
      <c r="U51" s="155"/>
      <c r="Y51" s="158"/>
    </row>
    <row r="52" spans="2:25" ht="15.6">
      <c r="B52" s="876" t="s">
        <v>378</v>
      </c>
      <c r="C52" s="877"/>
      <c r="D52" s="878"/>
      <c r="E52" s="878"/>
      <c r="F52" s="878"/>
      <c r="G52" s="16"/>
      <c r="H52" s="152"/>
      <c r="I52" s="17"/>
      <c r="J52" s="16"/>
      <c r="R52" s="155"/>
      <c r="T52" s="158"/>
      <c r="U52" s="155"/>
      <c r="Y52" s="158"/>
    </row>
    <row r="53" spans="2:25" ht="15.6">
      <c r="B53" s="876" t="s">
        <v>379</v>
      </c>
      <c r="C53" s="877"/>
      <c r="D53" s="878"/>
      <c r="E53" s="878"/>
      <c r="F53" s="878"/>
      <c r="G53" s="16"/>
      <c r="H53" s="152"/>
      <c r="I53" s="17"/>
      <c r="J53" s="16"/>
      <c r="R53" s="155"/>
      <c r="T53" s="158"/>
      <c r="U53" s="155"/>
      <c r="Y53" s="158"/>
    </row>
    <row r="54" spans="2:25">
      <c r="S54" s="156"/>
      <c r="T54" s="156"/>
      <c r="V54" s="156"/>
      <c r="W54" s="156"/>
      <c r="X54" s="156"/>
      <c r="Y54" s="156"/>
    </row>
  </sheetData>
  <mergeCells count="2">
    <mergeCell ref="A4:Y5"/>
    <mergeCell ref="A6:Y6"/>
  </mergeCells>
  <phoneticPr fontId="4" type="noConversion"/>
  <pageMargins left="0.19685039370078741" right="0.19685039370078741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M19"/>
  <sheetViews>
    <sheetView workbookViewId="0">
      <selection activeCell="D14" sqref="D14"/>
    </sheetView>
  </sheetViews>
  <sheetFormatPr defaultRowHeight="13.2"/>
  <cols>
    <col min="1" max="1" width="4.109375" style="426" customWidth="1"/>
    <col min="2" max="2" width="39.5546875" style="426" customWidth="1"/>
    <col min="3" max="3" width="14.109375" style="426" customWidth="1"/>
    <col min="4" max="4" width="11.109375" style="426" customWidth="1"/>
    <col min="5" max="5" width="10.6640625" style="426" customWidth="1"/>
    <col min="6" max="6" width="9.6640625" style="426" hidden="1" customWidth="1"/>
    <col min="7" max="7" width="9.6640625" style="426" customWidth="1"/>
    <col min="8" max="8" width="10.6640625" style="426" customWidth="1"/>
    <col min="9" max="9" width="10.109375" style="426" customWidth="1"/>
    <col min="10" max="10" width="12.109375" style="426" customWidth="1"/>
    <col min="11" max="16384" width="8.88671875" style="426"/>
  </cols>
  <sheetData>
    <row r="1" spans="1:11" ht="15.6">
      <c r="B1" s="427" t="s">
        <v>359</v>
      </c>
      <c r="C1" s="428"/>
      <c r="D1" s="428"/>
      <c r="E1" s="428"/>
      <c r="F1" s="428"/>
      <c r="G1" s="428"/>
      <c r="H1" s="428"/>
      <c r="I1" s="428"/>
      <c r="J1" s="429"/>
    </row>
    <row r="2" spans="1:11">
      <c r="A2" s="430"/>
      <c r="J2" s="429" t="s">
        <v>115</v>
      </c>
    </row>
    <row r="3" spans="1:11">
      <c r="A3" s="1761" t="s">
        <v>116</v>
      </c>
      <c r="B3" s="1761"/>
      <c r="C3" s="1761"/>
      <c r="D3" s="1761"/>
      <c r="E3" s="1761"/>
      <c r="F3" s="1761"/>
      <c r="G3" s="1761"/>
      <c r="H3" s="1761"/>
      <c r="I3" s="1761"/>
      <c r="J3" s="1761"/>
    </row>
    <row r="4" spans="1:11">
      <c r="A4" s="1761" t="s">
        <v>431</v>
      </c>
      <c r="B4" s="1761"/>
      <c r="C4" s="1761"/>
      <c r="D4" s="1761"/>
      <c r="E4" s="1761"/>
      <c r="F4" s="1761"/>
      <c r="G4" s="1761"/>
      <c r="H4" s="1761"/>
      <c r="I4" s="1761"/>
      <c r="J4" s="1761"/>
    </row>
    <row r="5" spans="1:11">
      <c r="A5" s="1761"/>
      <c r="B5" s="1761"/>
      <c r="C5" s="1761"/>
      <c r="D5" s="1761"/>
      <c r="E5" s="1761"/>
      <c r="F5" s="1761"/>
      <c r="G5" s="1761"/>
      <c r="H5" s="1761"/>
      <c r="I5" s="1761"/>
      <c r="J5" s="1761"/>
    </row>
    <row r="6" spans="1:11" ht="13.8" thickBot="1">
      <c r="B6" s="431"/>
      <c r="C6" s="431"/>
      <c r="D6" s="431"/>
      <c r="E6" s="431"/>
      <c r="F6" s="431"/>
      <c r="G6" s="431"/>
      <c r="H6" s="431"/>
      <c r="I6" s="431"/>
      <c r="J6" s="431" t="s">
        <v>95</v>
      </c>
    </row>
    <row r="7" spans="1:11" ht="41.4" thickBot="1">
      <c r="A7" s="1227" t="s">
        <v>117</v>
      </c>
      <c r="B7" s="1224" t="s">
        <v>118</v>
      </c>
      <c r="C7" s="732" t="s">
        <v>466</v>
      </c>
      <c r="D7" s="732" t="s">
        <v>467</v>
      </c>
      <c r="E7" s="732" t="s">
        <v>468</v>
      </c>
      <c r="F7" s="1235"/>
      <c r="G7" s="732" t="s">
        <v>469</v>
      </c>
      <c r="H7" s="732" t="s">
        <v>453</v>
      </c>
      <c r="I7" s="732" t="s">
        <v>454</v>
      </c>
      <c r="J7" s="732" t="s">
        <v>455</v>
      </c>
      <c r="K7" s="1241" t="s">
        <v>470</v>
      </c>
    </row>
    <row r="8" spans="1:11" ht="24">
      <c r="A8" s="1228" t="s">
        <v>119</v>
      </c>
      <c r="B8" s="1225" t="s">
        <v>120</v>
      </c>
      <c r="C8" s="1230">
        <v>11285</v>
      </c>
      <c r="D8" s="1231">
        <f>'1.17передача и сбыт'!D8*0.95</f>
        <v>13204.525</v>
      </c>
      <c r="E8" s="1230">
        <v>14062</v>
      </c>
      <c r="F8" s="1236"/>
      <c r="G8" s="1231">
        <f>22629*0.95</f>
        <v>21497.55</v>
      </c>
      <c r="H8" s="1231">
        <f>20813*0.95</f>
        <v>19772.349999999999</v>
      </c>
      <c r="I8" s="1231">
        <f>20813*0.95</f>
        <v>19772.349999999999</v>
      </c>
      <c r="J8" s="1231">
        <f>20813*0.95</f>
        <v>19772.349999999999</v>
      </c>
      <c r="K8" s="1242"/>
    </row>
    <row r="9" spans="1:11">
      <c r="A9" s="1228" t="s">
        <v>121</v>
      </c>
      <c r="B9" s="1225" t="s">
        <v>122</v>
      </c>
      <c r="C9" s="1230">
        <v>0</v>
      </c>
      <c r="D9" s="1231">
        <f>'1.17передача и сбыт'!D9*0.95</f>
        <v>8293.0249999999996</v>
      </c>
      <c r="E9" s="1230">
        <v>0</v>
      </c>
      <c r="F9" s="1236"/>
      <c r="G9" s="1231">
        <v>0</v>
      </c>
      <c r="H9" s="1231">
        <v>0</v>
      </c>
      <c r="I9" s="1231">
        <v>0</v>
      </c>
      <c r="J9" s="1231">
        <v>0</v>
      </c>
      <c r="K9" s="1242"/>
    </row>
    <row r="10" spans="1:11">
      <c r="A10" s="1228" t="s">
        <v>123</v>
      </c>
      <c r="B10" s="1225" t="s">
        <v>124</v>
      </c>
      <c r="C10" s="1230">
        <v>0</v>
      </c>
      <c r="D10" s="1231">
        <f>'1.17передача и сбыт'!D10*0.95</f>
        <v>0</v>
      </c>
      <c r="E10" s="1230">
        <v>0</v>
      </c>
      <c r="F10" s="1236"/>
      <c r="G10" s="1231">
        <f>1816*0.95</f>
        <v>1725.1999999999998</v>
      </c>
      <c r="H10" s="1231">
        <v>0</v>
      </c>
      <c r="I10" s="1231">
        <v>0</v>
      </c>
      <c r="J10" s="1231">
        <v>0</v>
      </c>
      <c r="K10" s="1242"/>
    </row>
    <row r="11" spans="1:11" ht="24">
      <c r="A11" s="1228" t="s">
        <v>133</v>
      </c>
      <c r="B11" s="1225" t="s">
        <v>318</v>
      </c>
      <c r="C11" s="1230">
        <f>C8+C9-C10</f>
        <v>11285</v>
      </c>
      <c r="D11" s="1231">
        <f>'1.17передача и сбыт'!D11*0.95</f>
        <v>21497.55</v>
      </c>
      <c r="E11" s="1230">
        <v>14062</v>
      </c>
      <c r="F11" s="1237"/>
      <c r="G11" s="1230">
        <f>20813*0.95</f>
        <v>19772.349999999999</v>
      </c>
      <c r="H11" s="1230">
        <f>H8+H9-H10</f>
        <v>19772.349999999999</v>
      </c>
      <c r="I11" s="1230">
        <f>I8+I9-I10</f>
        <v>19772.349999999999</v>
      </c>
      <c r="J11" s="1230">
        <f>J8+J9-J10</f>
        <v>19772.349999999999</v>
      </c>
      <c r="K11" s="1243"/>
    </row>
    <row r="12" spans="1:11" ht="24">
      <c r="A12" s="1228" t="s">
        <v>141</v>
      </c>
      <c r="B12" s="1225" t="s">
        <v>125</v>
      </c>
      <c r="C12" s="1231">
        <v>11285</v>
      </c>
      <c r="D12" s="1231">
        <f>'1.17передача и сбыт'!D12*0.95</f>
        <v>17578.8</v>
      </c>
      <c r="E12" s="1231">
        <v>14062</v>
      </c>
      <c r="F12" s="1238"/>
      <c r="G12" s="1231">
        <f>21790*0.95</f>
        <v>20700.5</v>
      </c>
      <c r="H12" s="1231">
        <f>20813*0.95</f>
        <v>19772.349999999999</v>
      </c>
      <c r="I12" s="1231">
        <f>20813*0.95</f>
        <v>19772.349999999999</v>
      </c>
      <c r="J12" s="1231">
        <f>20813*0.95</f>
        <v>19772.349999999999</v>
      </c>
      <c r="K12" s="1242"/>
    </row>
    <row r="13" spans="1:11">
      <c r="A13" s="1228" t="s">
        <v>142</v>
      </c>
      <c r="B13" s="1225" t="s">
        <v>126</v>
      </c>
      <c r="C13" s="1232">
        <v>21</v>
      </c>
      <c r="D13" s="1232">
        <f>D14/D12*100</f>
        <v>3.4460657155209686</v>
      </c>
      <c r="E13" s="1232">
        <v>5.24</v>
      </c>
      <c r="F13" s="1237"/>
      <c r="G13" s="1232">
        <f>G14/G12*100</f>
        <v>3.6048646167966951</v>
      </c>
      <c r="H13" s="1232">
        <f>H14/H12*100</f>
        <v>1.8851198769999522</v>
      </c>
      <c r="I13" s="1232">
        <f>I14/I12*100</f>
        <v>1.8851198769999522</v>
      </c>
      <c r="J13" s="1232">
        <f>J14/J12*100</f>
        <v>3.7702397539999044</v>
      </c>
      <c r="K13" s="1244" t="e">
        <f>K14/K12*100</f>
        <v>#DIV/0!</v>
      </c>
    </row>
    <row r="14" spans="1:11" ht="13.8" thickBot="1">
      <c r="A14" s="1229" t="s">
        <v>143</v>
      </c>
      <c r="B14" s="1226" t="s">
        <v>127</v>
      </c>
      <c r="C14" s="1233">
        <v>530</v>
      </c>
      <c r="D14" s="1231">
        <f>'1.17передача и сбыт'!D14*0.95</f>
        <v>605.77699999999993</v>
      </c>
      <c r="E14" s="1233">
        <v>736</v>
      </c>
      <c r="F14" s="1239"/>
      <c r="G14" s="1233">
        <f>785.5*0.95</f>
        <v>746.22499999999991</v>
      </c>
      <c r="H14" s="1234">
        <f>392.35*0.95</f>
        <v>372.73250000000002</v>
      </c>
      <c r="I14" s="1234">
        <f>392.35*0.95</f>
        <v>372.73250000000002</v>
      </c>
      <c r="J14" s="1233">
        <f>784.7*0.95</f>
        <v>745.46500000000003</v>
      </c>
      <c r="K14" s="1245"/>
    </row>
    <row r="15" spans="1:11">
      <c r="A15" s="432"/>
    </row>
    <row r="17" spans="2:13" ht="15.6">
      <c r="B17" s="110" t="s">
        <v>377</v>
      </c>
      <c r="C17" s="433"/>
      <c r="D17" s="433"/>
      <c r="E17" s="456" t="s">
        <v>436</v>
      </c>
      <c r="F17" s="433"/>
      <c r="G17" s="433"/>
      <c r="J17" s="434"/>
      <c r="L17" s="435"/>
      <c r="M17" s="435"/>
    </row>
    <row r="18" spans="2:13">
      <c r="B18" s="110" t="s">
        <v>378</v>
      </c>
    </row>
    <row r="19" spans="2:13">
      <c r="B19" s="110" t="s">
        <v>379</v>
      </c>
    </row>
  </sheetData>
  <mergeCells count="3">
    <mergeCell ref="A3:J3"/>
    <mergeCell ref="A4:J4"/>
    <mergeCell ref="A5:J5"/>
  </mergeCells>
  <phoneticPr fontId="4" type="noConversion"/>
  <pageMargins left="0.78740157480314965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M40"/>
  <sheetViews>
    <sheetView workbookViewId="0">
      <selection activeCell="I35" sqref="I35"/>
    </sheetView>
  </sheetViews>
  <sheetFormatPr defaultRowHeight="13.2"/>
  <cols>
    <col min="1" max="1" width="5.109375" customWidth="1"/>
    <col min="2" max="2" width="32.109375" customWidth="1"/>
    <col min="4" max="4" width="8.109375" customWidth="1"/>
    <col min="5" max="6" width="10.6640625" customWidth="1"/>
    <col min="7" max="7" width="10.5546875" customWidth="1"/>
    <col min="8" max="8" width="10.6640625" customWidth="1"/>
    <col min="9" max="9" width="10.33203125" customWidth="1"/>
  </cols>
  <sheetData>
    <row r="1" spans="1:10" s="6" customFormat="1" ht="24.6">
      <c r="A1" s="324" t="s">
        <v>359</v>
      </c>
      <c r="B1" s="10"/>
      <c r="C1" s="37"/>
      <c r="D1" s="37"/>
      <c r="E1" s="37"/>
      <c r="F1" s="37"/>
      <c r="G1" s="37"/>
      <c r="H1" s="14" t="s">
        <v>144</v>
      </c>
    </row>
    <row r="2" spans="1:10" s="6" customFormat="1" ht="13.8">
      <c r="A2" s="5"/>
    </row>
    <row r="3" spans="1:10" s="6" customFormat="1">
      <c r="A3" s="1764" t="s">
        <v>145</v>
      </c>
      <c r="B3" s="1764"/>
      <c r="C3" s="1764"/>
      <c r="D3" s="1764"/>
      <c r="E3" s="1764"/>
      <c r="F3" s="1764"/>
      <c r="G3" s="1764"/>
      <c r="H3" s="1764"/>
      <c r="I3" s="1764"/>
    </row>
    <row r="4" spans="1:10" s="6" customFormat="1">
      <c r="A4" s="1764" t="s">
        <v>433</v>
      </c>
      <c r="B4" s="1764"/>
      <c r="C4" s="1764"/>
      <c r="D4" s="1764"/>
      <c r="E4" s="1764"/>
      <c r="F4" s="1764"/>
      <c r="G4" s="1764"/>
      <c r="H4" s="1764"/>
      <c r="I4" s="1764"/>
    </row>
    <row r="5" spans="1:10" s="6" customFormat="1" ht="13.8">
      <c r="A5" s="1765"/>
      <c r="B5" s="1765"/>
      <c r="C5" s="1765"/>
      <c r="D5" s="1765"/>
      <c r="E5" s="1765"/>
      <c r="F5" s="1765"/>
      <c r="G5" s="1765"/>
      <c r="H5" s="1765"/>
      <c r="I5" s="1765"/>
    </row>
    <row r="6" spans="1:10" s="6" customFormat="1" ht="13.8" thickBot="1">
      <c r="B6" s="132"/>
      <c r="C6" s="132"/>
      <c r="D6" s="132"/>
      <c r="E6" s="132"/>
      <c r="F6" s="132"/>
      <c r="G6" s="132"/>
      <c r="H6" s="132" t="s">
        <v>95</v>
      </c>
      <c r="I6" s="132"/>
    </row>
    <row r="7" spans="1:10" ht="41.4" thickBot="1">
      <c r="A7" s="727" t="s">
        <v>1</v>
      </c>
      <c r="B7" s="727" t="s">
        <v>146</v>
      </c>
      <c r="C7" s="732" t="s">
        <v>466</v>
      </c>
      <c r="D7" s="732" t="s">
        <v>450</v>
      </c>
      <c r="E7" s="732" t="s">
        <v>468</v>
      </c>
      <c r="F7" s="732" t="s">
        <v>485</v>
      </c>
      <c r="G7" s="732" t="s">
        <v>453</v>
      </c>
      <c r="H7" s="732" t="s">
        <v>454</v>
      </c>
      <c r="I7" s="732" t="s">
        <v>455</v>
      </c>
      <c r="J7" s="955" t="s">
        <v>470</v>
      </c>
    </row>
    <row r="8" spans="1:10" ht="13.8" thickBot="1">
      <c r="A8" s="1217">
        <v>1</v>
      </c>
      <c r="B8" s="1217">
        <v>2</v>
      </c>
      <c r="C8" s="1217">
        <v>4</v>
      </c>
      <c r="D8" s="1223">
        <v>5</v>
      </c>
      <c r="E8" s="1223">
        <v>6</v>
      </c>
      <c r="F8" s="1223">
        <v>7</v>
      </c>
      <c r="G8" s="1223">
        <v>8</v>
      </c>
      <c r="H8" s="1223">
        <v>9</v>
      </c>
      <c r="I8" s="1223">
        <v>10</v>
      </c>
      <c r="J8" s="1216">
        <v>11</v>
      </c>
    </row>
    <row r="9" spans="1:10">
      <c r="A9" s="1766" t="s">
        <v>3</v>
      </c>
      <c r="B9" s="1218" t="s">
        <v>147</v>
      </c>
      <c r="C9" s="1220"/>
      <c r="D9" s="1220"/>
      <c r="E9" s="1220"/>
      <c r="F9" s="1220"/>
      <c r="G9" s="1220"/>
      <c r="H9" s="1220"/>
      <c r="I9" s="1220"/>
      <c r="J9" s="1215"/>
    </row>
    <row r="10" spans="1:10">
      <c r="A10" s="1762"/>
      <c r="B10" s="1219" t="s">
        <v>148</v>
      </c>
      <c r="C10" s="1221"/>
      <c r="D10" s="1221"/>
      <c r="E10" s="1221"/>
      <c r="F10" s="1221"/>
      <c r="G10" s="1221"/>
      <c r="H10" s="1221"/>
      <c r="I10" s="1221"/>
      <c r="J10" s="956"/>
    </row>
    <row r="11" spans="1:10">
      <c r="A11" s="1762"/>
      <c r="B11" s="1219" t="s">
        <v>149</v>
      </c>
      <c r="C11" s="1221"/>
      <c r="D11" s="1221"/>
      <c r="E11" s="1221"/>
      <c r="F11" s="1221"/>
      <c r="G11" s="1221"/>
      <c r="H11" s="1221"/>
      <c r="I11" s="1221"/>
      <c r="J11" s="956"/>
    </row>
    <row r="12" spans="1:10">
      <c r="A12" s="1246" t="s">
        <v>5</v>
      </c>
      <c r="B12" s="1219" t="s">
        <v>150</v>
      </c>
      <c r="C12" s="1222">
        <v>30</v>
      </c>
      <c r="D12" s="1222">
        <f>'1.16передача'!I46</f>
        <v>47.499999999999993</v>
      </c>
      <c r="E12" s="1222">
        <v>0</v>
      </c>
      <c r="F12" s="1222">
        <f>('1.16передача и сбыт'!L46)*0.95</f>
        <v>57</v>
      </c>
      <c r="G12" s="1222">
        <f>('1.16передача и сбыт'!M46)*0.95</f>
        <v>12.3462</v>
      </c>
      <c r="H12" s="1222">
        <f>('1.16передача и сбыт'!N46)*0.95</f>
        <v>12.3462</v>
      </c>
      <c r="I12" s="1222">
        <f>('1.16передача и сбыт'!R46)*0.95</f>
        <v>24.677215200000003</v>
      </c>
      <c r="J12" s="956"/>
    </row>
    <row r="13" spans="1:10">
      <c r="A13" s="1246"/>
      <c r="B13" s="1219" t="s">
        <v>148</v>
      </c>
      <c r="C13" s="1221"/>
      <c r="D13" s="1221"/>
      <c r="E13" s="1221"/>
      <c r="F13" s="1221"/>
      <c r="G13" s="1221"/>
      <c r="H13" s="1221"/>
      <c r="I13" s="1221"/>
      <c r="J13" s="956"/>
    </row>
    <row r="14" spans="1:10">
      <c r="A14" s="1246"/>
      <c r="B14" s="1219" t="s">
        <v>149</v>
      </c>
      <c r="C14" s="1221"/>
      <c r="D14" s="1221"/>
      <c r="E14" s="1221"/>
      <c r="F14" s="1221"/>
      <c r="G14" s="1221"/>
      <c r="H14" s="1221"/>
      <c r="I14" s="1221"/>
      <c r="J14" s="956"/>
    </row>
    <row r="15" spans="1:10">
      <c r="A15" s="1246" t="s">
        <v>8</v>
      </c>
      <c r="B15" s="1219" t="s">
        <v>151</v>
      </c>
      <c r="C15" s="1221"/>
      <c r="D15" s="1221"/>
      <c r="E15" s="1221"/>
      <c r="F15" s="1221"/>
      <c r="G15" s="1221"/>
      <c r="H15" s="1221"/>
      <c r="I15" s="1221"/>
      <c r="J15" s="956"/>
    </row>
    <row r="16" spans="1:10">
      <c r="A16" s="1246" t="s">
        <v>9</v>
      </c>
      <c r="B16" s="1219" t="s">
        <v>152</v>
      </c>
      <c r="C16" s="1221"/>
      <c r="D16" s="1221"/>
      <c r="E16" s="1221"/>
      <c r="F16" s="1221"/>
      <c r="G16" s="1221"/>
      <c r="H16" s="1221"/>
      <c r="I16" s="1221"/>
      <c r="J16" s="956"/>
    </row>
    <row r="17" spans="1:10">
      <c r="A17" s="1246" t="s">
        <v>10</v>
      </c>
      <c r="B17" s="1219" t="s">
        <v>153</v>
      </c>
      <c r="C17" s="1221"/>
      <c r="D17" s="1221"/>
      <c r="E17" s="1221"/>
      <c r="F17" s="1221"/>
      <c r="G17" s="1221"/>
      <c r="H17" s="1221"/>
      <c r="I17" s="1221"/>
      <c r="J17" s="956"/>
    </row>
    <row r="18" spans="1:10">
      <c r="A18" s="1246"/>
      <c r="B18" s="1219" t="s">
        <v>154</v>
      </c>
      <c r="C18" s="1221"/>
      <c r="D18" s="1221"/>
      <c r="E18" s="1221"/>
      <c r="F18" s="1221"/>
      <c r="G18" s="1221"/>
      <c r="H18" s="1221"/>
      <c r="I18" s="1221"/>
      <c r="J18" s="956"/>
    </row>
    <row r="19" spans="1:10">
      <c r="A19" s="1246"/>
      <c r="B19" s="1219" t="s">
        <v>155</v>
      </c>
      <c r="C19" s="1221"/>
      <c r="D19" s="1221"/>
      <c r="E19" s="1221"/>
      <c r="F19" s="1221"/>
      <c r="G19" s="1221"/>
      <c r="H19" s="1221"/>
      <c r="I19" s="1221"/>
      <c r="J19" s="956"/>
    </row>
    <row r="20" spans="1:10">
      <c r="A20" s="1246"/>
      <c r="B20" s="1219" t="s">
        <v>156</v>
      </c>
      <c r="C20" s="1221"/>
      <c r="D20" s="1221"/>
      <c r="E20" s="1221"/>
      <c r="F20" s="1221"/>
      <c r="G20" s="1221"/>
      <c r="H20" s="1221"/>
      <c r="I20" s="1221"/>
      <c r="J20" s="956"/>
    </row>
    <row r="21" spans="1:10">
      <c r="A21" s="1246" t="s">
        <v>14</v>
      </c>
      <c r="B21" s="1219" t="s">
        <v>157</v>
      </c>
      <c r="C21" s="1222">
        <v>37</v>
      </c>
      <c r="D21" s="1222">
        <f t="shared" ref="D21:I21" si="0">D12/0.8</f>
        <v>59.374999999999986</v>
      </c>
      <c r="E21" s="1222">
        <f>(E12/0.8)</f>
        <v>0</v>
      </c>
      <c r="F21" s="1222">
        <f>(F12/0.8)</f>
        <v>71.25</v>
      </c>
      <c r="G21" s="1222">
        <f t="shared" si="0"/>
        <v>15.432749999999999</v>
      </c>
      <c r="H21" s="1222">
        <f t="shared" si="0"/>
        <v>15.432749999999999</v>
      </c>
      <c r="I21" s="1222">
        <f t="shared" si="0"/>
        <v>30.846519000000001</v>
      </c>
      <c r="J21" s="956"/>
    </row>
    <row r="22" spans="1:10">
      <c r="A22" s="1246" t="s">
        <v>16</v>
      </c>
      <c r="B22" s="1219" t="s">
        <v>158</v>
      </c>
      <c r="C22" s="1221"/>
      <c r="D22" s="1221"/>
      <c r="E22" s="1221"/>
      <c r="F22" s="1221"/>
      <c r="G22" s="1221"/>
      <c r="H22" s="1221"/>
      <c r="I22" s="1221"/>
      <c r="J22" s="956"/>
    </row>
    <row r="23" spans="1:10">
      <c r="A23" s="1246"/>
      <c r="B23" s="1219" t="s">
        <v>159</v>
      </c>
      <c r="C23" s="1221"/>
      <c r="D23" s="1221"/>
      <c r="E23" s="1221"/>
      <c r="F23" s="1221"/>
      <c r="G23" s="1221"/>
      <c r="H23" s="1221"/>
      <c r="I23" s="1221"/>
      <c r="J23" s="956"/>
    </row>
    <row r="24" spans="1:10">
      <c r="A24" s="1246"/>
      <c r="B24" s="1219" t="s">
        <v>160</v>
      </c>
      <c r="C24" s="1222">
        <f t="shared" ref="C24:I24" si="1">C21*0.2</f>
        <v>7.4</v>
      </c>
      <c r="D24" s="1222">
        <f t="shared" si="1"/>
        <v>11.874999999999998</v>
      </c>
      <c r="E24" s="1222">
        <f t="shared" si="1"/>
        <v>0</v>
      </c>
      <c r="F24" s="1222">
        <f t="shared" si="1"/>
        <v>14.25</v>
      </c>
      <c r="G24" s="1222">
        <f t="shared" si="1"/>
        <v>3.0865499999999999</v>
      </c>
      <c r="H24" s="1222">
        <f t="shared" si="1"/>
        <v>3.0865499999999999</v>
      </c>
      <c r="I24" s="1222">
        <f t="shared" si="1"/>
        <v>6.1693038000000007</v>
      </c>
      <c r="J24" s="956"/>
    </row>
    <row r="25" spans="1:10">
      <c r="A25" s="1246"/>
      <c r="B25" s="1219" t="s">
        <v>161</v>
      </c>
      <c r="C25" s="1221"/>
      <c r="D25" s="1221"/>
      <c r="E25" s="1221"/>
      <c r="F25" s="1221"/>
      <c r="G25" s="1221"/>
      <c r="H25" s="1221"/>
      <c r="I25" s="1221"/>
      <c r="J25" s="956"/>
    </row>
    <row r="26" spans="1:10">
      <c r="A26" s="1762"/>
      <c r="B26" s="1219" t="s">
        <v>162</v>
      </c>
      <c r="C26" s="1221"/>
      <c r="D26" s="1221"/>
      <c r="E26" s="1221"/>
      <c r="F26" s="1221"/>
      <c r="G26" s="1221"/>
      <c r="H26" s="1221"/>
      <c r="I26" s="1221"/>
      <c r="J26" s="956"/>
    </row>
    <row r="27" spans="1:10" ht="21" thickBot="1">
      <c r="A27" s="1763"/>
      <c r="B27" s="1247" t="s">
        <v>163</v>
      </c>
      <c r="C27" s="1248"/>
      <c r="D27" s="1248"/>
      <c r="E27" s="1248"/>
      <c r="F27" s="1248"/>
      <c r="G27" s="1248"/>
      <c r="H27" s="1248"/>
      <c r="I27" s="1248"/>
      <c r="J27" s="1249"/>
    </row>
    <row r="28" spans="1:10" s="110" customFormat="1" ht="13.8" thickBot="1">
      <c r="A28" s="1250" t="s">
        <v>18</v>
      </c>
      <c r="B28" s="1250" t="s">
        <v>164</v>
      </c>
      <c r="C28" s="1251">
        <f t="shared" ref="C28:I28" si="2">C12+C24</f>
        <v>37.4</v>
      </c>
      <c r="D28" s="1251">
        <f t="shared" si="2"/>
        <v>59.374999999999993</v>
      </c>
      <c r="E28" s="1251">
        <f t="shared" si="2"/>
        <v>0</v>
      </c>
      <c r="F28" s="1251">
        <f t="shared" si="2"/>
        <v>71.25</v>
      </c>
      <c r="G28" s="1251">
        <f t="shared" si="2"/>
        <v>15.432749999999999</v>
      </c>
      <c r="H28" s="1251">
        <f t="shared" si="2"/>
        <v>15.432749999999999</v>
      </c>
      <c r="I28" s="1251">
        <f t="shared" si="2"/>
        <v>30.846519000000004</v>
      </c>
      <c r="J28" s="1252"/>
    </row>
    <row r="29" spans="1:10" hidden="1">
      <c r="A29" s="952" t="s">
        <v>165</v>
      </c>
      <c r="B29" s="953" t="s">
        <v>166</v>
      </c>
      <c r="C29" s="954"/>
      <c r="D29" s="954"/>
      <c r="E29" s="954"/>
      <c r="F29" s="954"/>
      <c r="G29" s="954"/>
      <c r="H29" s="954"/>
      <c r="I29" s="131"/>
      <c r="J29" s="7"/>
    </row>
    <row r="30" spans="1:10" hidden="1">
      <c r="A30" s="8" t="s">
        <v>167</v>
      </c>
      <c r="B30" s="9" t="s">
        <v>168</v>
      </c>
      <c r="C30" s="36"/>
      <c r="D30" s="36"/>
      <c r="E30" s="36"/>
      <c r="F30" s="36"/>
      <c r="G30" s="36"/>
      <c r="H30" s="36"/>
      <c r="I30" s="131"/>
      <c r="J30" s="7"/>
    </row>
    <row r="31" spans="1:10" hidden="1">
      <c r="A31" s="8" t="s">
        <v>169</v>
      </c>
      <c r="B31" s="9" t="s">
        <v>170</v>
      </c>
      <c r="C31" s="36"/>
      <c r="D31" s="36"/>
      <c r="E31" s="36"/>
      <c r="F31" s="36"/>
      <c r="G31" s="36"/>
      <c r="H31" s="36"/>
      <c r="I31" s="131"/>
      <c r="J31" s="7"/>
    </row>
    <row r="32" spans="1:10" hidden="1">
      <c r="A32" s="8" t="s">
        <v>171</v>
      </c>
      <c r="B32" s="9" t="s">
        <v>172</v>
      </c>
      <c r="C32" s="36"/>
      <c r="D32" s="36"/>
      <c r="E32" s="36"/>
      <c r="F32" s="36"/>
      <c r="G32" s="36"/>
      <c r="H32" s="36"/>
      <c r="I32" s="131"/>
      <c r="J32" s="7"/>
    </row>
    <row r="33" spans="1:13" hidden="1">
      <c r="A33" s="8" t="s">
        <v>173</v>
      </c>
      <c r="B33" s="9" t="s">
        <v>174</v>
      </c>
      <c r="C33" s="36"/>
      <c r="D33" s="36"/>
      <c r="E33" s="36"/>
      <c r="F33" s="36"/>
      <c r="G33" s="36"/>
      <c r="H33" s="36"/>
      <c r="I33" s="131"/>
      <c r="J33" s="7"/>
    </row>
    <row r="34" spans="1:13" hidden="1">
      <c r="A34" s="8" t="s">
        <v>175</v>
      </c>
      <c r="B34" s="9" t="s">
        <v>176</v>
      </c>
      <c r="C34" s="36"/>
      <c r="D34" s="36"/>
      <c r="E34" s="36"/>
      <c r="F34" s="36"/>
      <c r="G34" s="36"/>
      <c r="H34" s="36"/>
      <c r="I34" s="131"/>
      <c r="J34" s="7"/>
    </row>
    <row r="36" spans="1:13" ht="17.25" customHeight="1">
      <c r="C36" s="16"/>
      <c r="D36" s="16"/>
      <c r="E36" s="16"/>
      <c r="F36" s="16"/>
      <c r="G36" s="16"/>
      <c r="H36" s="17"/>
      <c r="J36" s="16"/>
      <c r="L36" s="15"/>
      <c r="M36" s="15"/>
    </row>
    <row r="38" spans="1:13">
      <c r="B38" s="724" t="s">
        <v>377</v>
      </c>
      <c r="G38" s="725" t="s">
        <v>436</v>
      </c>
    </row>
    <row r="39" spans="1:13">
      <c r="B39" s="724" t="s">
        <v>378</v>
      </c>
    </row>
    <row r="40" spans="1:13">
      <c r="B40" s="724" t="s">
        <v>379</v>
      </c>
    </row>
  </sheetData>
  <mergeCells count="5">
    <mergeCell ref="A26:A27"/>
    <mergeCell ref="A3:I3"/>
    <mergeCell ref="A4:I4"/>
    <mergeCell ref="A5:I5"/>
    <mergeCell ref="A9:A11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Y86"/>
  <sheetViews>
    <sheetView topLeftCell="A16" zoomScale="80" workbookViewId="0">
      <selection activeCell="G50" sqref="G50"/>
    </sheetView>
  </sheetViews>
  <sheetFormatPr defaultRowHeight="13.2"/>
  <cols>
    <col min="1" max="1" width="7.33203125" style="330" bestFit="1" customWidth="1"/>
    <col min="2" max="2" width="40.109375" style="330" customWidth="1"/>
    <col min="3" max="5" width="12.6640625" style="359" hidden="1" customWidth="1"/>
    <col min="6" max="7" width="12.6640625" style="359" customWidth="1"/>
    <col min="8" max="8" width="12.6640625" style="359" hidden="1" customWidth="1"/>
    <col min="9" max="9" width="12.6640625" style="359" customWidth="1"/>
    <col min="10" max="10" width="12.6640625" style="359" hidden="1" customWidth="1"/>
    <col min="11" max="11" width="14.44140625" style="359" customWidth="1"/>
    <col min="12" max="12" width="13.33203125" style="359" customWidth="1"/>
    <col min="13" max="13" width="13.109375" style="330" customWidth="1"/>
    <col min="14" max="14" width="12.6640625" style="330" hidden="1" customWidth="1"/>
    <col min="15" max="16" width="12.6640625" style="330" customWidth="1"/>
    <col min="17" max="17" width="14.33203125" style="330" customWidth="1"/>
    <col min="18" max="16384" width="8.88671875" style="330"/>
  </cols>
  <sheetData>
    <row r="1" spans="1:25" ht="15.6">
      <c r="A1" s="305"/>
      <c r="B1" s="1758" t="s">
        <v>359</v>
      </c>
      <c r="C1" s="1758"/>
      <c r="D1" s="1758"/>
      <c r="E1" s="1758"/>
      <c r="F1" s="1758"/>
      <c r="G1" s="1758"/>
      <c r="H1" s="1758"/>
      <c r="I1" s="1758"/>
      <c r="J1" s="1758"/>
      <c r="K1" s="1758"/>
      <c r="L1" s="1758"/>
      <c r="M1" s="1758"/>
      <c r="N1" s="11"/>
      <c r="O1" s="11"/>
      <c r="P1" s="11"/>
      <c r="Q1" s="109" t="s">
        <v>0</v>
      </c>
    </row>
    <row r="2" spans="1:25" ht="16.5" customHeight="1">
      <c r="A2" s="1757" t="s">
        <v>442</v>
      </c>
      <c r="B2" s="1757"/>
      <c r="C2" s="1757"/>
      <c r="D2" s="1757"/>
      <c r="E2" s="1757"/>
      <c r="F2" s="1757"/>
      <c r="G2" s="1757"/>
      <c r="H2" s="1757"/>
      <c r="I2" s="1757"/>
      <c r="J2" s="1757"/>
      <c r="K2" s="1757"/>
      <c r="L2" s="1757"/>
      <c r="M2" s="1757"/>
      <c r="N2" s="1757"/>
      <c r="O2" s="1757"/>
      <c r="P2" s="1757"/>
      <c r="Q2" s="1757"/>
    </row>
    <row r="3" spans="1:25" s="6" customFormat="1" ht="19.5" customHeight="1">
      <c r="A3" s="1"/>
      <c r="D3" s="331"/>
      <c r="E3" s="331"/>
      <c r="F3" s="331"/>
      <c r="G3" s="331"/>
      <c r="H3" s="331"/>
      <c r="I3" s="331"/>
      <c r="J3" s="331"/>
      <c r="K3" s="331"/>
      <c r="L3" s="331"/>
      <c r="Q3" s="332" t="s">
        <v>95</v>
      </c>
      <c r="Y3" s="1214"/>
    </row>
    <row r="4" spans="1:25" s="6" customFormat="1" ht="19.5" customHeight="1" thickBot="1">
      <c r="A4" s="1"/>
      <c r="D4" s="331"/>
      <c r="E4" s="331"/>
      <c r="F4" s="331"/>
      <c r="G4" s="331"/>
      <c r="H4" s="331">
        <f>'1.25'!D6</f>
        <v>0</v>
      </c>
      <c r="I4" s="331"/>
      <c r="J4" s="331"/>
      <c r="K4" s="331"/>
      <c r="L4" s="331"/>
    </row>
    <row r="5" spans="1:25" s="334" customFormat="1" ht="70.5" customHeight="1" thickBot="1">
      <c r="A5" s="159" t="s">
        <v>1</v>
      </c>
      <c r="B5" s="160" t="s">
        <v>2</v>
      </c>
      <c r="C5" s="160" t="s">
        <v>75</v>
      </c>
      <c r="D5" s="160" t="s">
        <v>72</v>
      </c>
      <c r="E5" s="306" t="s">
        <v>73</v>
      </c>
      <c r="F5" s="730" t="s">
        <v>458</v>
      </c>
      <c r="G5" s="369" t="s">
        <v>450</v>
      </c>
      <c r="H5" s="316" t="s">
        <v>74</v>
      </c>
      <c r="I5" s="730" t="s">
        <v>459</v>
      </c>
      <c r="J5" s="383" t="s">
        <v>354</v>
      </c>
      <c r="K5" s="732" t="s">
        <v>460</v>
      </c>
      <c r="L5" s="732" t="s">
        <v>453</v>
      </c>
      <c r="M5" s="732" t="s">
        <v>454</v>
      </c>
      <c r="N5" s="388" t="s">
        <v>358</v>
      </c>
      <c r="O5" s="733" t="s">
        <v>455</v>
      </c>
      <c r="P5" s="1182" t="s">
        <v>484</v>
      </c>
      <c r="Q5" s="879"/>
    </row>
    <row r="6" spans="1:25" s="340" customFormat="1" ht="13.8" thickBot="1">
      <c r="A6" s="162">
        <v>1</v>
      </c>
      <c r="B6" s="163">
        <v>2</v>
      </c>
      <c r="C6" s="335">
        <v>3</v>
      </c>
      <c r="D6" s="335">
        <v>4</v>
      </c>
      <c r="E6" s="336">
        <v>3</v>
      </c>
      <c r="F6" s="370">
        <v>4</v>
      </c>
      <c r="G6" s="337">
        <v>3</v>
      </c>
      <c r="H6" s="338">
        <v>5</v>
      </c>
      <c r="I6" s="370">
        <v>4</v>
      </c>
      <c r="J6" s="384">
        <v>7</v>
      </c>
      <c r="K6" s="1157">
        <v>5</v>
      </c>
      <c r="L6" s="1157">
        <v>6</v>
      </c>
      <c r="M6" s="1197">
        <v>7</v>
      </c>
      <c r="N6" s="389">
        <v>11</v>
      </c>
      <c r="O6" s="400">
        <v>8</v>
      </c>
      <c r="P6" s="1183"/>
      <c r="Q6" s="339">
        <v>9</v>
      </c>
    </row>
    <row r="7" spans="1:25" s="72" customFormat="1" ht="13.5" customHeight="1">
      <c r="A7" s="164" t="s">
        <v>3</v>
      </c>
      <c r="B7" s="368" t="s">
        <v>4</v>
      </c>
      <c r="C7" s="161"/>
      <c r="D7" s="161"/>
      <c r="E7" s="307"/>
      <c r="F7" s="447">
        <v>0</v>
      </c>
      <c r="G7" s="447">
        <f>'1.15передача и сбыт'!G7*0.05</f>
        <v>0</v>
      </c>
      <c r="H7" s="446"/>
      <c r="I7" s="447">
        <v>0</v>
      </c>
      <c r="J7" s="1140"/>
      <c r="K7" s="1270">
        <f>'1.15передача и сбыт'!K7*0.05</f>
        <v>0</v>
      </c>
      <c r="L7" s="1270">
        <f>O7/2</f>
        <v>0</v>
      </c>
      <c r="M7" s="1198">
        <f>O7/2</f>
        <v>0</v>
      </c>
      <c r="N7" s="1271"/>
      <c r="O7" s="1272">
        <f>'1.15передача и сбыт'!O7*0.05</f>
        <v>0</v>
      </c>
      <c r="P7" s="1184"/>
      <c r="Q7" s="896"/>
    </row>
    <row r="8" spans="1:25" s="72" customFormat="1" ht="13.5" customHeight="1">
      <c r="A8" s="165" t="s">
        <v>5</v>
      </c>
      <c r="B8" s="101" t="s">
        <v>6</v>
      </c>
      <c r="C8" s="102">
        <v>22</v>
      </c>
      <c r="D8" s="102">
        <v>51</v>
      </c>
      <c r="E8" s="308"/>
      <c r="F8" s="371">
        <v>50</v>
      </c>
      <c r="G8" s="371">
        <f>'1.15передача и сбыт'!G8*0.05</f>
        <v>26.120024999999998</v>
      </c>
      <c r="H8" s="107"/>
      <c r="I8" s="371">
        <v>22</v>
      </c>
      <c r="J8" s="1141"/>
      <c r="K8" s="1158">
        <f>'1.15передача и сбыт'!K8*0.05</f>
        <v>12</v>
      </c>
      <c r="L8" s="1158">
        <f>'1.15передача и сбыт'!L8*0.05</f>
        <v>6.3780000000000001</v>
      </c>
      <c r="M8" s="1198">
        <f>O8-L8</f>
        <v>6.3780000000000001</v>
      </c>
      <c r="N8" s="1273" t="e">
        <f>H8*$N$68/$Q$68</f>
        <v>#DIV/0!</v>
      </c>
      <c r="O8" s="1158">
        <f>'1.15передача и сбыт'!O8*0.05</f>
        <v>12.756</v>
      </c>
      <c r="P8" s="1185"/>
      <c r="Q8" s="897"/>
    </row>
    <row r="9" spans="1:25" s="64" customFormat="1" ht="13.5" customHeight="1">
      <c r="A9" s="166"/>
      <c r="B9" s="63" t="s">
        <v>7</v>
      </c>
      <c r="C9" s="74">
        <v>22</v>
      </c>
      <c r="D9" s="74">
        <v>51</v>
      </c>
      <c r="E9" s="309"/>
      <c r="F9" s="372"/>
      <c r="G9" s="372"/>
      <c r="H9" s="448"/>
      <c r="I9" s="372"/>
      <c r="J9" s="1142"/>
      <c r="K9" s="1159"/>
      <c r="L9" s="1159"/>
      <c r="M9" s="1198">
        <f>L9+K9</f>
        <v>0</v>
      </c>
      <c r="N9" s="1273" t="e">
        <f>H9*$N$68/$Q$68</f>
        <v>#DIV/0!</v>
      </c>
      <c r="O9" s="401"/>
      <c r="P9" s="1185"/>
      <c r="Q9" s="897">
        <f>Q8</f>
        <v>0</v>
      </c>
    </row>
    <row r="10" spans="1:25" s="72" customFormat="1" ht="27" customHeight="1">
      <c r="A10" s="165" t="s">
        <v>8</v>
      </c>
      <c r="B10" s="101" t="s">
        <v>55</v>
      </c>
      <c r="C10" s="102">
        <v>384</v>
      </c>
      <c r="D10" s="102">
        <v>1547</v>
      </c>
      <c r="E10" s="308"/>
      <c r="F10" s="371">
        <v>62</v>
      </c>
      <c r="G10" s="371">
        <f>G11</f>
        <v>6.5922000000000001</v>
      </c>
      <c r="H10" s="107"/>
      <c r="I10" s="371">
        <v>9</v>
      </c>
      <c r="J10" s="1141"/>
      <c r="K10" s="1158">
        <f>K11</f>
        <v>5.4</v>
      </c>
      <c r="L10" s="1178">
        <f>O10*0.5</f>
        <v>2.7675000000000001</v>
      </c>
      <c r="M10" s="1178">
        <f>O10*0.5</f>
        <v>2.7675000000000001</v>
      </c>
      <c r="N10" s="1273" t="e">
        <f>H10*$N$68/$Q$68</f>
        <v>#DIV/0!</v>
      </c>
      <c r="O10" s="948">
        <f>'1.15передача и сбыт'!O10*0.05</f>
        <v>5.5350000000000001</v>
      </c>
      <c r="P10" s="1185"/>
      <c r="Q10" s="897"/>
    </row>
    <row r="11" spans="1:25" s="64" customFormat="1" ht="13.5" customHeight="1">
      <c r="A11" s="166"/>
      <c r="B11" s="63" t="s">
        <v>7</v>
      </c>
      <c r="C11" s="74">
        <v>384</v>
      </c>
      <c r="D11" s="74">
        <v>1547</v>
      </c>
      <c r="E11" s="309"/>
      <c r="F11" s="372">
        <v>62</v>
      </c>
      <c r="G11" s="372">
        <f>'1.15передача и сбыт'!G11*0.05</f>
        <v>6.5922000000000001</v>
      </c>
      <c r="H11" s="448"/>
      <c r="I11" s="372">
        <v>9</v>
      </c>
      <c r="J11" s="1142"/>
      <c r="K11" s="1159">
        <f>'1.15передача и сбыт'!K11*0.05</f>
        <v>5.4</v>
      </c>
      <c r="L11" s="1180">
        <f>L10</f>
        <v>2.7675000000000001</v>
      </c>
      <c r="M11" s="1201">
        <f>M10</f>
        <v>2.7675000000000001</v>
      </c>
      <c r="N11" s="1273" t="e">
        <f>H11*$N$68/$Q$68</f>
        <v>#DIV/0!</v>
      </c>
      <c r="O11" s="948">
        <f>O10</f>
        <v>5.5350000000000001</v>
      </c>
      <c r="P11" s="1185"/>
      <c r="Q11" s="897">
        <f>Q10</f>
        <v>0</v>
      </c>
    </row>
    <row r="12" spans="1:25" s="72" customFormat="1" ht="13.5" customHeight="1">
      <c r="A12" s="165" t="s">
        <v>9</v>
      </c>
      <c r="B12" s="101" t="s">
        <v>59</v>
      </c>
      <c r="C12" s="102">
        <v>88</v>
      </c>
      <c r="D12" s="102">
        <v>42</v>
      </c>
      <c r="E12" s="308"/>
      <c r="F12" s="1275">
        <v>4.5</v>
      </c>
      <c r="G12" s="371">
        <f>'1.15передача и сбыт'!G12*0.05</f>
        <v>3.2569805000000005</v>
      </c>
      <c r="H12" s="107"/>
      <c r="I12" s="371">
        <v>3</v>
      </c>
      <c r="J12" s="1141"/>
      <c r="K12" s="1158">
        <f>'1.15передача и сбыт'!K12*0.05</f>
        <v>3.4523993300000004</v>
      </c>
      <c r="L12" s="1286">
        <f>O12*0.5</f>
        <v>1.8297716449000003</v>
      </c>
      <c r="M12" s="1280">
        <f>O12*0.5</f>
        <v>1.8297716449000003</v>
      </c>
      <c r="N12" s="1273" t="e">
        <f>H12*$N$68/$Q$68</f>
        <v>#DIV/0!</v>
      </c>
      <c r="O12" s="1269">
        <f>'1.15передача и сбыт'!O12*0.05</f>
        <v>3.6595432898000007</v>
      </c>
      <c r="P12" s="1185"/>
      <c r="Q12" s="897"/>
    </row>
    <row r="13" spans="1:25" s="122" customFormat="1" ht="13.5" customHeight="1">
      <c r="A13" s="889" t="s">
        <v>10</v>
      </c>
      <c r="B13" s="890" t="s">
        <v>60</v>
      </c>
      <c r="C13" s="891">
        <v>1369</v>
      </c>
      <c r="D13" s="892">
        <f>D14+D15</f>
        <v>1520.9566749999999</v>
      </c>
      <c r="E13" s="893"/>
      <c r="F13" s="895">
        <f>F14+F15</f>
        <v>106</v>
      </c>
      <c r="G13" s="895">
        <f>G14+G15</f>
        <v>31.552199999999999</v>
      </c>
      <c r="H13" s="894"/>
      <c r="I13" s="895">
        <f>I14+I15</f>
        <v>0</v>
      </c>
      <c r="J13" s="1143"/>
      <c r="K13" s="1160">
        <f>K14+K15</f>
        <v>107.24000000000001</v>
      </c>
      <c r="L13" s="1179">
        <f>L14+L15</f>
        <v>12.411651200000001</v>
      </c>
      <c r="M13" s="1179">
        <f>M14+M15</f>
        <v>12.411651200000001</v>
      </c>
      <c r="N13" s="1212">
        <f>N14+N15</f>
        <v>0</v>
      </c>
      <c r="O13" s="949">
        <f>O14+O15</f>
        <v>24.823302400000003</v>
      </c>
      <c r="P13" s="1186"/>
      <c r="Q13" s="898">
        <f>Q14+Q15</f>
        <v>0</v>
      </c>
    </row>
    <row r="14" spans="1:25" s="64" customFormat="1" ht="12.75" customHeight="1">
      <c r="A14" s="166" t="s">
        <v>11</v>
      </c>
      <c r="B14" s="63" t="s">
        <v>352</v>
      </c>
      <c r="C14" s="74">
        <v>1256</v>
      </c>
      <c r="D14" s="74">
        <f>(337301*4.175)*0.001</f>
        <v>1408.231675</v>
      </c>
      <c r="E14" s="309"/>
      <c r="F14" s="372">
        <v>106</v>
      </c>
      <c r="G14" s="372">
        <f>'1.15передача и сбыт'!G14*0.05</f>
        <v>31.552199999999999</v>
      </c>
      <c r="H14" s="318"/>
      <c r="I14" s="372">
        <v>0</v>
      </c>
      <c r="J14" s="1144"/>
      <c r="K14" s="372">
        <f>'1.15передача и сбыт'!K14*0.05</f>
        <v>107.24000000000001</v>
      </c>
      <c r="L14" s="372">
        <f>'1.15передача и сбыт'!L14*0.05</f>
        <v>12.411651200000001</v>
      </c>
      <c r="M14" s="372">
        <f>'1.15передача и сбыт'!M14*0.05</f>
        <v>12.411651200000001</v>
      </c>
      <c r="N14" s="391">
        <f>'1.25'!J6*'1.2.2'!L12</f>
        <v>0</v>
      </c>
      <c r="O14" s="401">
        <f>M14+L14</f>
        <v>24.823302400000003</v>
      </c>
      <c r="P14" s="1185"/>
      <c r="Q14" s="899">
        <f>'1.25'!M6*'1.2.2'!O12</f>
        <v>0</v>
      </c>
    </row>
    <row r="15" spans="1:25" s="64" customFormat="1" ht="13.5" customHeight="1">
      <c r="A15" s="166" t="s">
        <v>12</v>
      </c>
      <c r="B15" s="63" t="s">
        <v>13</v>
      </c>
      <c r="C15" s="74">
        <v>113</v>
      </c>
      <c r="D15" s="74">
        <f>(27000*4.175)*0.001</f>
        <v>112.72500000000001</v>
      </c>
      <c r="E15" s="309"/>
      <c r="F15" s="372"/>
      <c r="G15" s="977"/>
      <c r="H15" s="448"/>
      <c r="I15" s="372"/>
      <c r="J15" s="1142"/>
      <c r="K15" s="1159"/>
      <c r="L15" s="1159"/>
      <c r="M15" s="1171">
        <f>L15+K15</f>
        <v>0</v>
      </c>
      <c r="N15" s="1274">
        <f>'1.25'!J6*'1.2.2'!L14</f>
        <v>0</v>
      </c>
      <c r="O15" s="401">
        <f>Q15-N15</f>
        <v>0</v>
      </c>
      <c r="P15" s="1185"/>
      <c r="Q15" s="899">
        <f>'1.25'!M6*'1.2.2'!O14</f>
        <v>0</v>
      </c>
    </row>
    <row r="16" spans="1:25" s="72" customFormat="1" ht="13.5" customHeight="1">
      <c r="A16" s="165" t="s">
        <v>14</v>
      </c>
      <c r="B16" s="101" t="s">
        <v>64</v>
      </c>
      <c r="C16" s="102">
        <v>2658</v>
      </c>
      <c r="D16" s="102">
        <f>'[3]1.16'!$E$27</f>
        <v>3400.3827199999992</v>
      </c>
      <c r="E16" s="308"/>
      <c r="F16" s="371">
        <v>96</v>
      </c>
      <c r="G16" s="371">
        <f>'1.16сбыт'!I35</f>
        <v>121.20752310000002</v>
      </c>
      <c r="H16" s="107"/>
      <c r="I16" s="371">
        <f>'1.16сбыт'!K35</f>
        <v>100</v>
      </c>
      <c r="J16" s="1141"/>
      <c r="K16" s="1158">
        <f>K18+K19+K20+K21</f>
        <v>127.34360000000001</v>
      </c>
      <c r="L16" s="1178">
        <f>L18+L19+L20+L21</f>
        <v>40.279945023766402</v>
      </c>
      <c r="M16" s="1178">
        <f>M18+M19+M20+M21</f>
        <v>40.279945023766402</v>
      </c>
      <c r="N16" s="1273" t="e">
        <f>H16*$N$68/$Q$68</f>
        <v>#DIV/0!</v>
      </c>
      <c r="O16" s="1275">
        <f>O18+O19+O20+O21</f>
        <v>80.559890047532804</v>
      </c>
      <c r="P16" s="1185"/>
      <c r="Q16" s="898">
        <f>Q18+Q19</f>
        <v>0</v>
      </c>
    </row>
    <row r="17" spans="1:17" s="347" customFormat="1" ht="31.5" hidden="1" customHeight="1">
      <c r="A17" s="341"/>
      <c r="B17" s="342" t="s">
        <v>15</v>
      </c>
      <c r="C17" s="343"/>
      <c r="D17" s="343"/>
      <c r="E17" s="344"/>
      <c r="F17" s="373"/>
      <c r="G17" s="974"/>
      <c r="H17" s="1276"/>
      <c r="I17" s="373"/>
      <c r="J17" s="1277"/>
      <c r="K17" s="1158"/>
      <c r="L17" s="1161"/>
      <c r="M17" s="1199"/>
      <c r="N17" s="1278"/>
      <c r="O17" s="401">
        <f>Q17-N17</f>
        <v>0</v>
      </c>
      <c r="P17" s="1185"/>
      <c r="Q17" s="900"/>
    </row>
    <row r="18" spans="1:17" s="64" customFormat="1" ht="13.5" customHeight="1">
      <c r="A18" s="166" t="s">
        <v>69</v>
      </c>
      <c r="B18" s="63" t="s">
        <v>65</v>
      </c>
      <c r="C18" s="74">
        <v>2636</v>
      </c>
      <c r="D18" s="75">
        <f>D16-D19</f>
        <v>3380.3827199999992</v>
      </c>
      <c r="E18" s="309"/>
      <c r="F18" s="372">
        <v>94</v>
      </c>
      <c r="G18" s="372">
        <f>'1.16сбыт'!I29</f>
        <v>120.56172310000002</v>
      </c>
      <c r="H18" s="448"/>
      <c r="I18" s="372">
        <f>'1.16сбыт'!K29</f>
        <v>97.783200000000008</v>
      </c>
      <c r="J18" s="1142"/>
      <c r="K18" s="1159">
        <f>'1.16передача и сбыт'!L29*0.05</f>
        <v>122.9436</v>
      </c>
      <c r="L18" s="1180">
        <f>'1.16передача и сбыт'!M29*0.05</f>
        <v>38.795570023766402</v>
      </c>
      <c r="M18" s="1201">
        <f>'1.16передача и сбыт'!N29*0.05</f>
        <v>38.795570023766402</v>
      </c>
      <c r="N18" s="1273" t="e">
        <f>H18*$N$68/$Q$68</f>
        <v>#DIV/0!</v>
      </c>
      <c r="O18" s="948">
        <f>'1.16передача и сбыт'!R29*0.05</f>
        <v>77.591140047532804</v>
      </c>
      <c r="P18" s="1185"/>
      <c r="Q18" s="899">
        <f>'1.16передача и сбыт'!Q24</f>
        <v>0</v>
      </c>
    </row>
    <row r="19" spans="1:17" s="64" customFormat="1" ht="13.5" customHeight="1">
      <c r="A19" s="166" t="s">
        <v>71</v>
      </c>
      <c r="B19" s="63" t="s">
        <v>63</v>
      </c>
      <c r="C19" s="74">
        <v>22</v>
      </c>
      <c r="D19" s="74">
        <f>'[3]1.16'!$E$28</f>
        <v>20</v>
      </c>
      <c r="E19" s="309"/>
      <c r="F19" s="372">
        <v>2</v>
      </c>
      <c r="G19" s="376">
        <f>'1.16сбыт'!I33</f>
        <v>0.64580000000000004</v>
      </c>
      <c r="H19" s="448"/>
      <c r="I19" s="372">
        <f>'1.16сбыт'!K33</f>
        <v>2.4</v>
      </c>
      <c r="J19" s="1142"/>
      <c r="K19" s="1159">
        <f>'1.16передача и сбыт'!L33*0.05</f>
        <v>4.4000000000000004</v>
      </c>
      <c r="L19" s="1159">
        <f>'1.16передача и сбыт'!M33*0.05</f>
        <v>1.484375</v>
      </c>
      <c r="M19" s="1171">
        <f>'1.16передача и сбыт'!N33*0.05</f>
        <v>1.484375</v>
      </c>
      <c r="N19" s="1273" t="e">
        <f>H19*$N$68/$Q$68</f>
        <v>#DIV/0!</v>
      </c>
      <c r="O19" s="401">
        <f>'1.16передача и сбыт'!R33*0.05</f>
        <v>2.96875</v>
      </c>
      <c r="P19" s="1185"/>
      <c r="Q19" s="901">
        <f>'1.16передача и сбыт'!Q25</f>
        <v>0</v>
      </c>
    </row>
    <row r="20" spans="1:17" s="64" customFormat="1" ht="27" customHeight="1">
      <c r="A20" s="166" t="s">
        <v>188</v>
      </c>
      <c r="B20" s="329" t="s">
        <v>371</v>
      </c>
      <c r="C20" s="74"/>
      <c r="D20" s="74"/>
      <c r="E20" s="309"/>
      <c r="F20" s="372">
        <f>'1.16передача и сбыт'!F31</f>
        <v>0</v>
      </c>
      <c r="G20" s="372">
        <f>'1.16сбыт'!I31</f>
        <v>0</v>
      </c>
      <c r="H20" s="448"/>
      <c r="I20" s="372">
        <f>'1.16передача и сбыт'!I31</f>
        <v>0</v>
      </c>
      <c r="J20" s="1142"/>
      <c r="K20" s="1159">
        <f>'1.16передача и сбыт'!K31</f>
        <v>0</v>
      </c>
      <c r="L20" s="1159">
        <f>'1.16передача и сбыт'!M31</f>
        <v>0</v>
      </c>
      <c r="M20" s="1171">
        <v>0</v>
      </c>
      <c r="N20" s="1273"/>
      <c r="O20" s="401">
        <v>0</v>
      </c>
      <c r="P20" s="1185"/>
      <c r="Q20" s="901"/>
    </row>
    <row r="21" spans="1:17" s="64" customFormat="1" ht="27" customHeight="1">
      <c r="A21" s="166" t="s">
        <v>372</v>
      </c>
      <c r="B21" s="329" t="s">
        <v>373</v>
      </c>
      <c r="C21" s="74"/>
      <c r="D21" s="74"/>
      <c r="E21" s="309"/>
      <c r="F21" s="372">
        <f>'1.16передача и сбыт'!F32</f>
        <v>0</v>
      </c>
      <c r="G21" s="372">
        <f>'1.16сбыт'!I32</f>
        <v>0</v>
      </c>
      <c r="H21" s="448"/>
      <c r="I21" s="372">
        <f>'1.16передача и сбыт'!I32</f>
        <v>0</v>
      </c>
      <c r="J21" s="1142"/>
      <c r="K21" s="1159">
        <f>'1.16передача и сбыт'!K32</f>
        <v>0</v>
      </c>
      <c r="L21" s="1159">
        <f>'1.16передача и сбыт'!M32</f>
        <v>0</v>
      </c>
      <c r="M21" s="1171">
        <v>0</v>
      </c>
      <c r="N21" s="1273"/>
      <c r="O21" s="401">
        <v>0</v>
      </c>
      <c r="P21" s="1185"/>
      <c r="Q21" s="901"/>
    </row>
    <row r="22" spans="1:17" s="72" customFormat="1" ht="13.5" customHeight="1">
      <c r="A22" s="165" t="s">
        <v>16</v>
      </c>
      <c r="B22" s="101" t="s">
        <v>17</v>
      </c>
      <c r="C22" s="123">
        <v>688</v>
      </c>
      <c r="D22" s="123">
        <v>812</v>
      </c>
      <c r="E22" s="308"/>
      <c r="F22" s="374">
        <v>18</v>
      </c>
      <c r="G22" s="374">
        <f>G18*0.306</f>
        <v>36.891887268600009</v>
      </c>
      <c r="H22" s="107"/>
      <c r="I22" s="374">
        <f>I18*0.306</f>
        <v>29.921659200000001</v>
      </c>
      <c r="J22" s="1141"/>
      <c r="K22" s="1158">
        <f>K18*0.306</f>
        <v>37.620741600000002</v>
      </c>
      <c r="L22" s="1158">
        <f>L18*0.306</f>
        <v>11.871444427272518</v>
      </c>
      <c r="M22" s="1158">
        <f>M18*0.306</f>
        <v>11.871444427272518</v>
      </c>
      <c r="N22" s="1273" t="e">
        <f>H22*$N$68/$Q$68</f>
        <v>#DIV/0!</v>
      </c>
      <c r="O22" s="371">
        <f>O18*0.306</f>
        <v>23.742888854545036</v>
      </c>
      <c r="P22" s="1185"/>
      <c r="Q22" s="899"/>
    </row>
    <row r="23" spans="1:17" s="347" customFormat="1" ht="31.5" hidden="1" customHeight="1">
      <c r="A23" s="341"/>
      <c r="B23" s="342" t="s">
        <v>7</v>
      </c>
      <c r="C23" s="343"/>
      <c r="D23" s="343"/>
      <c r="E23" s="344"/>
      <c r="F23" s="373"/>
      <c r="G23" s="373"/>
      <c r="H23" s="1276"/>
      <c r="I23" s="373"/>
      <c r="J23" s="1277"/>
      <c r="K23" s="1161"/>
      <c r="L23" s="1161"/>
      <c r="M23" s="1199"/>
      <c r="N23" s="1278"/>
      <c r="O23" s="401">
        <f>Q23-N23</f>
        <v>0</v>
      </c>
      <c r="P23" s="1185"/>
      <c r="Q23" s="899"/>
    </row>
    <row r="24" spans="1:17" s="72" customFormat="1" ht="13.5" customHeight="1">
      <c r="A24" s="165" t="s">
        <v>18</v>
      </c>
      <c r="B24" s="101" t="s">
        <v>19</v>
      </c>
      <c r="C24" s="102">
        <v>43</v>
      </c>
      <c r="D24" s="102">
        <v>27</v>
      </c>
      <c r="E24" s="308"/>
      <c r="F24" s="371">
        <v>28</v>
      </c>
      <c r="G24" s="371">
        <f>'1.17сбыт'!D14</f>
        <v>31.882999999999999</v>
      </c>
      <c r="H24" s="107"/>
      <c r="I24" s="371">
        <f>'1.17сбыт'!E14</f>
        <v>39</v>
      </c>
      <c r="J24" s="1141"/>
      <c r="K24" s="1158">
        <f>'1.17сбыт'!G14</f>
        <v>39.275000000000006</v>
      </c>
      <c r="L24" s="1158">
        <f>'1.17сбыт'!H14</f>
        <v>19.617500000000003</v>
      </c>
      <c r="M24" s="1171">
        <f>'1.17сбыт'!I14</f>
        <v>19.617500000000003</v>
      </c>
      <c r="N24" s="1273" t="e">
        <f>H24*$N$68/$Q$68</f>
        <v>#DIV/0!</v>
      </c>
      <c r="O24" s="401">
        <f>'1.17сбыт'!J14</f>
        <v>39.239000000000004</v>
      </c>
      <c r="P24" s="1185"/>
      <c r="Q24" s="899"/>
    </row>
    <row r="25" spans="1:17" s="72" customFormat="1" ht="13.5" customHeight="1">
      <c r="A25" s="165" t="s">
        <v>20</v>
      </c>
      <c r="B25" s="101" t="s">
        <v>21</v>
      </c>
      <c r="C25" s="102">
        <v>997</v>
      </c>
      <c r="D25" s="102">
        <f>D31+D34</f>
        <v>958</v>
      </c>
      <c r="E25" s="310"/>
      <c r="F25" s="375">
        <v>5</v>
      </c>
      <c r="G25" s="375">
        <f>G26+G27+G28+G29+G30+G31+G34</f>
        <v>231.37136500000003</v>
      </c>
      <c r="H25" s="1282"/>
      <c r="I25" s="375">
        <v>17</v>
      </c>
      <c r="J25" s="1283"/>
      <c r="K25" s="1162">
        <f>K26+K27+K28+K29+K30+K31+K34</f>
        <v>241.49178115000001</v>
      </c>
      <c r="L25" s="1162">
        <f>L26+L27+L28+L29+L30+L31+L34</f>
        <v>163.961877731225</v>
      </c>
      <c r="M25" s="1162">
        <f>M26+M27+M28+M29+M30+M31+M34</f>
        <v>157.20737773122502</v>
      </c>
      <c r="N25" s="1273" t="e">
        <f>H25*$N$68/$Q$68+300+165.88328</f>
        <v>#DIV/0!</v>
      </c>
      <c r="O25" s="401">
        <f>L25+M25</f>
        <v>321.16925546245</v>
      </c>
      <c r="P25" s="1185"/>
      <c r="Q25" s="899">
        <f>Q31+Q34</f>
        <v>0</v>
      </c>
    </row>
    <row r="26" spans="1:17" s="64" customFormat="1" ht="31.5" hidden="1" customHeight="1">
      <c r="A26" s="166" t="s">
        <v>22</v>
      </c>
      <c r="B26" s="63" t="s">
        <v>23</v>
      </c>
      <c r="C26" s="74"/>
      <c r="D26" s="74"/>
      <c r="E26" s="309"/>
      <c r="F26" s="372"/>
      <c r="G26" s="372"/>
      <c r="H26" s="448"/>
      <c r="I26" s="372"/>
      <c r="J26" s="1142"/>
      <c r="K26" s="1159"/>
      <c r="L26" s="1159"/>
      <c r="M26" s="1171">
        <f t="shared" ref="M26:M33" si="0">L26+K26</f>
        <v>0</v>
      </c>
      <c r="N26" s="1279"/>
      <c r="O26" s="401">
        <f>Q26-N26</f>
        <v>0</v>
      </c>
      <c r="P26" s="1185"/>
      <c r="Q26" s="899"/>
    </row>
    <row r="27" spans="1:17" s="64" customFormat="1" ht="31.5" hidden="1" customHeight="1">
      <c r="A27" s="166" t="s">
        <v>24</v>
      </c>
      <c r="B27" s="63" t="s">
        <v>25</v>
      </c>
      <c r="C27" s="74"/>
      <c r="D27" s="74"/>
      <c r="E27" s="309"/>
      <c r="F27" s="372"/>
      <c r="G27" s="372"/>
      <c r="H27" s="448"/>
      <c r="I27" s="372"/>
      <c r="J27" s="1142"/>
      <c r="K27" s="1159"/>
      <c r="L27" s="1159"/>
      <c r="M27" s="1171">
        <f t="shared" si="0"/>
        <v>0</v>
      </c>
      <c r="N27" s="1279"/>
      <c r="O27" s="401">
        <f>Q27-N27</f>
        <v>0</v>
      </c>
      <c r="P27" s="1185"/>
      <c r="Q27" s="899"/>
    </row>
    <row r="28" spans="1:17" s="64" customFormat="1" ht="31.5" hidden="1" customHeight="1">
      <c r="A28" s="168" t="s">
        <v>26</v>
      </c>
      <c r="B28" s="63" t="s">
        <v>56</v>
      </c>
      <c r="C28" s="76"/>
      <c r="D28" s="76"/>
      <c r="E28" s="309"/>
      <c r="F28" s="372"/>
      <c r="G28" s="372"/>
      <c r="H28" s="448"/>
      <c r="I28" s="372"/>
      <c r="J28" s="1142"/>
      <c r="K28" s="1159"/>
      <c r="L28" s="1159"/>
      <c r="M28" s="1171">
        <f t="shared" si="0"/>
        <v>0</v>
      </c>
      <c r="N28" s="1279"/>
      <c r="O28" s="401">
        <f>Q28-N28</f>
        <v>0</v>
      </c>
      <c r="P28" s="1185"/>
      <c r="Q28" s="899"/>
    </row>
    <row r="29" spans="1:17" s="64" customFormat="1" ht="31.5" hidden="1" customHeight="1">
      <c r="A29" s="166" t="s">
        <v>27</v>
      </c>
      <c r="B29" s="63" t="s">
        <v>50</v>
      </c>
      <c r="C29" s="74"/>
      <c r="D29" s="74"/>
      <c r="E29" s="309"/>
      <c r="F29" s="372"/>
      <c r="G29" s="372"/>
      <c r="H29" s="448"/>
      <c r="I29" s="372"/>
      <c r="J29" s="1142"/>
      <c r="K29" s="1159"/>
      <c r="L29" s="1159"/>
      <c r="M29" s="1171">
        <f t="shared" si="0"/>
        <v>0</v>
      </c>
      <c r="N29" s="1279"/>
      <c r="O29" s="401">
        <f>Q29-N29</f>
        <v>0</v>
      </c>
      <c r="P29" s="1185"/>
      <c r="Q29" s="899"/>
    </row>
    <row r="30" spans="1:17" s="64" customFormat="1" ht="31.5" hidden="1" customHeight="1">
      <c r="A30" s="166" t="s">
        <v>28</v>
      </c>
      <c r="B30" s="63" t="s">
        <v>29</v>
      </c>
      <c r="C30" s="74"/>
      <c r="D30" s="74"/>
      <c r="E30" s="309"/>
      <c r="F30" s="372"/>
      <c r="G30" s="372"/>
      <c r="H30" s="448"/>
      <c r="I30" s="372"/>
      <c r="J30" s="1142"/>
      <c r="K30" s="1159"/>
      <c r="L30" s="1159"/>
      <c r="M30" s="1171">
        <f t="shared" si="0"/>
        <v>0</v>
      </c>
      <c r="N30" s="1279"/>
      <c r="O30" s="401">
        <f>Q30-N30</f>
        <v>0</v>
      </c>
      <c r="P30" s="1185"/>
      <c r="Q30" s="899"/>
    </row>
    <row r="31" spans="1:17" s="64" customFormat="1" ht="26.4">
      <c r="A31" s="166" t="s">
        <v>30</v>
      </c>
      <c r="B31" s="63" t="s">
        <v>51</v>
      </c>
      <c r="C31" s="74">
        <v>86</v>
      </c>
      <c r="D31" s="74">
        <v>86</v>
      </c>
      <c r="E31" s="309"/>
      <c r="F31" s="372">
        <f>F32+F33</f>
        <v>0</v>
      </c>
      <c r="G31" s="372">
        <f>G32+G33</f>
        <v>0</v>
      </c>
      <c r="H31" s="448"/>
      <c r="I31" s="372">
        <f>I32+I33</f>
        <v>0</v>
      </c>
      <c r="J31" s="1142"/>
      <c r="K31" s="1159">
        <f>K32+K33</f>
        <v>0</v>
      </c>
      <c r="L31" s="1159">
        <f>L32+L33</f>
        <v>0</v>
      </c>
      <c r="M31" s="1171">
        <f t="shared" si="0"/>
        <v>0</v>
      </c>
      <c r="N31" s="1279" t="e">
        <f>H31*$N$68/$Q$68</f>
        <v>#DIV/0!</v>
      </c>
      <c r="O31" s="401">
        <v>0</v>
      </c>
      <c r="P31" s="1185"/>
      <c r="Q31" s="899"/>
    </row>
    <row r="32" spans="1:17" s="64" customFormat="1" ht="13.5" customHeight="1">
      <c r="A32" s="166" t="s">
        <v>31</v>
      </c>
      <c r="B32" s="63" t="s">
        <v>32</v>
      </c>
      <c r="C32" s="74">
        <v>66</v>
      </c>
      <c r="D32" s="74">
        <v>66</v>
      </c>
      <c r="E32" s="309"/>
      <c r="F32" s="372"/>
      <c r="G32" s="372"/>
      <c r="H32" s="448"/>
      <c r="I32" s="372"/>
      <c r="J32" s="1142"/>
      <c r="K32" s="1159"/>
      <c r="L32" s="1159"/>
      <c r="M32" s="1171">
        <f t="shared" si="0"/>
        <v>0</v>
      </c>
      <c r="N32" s="1279" t="e">
        <f>H32*$N$68/$Q$68</f>
        <v>#DIV/0!</v>
      </c>
      <c r="O32" s="401">
        <v>0</v>
      </c>
      <c r="P32" s="1185"/>
      <c r="Q32" s="899"/>
    </row>
    <row r="33" spans="1:17" s="64" customFormat="1" ht="13.5" customHeight="1">
      <c r="A33" s="166" t="s">
        <v>33</v>
      </c>
      <c r="B33" s="63" t="s">
        <v>34</v>
      </c>
      <c r="C33" s="74"/>
      <c r="D33" s="74"/>
      <c r="E33" s="309"/>
      <c r="F33" s="372"/>
      <c r="G33" s="372"/>
      <c r="H33" s="448"/>
      <c r="I33" s="372"/>
      <c r="J33" s="1142"/>
      <c r="K33" s="1159"/>
      <c r="L33" s="1159"/>
      <c r="M33" s="1171">
        <f t="shared" si="0"/>
        <v>0</v>
      </c>
      <c r="N33" s="1279" t="e">
        <f>H33*$N$68/$Q$68</f>
        <v>#DIV/0!</v>
      </c>
      <c r="O33" s="401"/>
      <c r="P33" s="1185"/>
      <c r="Q33" s="899"/>
    </row>
    <row r="34" spans="1:17" s="64" customFormat="1" ht="24" customHeight="1">
      <c r="A34" s="166" t="s">
        <v>35</v>
      </c>
      <c r="B34" s="63" t="s">
        <v>52</v>
      </c>
      <c r="C34" s="74">
        <v>911</v>
      </c>
      <c r="D34" s="74">
        <f>D36+D58</f>
        <v>872</v>
      </c>
      <c r="E34" s="309"/>
      <c r="F34" s="372">
        <v>5</v>
      </c>
      <c r="G34" s="372">
        <f>G36+G37+G38+G39+G40</f>
        <v>231.37136500000003</v>
      </c>
      <c r="H34" s="1284"/>
      <c r="I34" s="372">
        <v>17</v>
      </c>
      <c r="J34" s="1142"/>
      <c r="K34" s="1159">
        <f>K36+K37+K38+K39+K40</f>
        <v>241.49178115000001</v>
      </c>
      <c r="L34" s="1159">
        <f>L36+L37+L38+L39+L40</f>
        <v>163.961877731225</v>
      </c>
      <c r="M34" s="1159">
        <f>M36+M37+M38+M39+M40</f>
        <v>157.20737773122502</v>
      </c>
      <c r="N34" s="1279"/>
      <c r="O34" s="401">
        <f>L34+M34</f>
        <v>321.16925546245</v>
      </c>
      <c r="P34" s="1185"/>
      <c r="Q34" s="899">
        <f>Q36+Q58</f>
        <v>0</v>
      </c>
    </row>
    <row r="35" spans="1:17" s="64" customFormat="1" ht="13.5" customHeight="1">
      <c r="A35" s="166"/>
      <c r="B35" s="63" t="s">
        <v>36</v>
      </c>
      <c r="C35" s="74"/>
      <c r="D35" s="74"/>
      <c r="E35" s="309"/>
      <c r="F35" s="372"/>
      <c r="G35" s="372"/>
      <c r="H35" s="448"/>
      <c r="I35" s="372"/>
      <c r="J35" s="1142"/>
      <c r="K35" s="1159"/>
      <c r="L35" s="1159"/>
      <c r="M35" s="1200"/>
      <c r="N35" s="1279" t="e">
        <f>H35*$N$68/$Q$68</f>
        <v>#DIV/0!</v>
      </c>
      <c r="O35" s="401"/>
      <c r="P35" s="1185"/>
      <c r="Q35" s="899"/>
    </row>
    <row r="36" spans="1:17" s="64" customFormat="1" ht="13.5" customHeight="1">
      <c r="A36" s="166" t="s">
        <v>37</v>
      </c>
      <c r="B36" s="63" t="s">
        <v>38</v>
      </c>
      <c r="C36" s="74">
        <v>669</v>
      </c>
      <c r="D36" s="74">
        <v>661</v>
      </c>
      <c r="E36" s="309"/>
      <c r="F36" s="376">
        <v>3</v>
      </c>
      <c r="G36" s="376">
        <f>'1.15передача и сбыт'!G36*0.05</f>
        <v>8.1287994999999995</v>
      </c>
      <c r="H36" s="448"/>
      <c r="I36" s="1687">
        <v>2.73</v>
      </c>
      <c r="J36" s="1142"/>
      <c r="K36" s="1159">
        <f>'1.15передача и сбыт'!K36*0.05</f>
        <v>20.259</v>
      </c>
      <c r="L36" s="1159">
        <f>'1.15передача и сбыт'!L36*0.05</f>
        <v>10.1295</v>
      </c>
      <c r="M36" s="1171">
        <f>30*0.05</f>
        <v>1.5</v>
      </c>
      <c r="N36" s="1279"/>
      <c r="O36" s="401">
        <f>L36+M36</f>
        <v>11.6295</v>
      </c>
      <c r="P36" s="1185"/>
      <c r="Q36" s="899"/>
    </row>
    <row r="37" spans="1:17" s="64" customFormat="1" ht="13.5" customHeight="1">
      <c r="A37" s="168" t="s">
        <v>70</v>
      </c>
      <c r="B37" s="65" t="s">
        <v>361</v>
      </c>
      <c r="C37" s="76"/>
      <c r="D37" s="76"/>
      <c r="E37" s="311"/>
      <c r="F37" s="377">
        <v>0.8</v>
      </c>
      <c r="G37" s="377">
        <f>'1.15передача и сбыт'!G37*0.05</f>
        <v>0.8747395</v>
      </c>
      <c r="H37" s="449"/>
      <c r="I37" s="1317">
        <v>0.98</v>
      </c>
      <c r="J37" s="450"/>
      <c r="K37" s="1181">
        <f>'1.15передача и сбыт'!K37*0.05</f>
        <v>0.8747395</v>
      </c>
      <c r="L37" s="1259">
        <f>O37*0.5</f>
        <v>0.46492404424999995</v>
      </c>
      <c r="M37" s="1280">
        <f>O37*0.5</f>
        <v>0.46492404424999995</v>
      </c>
      <c r="N37" s="1279"/>
      <c r="O37" s="1269">
        <f>'1.15передача и сбыт'!O37*0.05</f>
        <v>0.92984808849999989</v>
      </c>
      <c r="P37" s="1185"/>
      <c r="Q37" s="899"/>
    </row>
    <row r="38" spans="1:17" s="64" customFormat="1" ht="13.5" customHeight="1">
      <c r="A38" s="168" t="s">
        <v>360</v>
      </c>
      <c r="B38" s="65" t="s">
        <v>366</v>
      </c>
      <c r="C38" s="76"/>
      <c r="D38" s="76"/>
      <c r="E38" s="311"/>
      <c r="F38" s="377">
        <v>0.2</v>
      </c>
      <c r="G38" s="377">
        <f>'1.15передача и сбыт'!G38*0.05</f>
        <v>0</v>
      </c>
      <c r="H38" s="449"/>
      <c r="I38" s="377">
        <v>0</v>
      </c>
      <c r="J38" s="450"/>
      <c r="K38" s="1180">
        <f>'1.15передача и сбыт'!K38*0.05</f>
        <v>0</v>
      </c>
      <c r="L38" s="1259">
        <f>O38*0.5</f>
        <v>0</v>
      </c>
      <c r="M38" s="1280">
        <f>O38*0.5</f>
        <v>0</v>
      </c>
      <c r="N38" s="1279"/>
      <c r="O38" s="1269">
        <f>'1.15передача и сбыт'!O38*0.05</f>
        <v>0</v>
      </c>
      <c r="P38" s="1185"/>
      <c r="Q38" s="899"/>
    </row>
    <row r="39" spans="1:17" s="64" customFormat="1">
      <c r="A39" s="168" t="s">
        <v>362</v>
      </c>
      <c r="B39" s="65" t="s">
        <v>369</v>
      </c>
      <c r="C39" s="76"/>
      <c r="D39" s="76"/>
      <c r="E39" s="311"/>
      <c r="F39" s="377"/>
      <c r="G39" s="377">
        <f>'1.15передача и сбыт'!G39*0.05</f>
        <v>49.194299999999998</v>
      </c>
      <c r="H39" s="449"/>
      <c r="I39" s="378">
        <v>11</v>
      </c>
      <c r="J39" s="450"/>
      <c r="K39" s="1163">
        <f>'1.15передача и сбыт'!K39*0.05</f>
        <v>49.194299999999998</v>
      </c>
      <c r="L39" s="1163">
        <f>O39*0.5</f>
        <v>24.597149999999999</v>
      </c>
      <c r="M39" s="1171">
        <f>O39*0.5</f>
        <v>24.597149999999999</v>
      </c>
      <c r="N39" s="1279"/>
      <c r="O39" s="401">
        <f>'1.15передача и сбыт'!O39*0.05</f>
        <v>49.194299999999998</v>
      </c>
      <c r="P39" s="1185"/>
      <c r="Q39" s="899"/>
    </row>
    <row r="40" spans="1:17" s="64" customFormat="1">
      <c r="A40" s="168" t="s">
        <v>365</v>
      </c>
      <c r="B40" s="65" t="s">
        <v>376</v>
      </c>
      <c r="C40" s="76"/>
      <c r="D40" s="76"/>
      <c r="E40" s="311"/>
      <c r="F40" s="378">
        <v>1</v>
      </c>
      <c r="G40" s="378">
        <f>SUM(G42:G58)</f>
        <v>173.17352600000001</v>
      </c>
      <c r="H40" s="449"/>
      <c r="I40" s="378">
        <v>3</v>
      </c>
      <c r="J40" s="450"/>
      <c r="K40" s="1163">
        <f>SUM(K42:K58)</f>
        <v>171.16374165000002</v>
      </c>
      <c r="L40" s="1163">
        <f>SUM(L42:L58)</f>
        <v>128.77030368697501</v>
      </c>
      <c r="M40" s="1163">
        <f>SUM(M42:M58)</f>
        <v>130.64530368697501</v>
      </c>
      <c r="N40" s="1279"/>
      <c r="O40" s="401">
        <f>L40+M40</f>
        <v>259.41560737395002</v>
      </c>
      <c r="P40" s="1185"/>
      <c r="Q40" s="899"/>
    </row>
    <row r="41" spans="1:17" s="64" customFormat="1">
      <c r="A41" s="168"/>
      <c r="B41" s="65" t="s">
        <v>216</v>
      </c>
      <c r="C41" s="76"/>
      <c r="D41" s="76"/>
      <c r="E41" s="311"/>
      <c r="F41" s="377"/>
      <c r="G41" s="377"/>
      <c r="H41" s="449"/>
      <c r="I41" s="377"/>
      <c r="J41" s="450"/>
      <c r="K41" s="1163"/>
      <c r="L41" s="1163"/>
      <c r="M41" s="1171"/>
      <c r="N41" s="1279"/>
      <c r="O41" s="401"/>
      <c r="P41" s="1185"/>
      <c r="Q41" s="899"/>
    </row>
    <row r="42" spans="1:17" s="64" customFormat="1">
      <c r="A42" s="168"/>
      <c r="B42" s="65" t="s">
        <v>465</v>
      </c>
      <c r="C42" s="76"/>
      <c r="D42" s="76"/>
      <c r="E42" s="311"/>
      <c r="F42" s="377">
        <v>0</v>
      </c>
      <c r="G42" s="377">
        <f>'1.15передача и сбыт'!G42*0.05</f>
        <v>0.1619275</v>
      </c>
      <c r="H42" s="449"/>
      <c r="I42" s="377">
        <v>0</v>
      </c>
      <c r="J42" s="450"/>
      <c r="K42" s="1163">
        <f>'1.15передача и сбыт'!K42*0.05</f>
        <v>0.17164315000000002</v>
      </c>
      <c r="L42" s="1181">
        <f>O42/2</f>
        <v>9.1228334224999999E-2</v>
      </c>
      <c r="M42" s="1268">
        <f>O42/2</f>
        <v>9.1228334224999999E-2</v>
      </c>
      <c r="N42" s="1279"/>
      <c r="O42" s="401">
        <f>'1.15передача и сбыт'!O42*0.05</f>
        <v>0.18245666845</v>
      </c>
      <c r="P42" s="1185"/>
      <c r="Q42" s="899"/>
    </row>
    <row r="43" spans="1:17" s="64" customFormat="1">
      <c r="A43" s="168"/>
      <c r="B43" s="65" t="s">
        <v>363</v>
      </c>
      <c r="C43" s="76"/>
      <c r="D43" s="76"/>
      <c r="E43" s="311"/>
      <c r="F43" s="377">
        <v>0</v>
      </c>
      <c r="G43" s="377">
        <f>'1.15передача и сбыт'!G43*0.05</f>
        <v>1.0559000000000001</v>
      </c>
      <c r="H43" s="449"/>
      <c r="I43" s="1686">
        <v>4.4999999999999998E-2</v>
      </c>
      <c r="J43" s="450"/>
      <c r="K43" s="1163">
        <f>'1.15передача и сбыт'!K43*0.05</f>
        <v>1.0559000000000001</v>
      </c>
      <c r="L43" s="1181">
        <f>O43*0.5</f>
        <v>0.56121085000000004</v>
      </c>
      <c r="M43" s="1181">
        <f>O43*0.5</f>
        <v>0.56121085000000004</v>
      </c>
      <c r="N43" s="1279"/>
      <c r="O43" s="401">
        <f>'1.15передача и сбыт'!O43*0.05</f>
        <v>1.1224217000000001</v>
      </c>
      <c r="P43" s="1185"/>
      <c r="Q43" s="899"/>
    </row>
    <row r="44" spans="1:17" s="64" customFormat="1">
      <c r="A44" s="168"/>
      <c r="B44" s="65" t="s">
        <v>364</v>
      </c>
      <c r="C44" s="76"/>
      <c r="D44" s="76"/>
      <c r="E44" s="311"/>
      <c r="F44" s="377">
        <v>0</v>
      </c>
      <c r="G44" s="377">
        <f>'1.15передача и сбыт'!G44*0.05</f>
        <v>0</v>
      </c>
      <c r="H44" s="449"/>
      <c r="I44" s="377">
        <v>0</v>
      </c>
      <c r="J44" s="450"/>
      <c r="K44" s="1181"/>
      <c r="L44" s="1181"/>
      <c r="M44" s="1181"/>
      <c r="N44" s="1279"/>
      <c r="O44" s="948"/>
      <c r="P44" s="1185"/>
      <c r="Q44" s="899"/>
    </row>
    <row r="45" spans="1:17" s="64" customFormat="1">
      <c r="A45" s="168"/>
      <c r="B45" s="65" t="s">
        <v>422</v>
      </c>
      <c r="C45" s="76"/>
      <c r="D45" s="76"/>
      <c r="E45" s="311"/>
      <c r="F45" s="377">
        <v>0.4</v>
      </c>
      <c r="G45" s="377">
        <f>'1.15передача и сбыт'!G45*0.05</f>
        <v>0</v>
      </c>
      <c r="H45" s="449"/>
      <c r="I45" s="377">
        <v>0</v>
      </c>
      <c r="J45" s="450"/>
      <c r="K45" s="1181">
        <f>'1.15передача и сбыт'!K45*0.05</f>
        <v>0</v>
      </c>
      <c r="L45" s="1181">
        <f>O45/2</f>
        <v>0</v>
      </c>
      <c r="M45" s="1181">
        <f>O45/2</f>
        <v>0</v>
      </c>
      <c r="N45" s="1285"/>
      <c r="O45" s="948">
        <f>'1.15передача и сбыт'!O45*0.05</f>
        <v>0</v>
      </c>
      <c r="P45" s="1185"/>
      <c r="Q45" s="899"/>
    </row>
    <row r="46" spans="1:17" s="64" customFormat="1">
      <c r="A46" s="168"/>
      <c r="B46" s="65" t="s">
        <v>423</v>
      </c>
      <c r="C46" s="76"/>
      <c r="D46" s="76"/>
      <c r="E46" s="311"/>
      <c r="F46" s="377"/>
      <c r="G46" s="1317">
        <f>'1.15передача и сбыт'!G46*0.05</f>
        <v>2.2500000000000003E-2</v>
      </c>
      <c r="H46" s="449"/>
      <c r="I46" s="1317">
        <v>0.51</v>
      </c>
      <c r="J46" s="450"/>
      <c r="K46" s="1688">
        <f>'1.15передача и сбыт'!K46*0.05</f>
        <v>2.2500000000000003E-2</v>
      </c>
      <c r="L46" s="1259">
        <f>'1.15передача и сбыт'!L46*0.05</f>
        <v>1.1958750000000001E-2</v>
      </c>
      <c r="M46" s="1259">
        <f>'1.15передача и сбыт'!M46*0.05</f>
        <v>1.1958750000000001E-2</v>
      </c>
      <c r="N46" s="1279"/>
      <c r="O46" s="948">
        <f>'1.15передача и сбыт'!O46*0.05</f>
        <v>2.3917500000000001E-2</v>
      </c>
      <c r="P46" s="1185"/>
      <c r="Q46" s="899"/>
    </row>
    <row r="47" spans="1:17" s="64" customFormat="1" ht="26.4">
      <c r="A47" s="168"/>
      <c r="B47" s="65" t="s">
        <v>427</v>
      </c>
      <c r="C47" s="76"/>
      <c r="D47" s="76"/>
      <c r="E47" s="311"/>
      <c r="F47" s="377">
        <v>0.1</v>
      </c>
      <c r="G47" s="377">
        <f>'1.15передача и сбыт'!G47*0.05</f>
        <v>0</v>
      </c>
      <c r="H47" s="449"/>
      <c r="I47" s="1686">
        <v>0.155</v>
      </c>
      <c r="J47" s="450"/>
      <c r="K47" s="1181">
        <f>'1.15передача и сбыт'!K47*0.05</f>
        <v>0</v>
      </c>
      <c r="L47" s="1181">
        <f>O47/2</f>
        <v>0</v>
      </c>
      <c r="M47" s="1181">
        <f>O47/2</f>
        <v>0</v>
      </c>
      <c r="N47" s="1279"/>
      <c r="O47" s="401">
        <f>'1.15передача и сбыт'!O47*0.05</f>
        <v>0</v>
      </c>
      <c r="P47" s="1185"/>
      <c r="Q47" s="899"/>
    </row>
    <row r="48" spans="1:17" s="64" customFormat="1">
      <c r="A48" s="168"/>
      <c r="B48" s="65" t="s">
        <v>424</v>
      </c>
      <c r="C48" s="76"/>
      <c r="D48" s="76"/>
      <c r="E48" s="311"/>
      <c r="F48" s="1686">
        <v>9.5000000000000001E-2</v>
      </c>
      <c r="G48" s="377">
        <f>'1.15передача и сбыт'!G48*0.05</f>
        <v>0.16069850000000002</v>
      </c>
      <c r="H48" s="449"/>
      <c r="I48" s="1686">
        <v>1.393</v>
      </c>
      <c r="J48" s="450"/>
      <c r="K48" s="1259">
        <f>'1.15передача и сбыт'!K48*0.05</f>
        <v>0.16069850000000002</v>
      </c>
      <c r="L48" s="1259">
        <f>O48/2</f>
        <v>8.541125275E-2</v>
      </c>
      <c r="M48" s="1259">
        <f>O48/2</f>
        <v>8.541125275E-2</v>
      </c>
      <c r="N48" s="1279"/>
      <c r="O48" s="1269">
        <f>'1.15передача и сбыт'!O48*0.05</f>
        <v>0.1708225055</v>
      </c>
      <c r="P48" s="1185"/>
      <c r="Q48" s="899"/>
    </row>
    <row r="49" spans="1:17" s="64" customFormat="1">
      <c r="A49" s="168"/>
      <c r="B49" s="65" t="s">
        <v>425</v>
      </c>
      <c r="C49" s="76"/>
      <c r="D49" s="76"/>
      <c r="E49" s="311"/>
      <c r="F49" s="1317">
        <v>0.46</v>
      </c>
      <c r="G49" s="377">
        <f>'1.15передача и сбыт'!G49*0.05</f>
        <v>0.52249999999999996</v>
      </c>
      <c r="H49" s="449"/>
      <c r="I49" s="1686">
        <v>0.50600000000000001</v>
      </c>
      <c r="J49" s="450"/>
      <c r="K49" s="1259">
        <f>'1.15передача и сбыт'!K49*0.05</f>
        <v>0.60300000000000009</v>
      </c>
      <c r="L49" s="1259">
        <f>O49/2</f>
        <v>0.32049450000000002</v>
      </c>
      <c r="M49" s="1259">
        <f>O49/2</f>
        <v>0.32049450000000002</v>
      </c>
      <c r="N49" s="1279"/>
      <c r="O49" s="1269">
        <f>'1.15передача и сбыт'!O49*0.05</f>
        <v>0.64098900000000003</v>
      </c>
      <c r="P49" s="1185"/>
      <c r="Q49" s="899"/>
    </row>
    <row r="50" spans="1:17" s="64" customFormat="1">
      <c r="A50" s="168"/>
      <c r="B50" s="65" t="s">
        <v>438</v>
      </c>
      <c r="C50" s="76"/>
      <c r="D50" s="76"/>
      <c r="E50" s="311"/>
      <c r="F50" s="377"/>
      <c r="G50" s="377">
        <f>'1.15передача и сбыт'!G50*0.05</f>
        <v>1.2000000000000002</v>
      </c>
      <c r="H50" s="449"/>
      <c r="I50" s="377"/>
      <c r="J50" s="450"/>
      <c r="K50" s="1259"/>
      <c r="L50" s="1259"/>
      <c r="M50" s="1259"/>
      <c r="N50" s="1279"/>
      <c r="O50" s="1269"/>
      <c r="P50" s="1185"/>
      <c r="Q50" s="899"/>
    </row>
    <row r="51" spans="1:17" s="64" customFormat="1" ht="24" customHeight="1">
      <c r="A51" s="168"/>
      <c r="B51" s="65" t="s">
        <v>483</v>
      </c>
      <c r="C51" s="76"/>
      <c r="D51" s="76"/>
      <c r="E51" s="311"/>
      <c r="F51" s="377"/>
      <c r="G51" s="377">
        <f>'1.15передача и сбыт'!G51*0.05</f>
        <v>0</v>
      </c>
      <c r="H51" s="449"/>
      <c r="I51" s="377">
        <v>0</v>
      </c>
      <c r="J51" s="450"/>
      <c r="K51" s="1163">
        <f>'1.15передача и сбыт'!K51*0.05</f>
        <v>0</v>
      </c>
      <c r="L51" s="1163">
        <f>'1.15передача'!L51*0.05</f>
        <v>35.625</v>
      </c>
      <c r="M51" s="1171">
        <f>'1.15передача и сбыт'!M51*0.05</f>
        <v>37.5</v>
      </c>
      <c r="N51" s="1279"/>
      <c r="O51" s="401">
        <f>'1.15передача и сбыт'!O51*0.05</f>
        <v>75</v>
      </c>
      <c r="P51" s="1185"/>
      <c r="Q51" s="899"/>
    </row>
    <row r="52" spans="1:17" s="64" customFormat="1">
      <c r="A52" s="168"/>
      <c r="B52" s="65" t="s">
        <v>491</v>
      </c>
      <c r="C52" s="76"/>
      <c r="D52" s="76"/>
      <c r="E52" s="311"/>
      <c r="F52" s="377"/>
      <c r="G52" s="377">
        <f>'1.15передача и сбыт'!G52*0.05</f>
        <v>0</v>
      </c>
      <c r="H52" s="449"/>
      <c r="I52" s="377">
        <v>0</v>
      </c>
      <c r="J52" s="450"/>
      <c r="K52" s="1163">
        <f>'1.15передача и сбыт'!K52*0.05</f>
        <v>0</v>
      </c>
      <c r="L52" s="1163">
        <f>'1.15передача и сбыт'!L52*0.05</f>
        <v>7.5</v>
      </c>
      <c r="M52" s="1171">
        <f>'1.15передача и сбыт'!M52*0.05</f>
        <v>7.5</v>
      </c>
      <c r="N52" s="1279"/>
      <c r="O52" s="401">
        <f>'1.15передача и сбыт'!O52*0.05</f>
        <v>15</v>
      </c>
      <c r="P52" s="1185"/>
      <c r="Q52" s="899"/>
    </row>
    <row r="53" spans="1:17" s="64" customFormat="1" ht="24" hidden="1" customHeight="1">
      <c r="A53" s="168"/>
      <c r="B53" s="65" t="s">
        <v>437</v>
      </c>
      <c r="C53" s="76"/>
      <c r="D53" s="76"/>
      <c r="E53" s="311"/>
      <c r="F53" s="377"/>
      <c r="G53" s="377">
        <f>'1.15передача и сбыт'!G53*0.05</f>
        <v>0</v>
      </c>
      <c r="H53" s="449"/>
      <c r="I53" s="377">
        <v>0</v>
      </c>
      <c r="J53" s="450"/>
      <c r="K53" s="1159">
        <f>'1.15передача и сбыт'!K53*0.05</f>
        <v>0</v>
      </c>
      <c r="L53" s="1163">
        <f>'1.15передача и сбыт'!L53*0.05</f>
        <v>0</v>
      </c>
      <c r="M53" s="1171">
        <f>'1.15передача и сбыт'!M53*0.05</f>
        <v>0</v>
      </c>
      <c r="N53" s="1279"/>
      <c r="O53" s="401">
        <f>'1.15передача и сбыт'!O53*0.05</f>
        <v>0</v>
      </c>
      <c r="P53" s="1185"/>
      <c r="Q53" s="899"/>
    </row>
    <row r="54" spans="1:17" s="64" customFormat="1">
      <c r="A54" s="168"/>
      <c r="B54" s="65" t="s">
        <v>464</v>
      </c>
      <c r="C54" s="76"/>
      <c r="D54" s="76"/>
      <c r="E54" s="311"/>
      <c r="F54" s="377"/>
      <c r="G54" s="377">
        <f>'1.15передача и сбыт'!G55*0.05</f>
        <v>0.9</v>
      </c>
      <c r="H54" s="449"/>
      <c r="I54" s="377"/>
      <c r="J54" s="450"/>
      <c r="K54" s="1163"/>
      <c r="L54" s="1163"/>
      <c r="M54" s="1171">
        <f>L54+K54</f>
        <v>0</v>
      </c>
      <c r="N54" s="1279"/>
      <c r="O54" s="401"/>
      <c r="P54" s="1185"/>
      <c r="Q54" s="899"/>
    </row>
    <row r="55" spans="1:17" s="64" customFormat="1" ht="13.95" customHeight="1">
      <c r="A55" s="168"/>
      <c r="B55" s="65" t="s">
        <v>368</v>
      </c>
      <c r="C55" s="76"/>
      <c r="D55" s="76"/>
      <c r="E55" s="311"/>
      <c r="F55" s="378">
        <v>58</v>
      </c>
      <c r="G55" s="377">
        <f>'1.15передача и сбыт'!G56*0.05</f>
        <v>169.15</v>
      </c>
      <c r="H55" s="449"/>
      <c r="I55" s="378">
        <v>0</v>
      </c>
      <c r="J55" s="450"/>
      <c r="K55" s="1163">
        <f>'1.15передача и сбыт'!K56*0.05</f>
        <v>169.15</v>
      </c>
      <c r="L55" s="1163">
        <f>O55/2</f>
        <v>84.575000000000003</v>
      </c>
      <c r="M55" s="1163">
        <f>O55/2</f>
        <v>84.575000000000003</v>
      </c>
      <c r="N55" s="1279"/>
      <c r="O55" s="401">
        <f>'1.15передача и сбыт'!O56*0.05</f>
        <v>169.15</v>
      </c>
      <c r="P55" s="1185"/>
      <c r="Q55" s="899"/>
    </row>
    <row r="56" spans="1:17" s="64" customFormat="1" ht="24" customHeight="1" thickBot="1">
      <c r="A56" s="166"/>
      <c r="B56" s="63" t="s">
        <v>375</v>
      </c>
      <c r="C56" s="74"/>
      <c r="D56" s="74"/>
      <c r="E56" s="309"/>
      <c r="F56" s="372"/>
      <c r="G56" s="376">
        <f>'1.15передача и сбыт'!G57*0.05</f>
        <v>0</v>
      </c>
      <c r="H56" s="448"/>
      <c r="I56" s="372">
        <v>0</v>
      </c>
      <c r="J56" s="1142"/>
      <c r="K56" s="1159">
        <f>'1.15передача и сбыт'!K57*0.05</f>
        <v>0</v>
      </c>
      <c r="L56" s="1159">
        <f>O56/2</f>
        <v>0</v>
      </c>
      <c r="M56" s="1171">
        <f>O56/2</f>
        <v>0</v>
      </c>
      <c r="N56" s="1279"/>
      <c r="O56" s="401">
        <f>'1.15передача и сбыт'!O57*0.05</f>
        <v>0</v>
      </c>
      <c r="P56" s="1185"/>
      <c r="Q56" s="899"/>
    </row>
    <row r="57" spans="1:17" s="64" customFormat="1" hidden="1">
      <c r="A57" s="421"/>
      <c r="B57" s="328" t="s">
        <v>374</v>
      </c>
      <c r="C57" s="422"/>
      <c r="D57" s="422"/>
      <c r="E57" s="423"/>
      <c r="F57" s="452"/>
      <c r="G57" s="978"/>
      <c r="H57" s="451"/>
      <c r="I57" s="452"/>
      <c r="J57" s="1148"/>
      <c r="K57" s="1164"/>
      <c r="L57" s="1164"/>
      <c r="M57" s="1171">
        <f>L57+K57</f>
        <v>0</v>
      </c>
      <c r="N57" s="393"/>
      <c r="O57" s="401"/>
      <c r="P57" s="1185"/>
      <c r="Q57" s="899"/>
    </row>
    <row r="58" spans="1:17" s="64" customFormat="1" ht="13.5" hidden="1" customHeight="1" thickBot="1">
      <c r="A58" s="168"/>
      <c r="B58" s="65" t="s">
        <v>434</v>
      </c>
      <c r="C58" s="76">
        <v>242</v>
      </c>
      <c r="D58" s="76">
        <v>211</v>
      </c>
      <c r="E58" s="311"/>
      <c r="F58" s="378"/>
      <c r="G58" s="378">
        <f>'1.15передача и сбыт'!G59*0.05</f>
        <v>0</v>
      </c>
      <c r="H58" s="321"/>
      <c r="I58" s="378"/>
      <c r="J58" s="385"/>
      <c r="K58" s="1165"/>
      <c r="L58" s="1163"/>
      <c r="M58" s="1171"/>
      <c r="N58" s="393" t="e">
        <f>H58*$N$68/$Q$68</f>
        <v>#DIV/0!</v>
      </c>
      <c r="O58" s="1202"/>
      <c r="P58" s="1185"/>
      <c r="Q58" s="899"/>
    </row>
    <row r="59" spans="1:17" s="68" customFormat="1" ht="19.5" customHeight="1" thickBot="1">
      <c r="A59" s="66" t="s">
        <v>39</v>
      </c>
      <c r="B59" s="67" t="s">
        <v>53</v>
      </c>
      <c r="C59" s="77">
        <v>6249</v>
      </c>
      <c r="D59" s="77">
        <f>D8+D10+D12+D13+D16+D22+D24+D25</f>
        <v>8358.3393949999991</v>
      </c>
      <c r="E59" s="312"/>
      <c r="F59" s="379">
        <v>224</v>
      </c>
      <c r="G59" s="379">
        <f>G7+G8+G10+G12+G13+G16+G22+G24+G25</f>
        <v>488.87518086860007</v>
      </c>
      <c r="H59" s="322"/>
      <c r="I59" s="379">
        <v>220</v>
      </c>
      <c r="J59" s="386"/>
      <c r="K59" s="1166">
        <f>K7+K8+K10+K12+K13+K16+K22+K24+K25</f>
        <v>573.82352207999998</v>
      </c>
      <c r="L59" s="1166">
        <f>L7+L8+L10+L12+L13+L16+L22+L24+L25</f>
        <v>259.11769002716392</v>
      </c>
      <c r="M59" s="1166">
        <f>M7+M8+M10+M12+M13+M16+M22+M24+M25</f>
        <v>252.36319002716397</v>
      </c>
      <c r="N59" s="950" t="e">
        <f>N8+N10+N12+N13+N16+N22+N24+N25</f>
        <v>#DIV/0!</v>
      </c>
      <c r="O59" s="951">
        <f>L59+M59</f>
        <v>511.48088005432788</v>
      </c>
      <c r="P59" s="950"/>
      <c r="Q59" s="902">
        <f>Q8+Q10+Q12+Q13+Q16+Q22+Q24+Q25</f>
        <v>0</v>
      </c>
    </row>
    <row r="60" spans="1:17" s="347" customFormat="1" ht="31.5" hidden="1" customHeight="1">
      <c r="A60" s="348"/>
      <c r="B60" s="349" t="s">
        <v>7</v>
      </c>
      <c r="C60" s="350"/>
      <c r="D60" s="350"/>
      <c r="E60" s="351"/>
      <c r="F60" s="380"/>
      <c r="G60" s="380"/>
      <c r="H60" s="352"/>
      <c r="I60" s="380"/>
      <c r="J60" s="1149"/>
      <c r="K60" s="1167"/>
      <c r="L60" s="1167"/>
      <c r="M60" s="1203"/>
      <c r="N60" s="394"/>
      <c r="O60" s="403"/>
      <c r="P60" s="1187"/>
      <c r="Q60" s="903"/>
    </row>
    <row r="61" spans="1:17" s="347" customFormat="1" ht="30" customHeight="1">
      <c r="A61" s="167" t="s">
        <v>40</v>
      </c>
      <c r="B61" s="62" t="s">
        <v>57</v>
      </c>
      <c r="C61" s="73"/>
      <c r="D61" s="73">
        <v>519</v>
      </c>
      <c r="E61" s="344"/>
      <c r="F61" s="1014"/>
      <c r="G61" s="1014"/>
      <c r="H61" s="1015"/>
      <c r="I61" s="1014"/>
      <c r="J61" s="1150"/>
      <c r="K61" s="1168"/>
      <c r="L61" s="1168"/>
      <c r="M61" s="1204"/>
      <c r="N61" s="1017"/>
      <c r="O61" s="1016"/>
      <c r="P61" s="1188"/>
      <c r="Q61" s="900"/>
    </row>
    <row r="62" spans="1:17" s="347" customFormat="1" ht="33.75" customHeight="1" thickBot="1">
      <c r="A62" s="169" t="s">
        <v>41</v>
      </c>
      <c r="B62" s="69" t="s">
        <v>58</v>
      </c>
      <c r="C62" s="78"/>
      <c r="D62" s="78"/>
      <c r="E62" s="353"/>
      <c r="F62" s="1018"/>
      <c r="G62" s="1018"/>
      <c r="H62" s="1019"/>
      <c r="I62" s="1018"/>
      <c r="J62" s="1020"/>
      <c r="K62" s="1169"/>
      <c r="L62" s="1169"/>
      <c r="M62" s="1205"/>
      <c r="N62" s="1021"/>
      <c r="O62" s="1206"/>
      <c r="P62" s="1189"/>
      <c r="Q62" s="904"/>
    </row>
    <row r="63" spans="1:17" s="72" customFormat="1" ht="30.75" customHeight="1" thickBot="1">
      <c r="A63" s="70" t="s">
        <v>42</v>
      </c>
      <c r="B63" s="71" t="s">
        <v>54</v>
      </c>
      <c r="C63" s="79">
        <v>6249</v>
      </c>
      <c r="D63" s="79">
        <f>D59+D61</f>
        <v>8877.3393949999991</v>
      </c>
      <c r="E63" s="313"/>
      <c r="F63" s="381">
        <f>F59</f>
        <v>224</v>
      </c>
      <c r="G63" s="381">
        <f>G59</f>
        <v>488.87518086860007</v>
      </c>
      <c r="H63" s="323"/>
      <c r="I63" s="381">
        <f>I59</f>
        <v>220</v>
      </c>
      <c r="J63" s="387"/>
      <c r="K63" s="1170">
        <f>K59</f>
        <v>573.82352207999998</v>
      </c>
      <c r="L63" s="1170">
        <f>L59</f>
        <v>259.11769002716392</v>
      </c>
      <c r="M63" s="1170">
        <f>M59</f>
        <v>252.36319002716397</v>
      </c>
      <c r="N63" s="396" t="e">
        <f>N59+N61</f>
        <v>#DIV/0!</v>
      </c>
      <c r="O63" s="381">
        <f>O59</f>
        <v>511.48088005432788</v>
      </c>
      <c r="P63" s="1190"/>
      <c r="Q63" s="905">
        <f>Q59+Q61-Q62</f>
        <v>0</v>
      </c>
    </row>
    <row r="64" spans="1:17" s="347" customFormat="1" ht="13.5" hidden="1" customHeight="1">
      <c r="A64" s="348"/>
      <c r="B64" s="349" t="s">
        <v>43</v>
      </c>
      <c r="C64" s="350"/>
      <c r="D64" s="350"/>
      <c r="E64" s="351"/>
      <c r="F64" s="380"/>
      <c r="G64" s="380"/>
      <c r="H64" s="352"/>
      <c r="I64" s="380"/>
      <c r="J64" s="1149"/>
      <c r="K64" s="1167"/>
      <c r="L64" s="1167"/>
      <c r="M64" s="1203"/>
      <c r="N64" s="394"/>
      <c r="O64" s="403"/>
      <c r="P64" s="1187"/>
      <c r="Q64" s="903"/>
    </row>
    <row r="65" spans="1:17" s="347" customFormat="1" ht="13.5" hidden="1" customHeight="1">
      <c r="A65" s="167" t="s">
        <v>44</v>
      </c>
      <c r="B65" s="62" t="s">
        <v>45</v>
      </c>
      <c r="C65" s="73"/>
      <c r="D65" s="73"/>
      <c r="E65" s="344"/>
      <c r="F65" s="373"/>
      <c r="G65" s="373"/>
      <c r="H65" s="345"/>
      <c r="I65" s="373"/>
      <c r="J65" s="1146"/>
      <c r="K65" s="1161"/>
      <c r="L65" s="1161"/>
      <c r="M65" s="1199"/>
      <c r="N65" s="395"/>
      <c r="O65" s="404"/>
      <c r="P65" s="1191"/>
      <c r="Q65" s="904"/>
    </row>
    <row r="66" spans="1:17" s="347" customFormat="1" ht="13.5" hidden="1" customHeight="1">
      <c r="A66" s="167" t="s">
        <v>46</v>
      </c>
      <c r="B66" s="62" t="s">
        <v>428</v>
      </c>
      <c r="C66" s="73">
        <v>6249</v>
      </c>
      <c r="D66" s="73">
        <f>D63</f>
        <v>8877.3393949999991</v>
      </c>
      <c r="E66" s="344"/>
      <c r="F66" s="373">
        <f>F63</f>
        <v>224</v>
      </c>
      <c r="G66" s="373">
        <f>G63</f>
        <v>488.87518086860007</v>
      </c>
      <c r="H66" s="354"/>
      <c r="I66" s="373">
        <f>I63</f>
        <v>220</v>
      </c>
      <c r="J66" s="1146"/>
      <c r="K66" s="1161">
        <f>K63</f>
        <v>573.82352207999998</v>
      </c>
      <c r="L66" s="1161">
        <f>L63</f>
        <v>259.11769002716392</v>
      </c>
      <c r="M66" s="1161">
        <f>M63</f>
        <v>252.36319002716397</v>
      </c>
      <c r="N66" s="397" t="e">
        <f>N63</f>
        <v>#DIV/0!</v>
      </c>
      <c r="O66" s="1207">
        <f>O63</f>
        <v>511.48088005432788</v>
      </c>
      <c r="P66" s="1192"/>
      <c r="Q66" s="906">
        <f>Q63</f>
        <v>0</v>
      </c>
    </row>
    <row r="67" spans="1:17" s="347" customFormat="1" ht="13.5" hidden="1" customHeight="1">
      <c r="A67" s="167" t="s">
        <v>48</v>
      </c>
      <c r="B67" s="62" t="s">
        <v>49</v>
      </c>
      <c r="C67" s="73"/>
      <c r="D67" s="73"/>
      <c r="E67" s="344"/>
      <c r="F67" s="373"/>
      <c r="G67" s="373"/>
      <c r="H67" s="345"/>
      <c r="I67" s="373"/>
      <c r="J67" s="1146"/>
      <c r="K67" s="1161"/>
      <c r="L67" s="1161"/>
      <c r="M67" s="1199"/>
      <c r="N67" s="392"/>
      <c r="O67" s="402"/>
      <c r="P67" s="1188"/>
      <c r="Q67" s="900"/>
    </row>
    <row r="68" spans="1:17" s="72" customFormat="1" ht="13.5" hidden="1" customHeight="1">
      <c r="A68" s="170">
        <v>14</v>
      </c>
      <c r="B68" s="101" t="s">
        <v>429</v>
      </c>
      <c r="C68" s="102">
        <v>3720</v>
      </c>
      <c r="D68" s="103">
        <f>'[4]1.2.2'!D20*1000</f>
        <v>4141.9999999999991</v>
      </c>
      <c r="E68" s="314"/>
      <c r="F68" s="382">
        <v>4092</v>
      </c>
      <c r="G68" s="382">
        <f>'1.2.2'!D21*1000</f>
        <v>10675</v>
      </c>
      <c r="H68" s="317"/>
      <c r="I68" s="382">
        <f>'1.2.2'!E21*1000</f>
        <v>11785</v>
      </c>
      <c r="J68" s="1151"/>
      <c r="K68" s="1171">
        <f>'1.2.2'!F21*1000</f>
        <v>8050.0000000000009</v>
      </c>
      <c r="L68" s="1171">
        <f>'1.2.2'!G21*1000</f>
        <v>4461</v>
      </c>
      <c r="M68" s="1171">
        <f>'1.2.2'!H21*1000</f>
        <v>4666</v>
      </c>
      <c r="N68" s="390">
        <f>'1.2.2'!L20*1000</f>
        <v>0</v>
      </c>
      <c r="O68" s="401">
        <f>'1.2.2'!I21*1000</f>
        <v>9126.9999999999982</v>
      </c>
      <c r="P68" s="1185"/>
      <c r="Q68" s="897">
        <f>'1.2.2'!O20*1000</f>
        <v>0</v>
      </c>
    </row>
    <row r="69" spans="1:17" s="72" customFormat="1" ht="13.5" hidden="1" customHeight="1">
      <c r="A69" s="945">
        <v>15</v>
      </c>
      <c r="B69" s="101" t="s">
        <v>419</v>
      </c>
      <c r="C69" s="102"/>
      <c r="D69" s="103"/>
      <c r="E69" s="944"/>
      <c r="F69" s="946">
        <f>F66/F68</f>
        <v>5.4740957966764418E-2</v>
      </c>
      <c r="G69" s="946">
        <f>G66/G68</f>
        <v>4.5796269870594854E-2</v>
      </c>
      <c r="H69" s="317"/>
      <c r="I69" s="946">
        <f>I66/I68</f>
        <v>1.8667798048366567E-2</v>
      </c>
      <c r="J69" s="1151"/>
      <c r="K69" s="1172">
        <f>K66/K68</f>
        <v>7.1282425103105576E-2</v>
      </c>
      <c r="L69" s="1172">
        <f>L66/L68</f>
        <v>5.808511320940684E-2</v>
      </c>
      <c r="M69" s="1172">
        <f>M66/M68</f>
        <v>5.4085552941955418E-2</v>
      </c>
      <c r="N69" s="390"/>
      <c r="O69" s="946">
        <f>O66/O68</f>
        <v>5.6040416353054449E-2</v>
      </c>
      <c r="P69" s="1185"/>
      <c r="Q69" s="897"/>
    </row>
    <row r="70" spans="1:17" s="347" customFormat="1" ht="13.5" hidden="1" customHeight="1">
      <c r="A70" s="355">
        <v>16</v>
      </c>
      <c r="B70" s="62" t="s">
        <v>61</v>
      </c>
      <c r="C70" s="346"/>
      <c r="D70" s="346"/>
      <c r="E70" s="344"/>
      <c r="F70" s="1001">
        <v>1</v>
      </c>
      <c r="G70" s="1001">
        <f>'1.21сбыт'!D28</f>
        <v>3.1250000000000004</v>
      </c>
      <c r="H70" s="997"/>
      <c r="I70" s="1318">
        <v>1.4</v>
      </c>
      <c r="J70" s="1152"/>
      <c r="K70" s="1260">
        <f>('1.21передача и сбыт'!F28)*0.05</f>
        <v>3.75</v>
      </c>
      <c r="L70" s="1260">
        <f>'1.21передача и сбыт'!G28*0.05</f>
        <v>0.81225000000000014</v>
      </c>
      <c r="M70" s="1261">
        <f>'1.21передача и сбыт'!H28*0.05</f>
        <v>0.81225000000000014</v>
      </c>
      <c r="N70" s="1262"/>
      <c r="O70" s="1263">
        <f>'1.21передача и сбыт'!I28*0.05</f>
        <v>1.6235010000000003</v>
      </c>
      <c r="P70" s="1188"/>
      <c r="Q70" s="900"/>
    </row>
    <row r="71" spans="1:17" s="347" customFormat="1" ht="13.5" hidden="1" customHeight="1">
      <c r="A71" s="355">
        <v>17</v>
      </c>
      <c r="B71" s="62" t="s">
        <v>62</v>
      </c>
      <c r="C71" s="346">
        <f>C63+C70</f>
        <v>6249</v>
      </c>
      <c r="D71" s="346">
        <f>D63+D70</f>
        <v>8877.3393949999991</v>
      </c>
      <c r="E71" s="356"/>
      <c r="F71" s="1001">
        <f>F63+F70</f>
        <v>225</v>
      </c>
      <c r="G71" s="373">
        <f>G63+G70</f>
        <v>492.00018086860007</v>
      </c>
      <c r="H71" s="354"/>
      <c r="I71" s="1001">
        <v>226</v>
      </c>
      <c r="J71" s="1146"/>
      <c r="K71" s="1161">
        <f>K63+K70</f>
        <v>577.57352207999998</v>
      </c>
      <c r="L71" s="1161">
        <f>L63+L70</f>
        <v>259.92994002716392</v>
      </c>
      <c r="M71" s="1161">
        <f>M63+M70</f>
        <v>253.17544002716397</v>
      </c>
      <c r="N71" s="398" t="e">
        <f>N63+N70</f>
        <v>#DIV/0!</v>
      </c>
      <c r="O71" s="1209">
        <f>O63+O70</f>
        <v>513.10438105432786</v>
      </c>
      <c r="P71" s="1193"/>
      <c r="Q71" s="907"/>
    </row>
    <row r="72" spans="1:17" s="357" customFormat="1" ht="28.5" hidden="1" customHeight="1">
      <c r="A72" s="947">
        <v>18</v>
      </c>
      <c r="B72" s="880" t="s">
        <v>420</v>
      </c>
      <c r="C72" s="881">
        <f>C71/C68</f>
        <v>1.6798387096774194</v>
      </c>
      <c r="D72" s="881">
        <f>D71/D68</f>
        <v>2.1432494917914053</v>
      </c>
      <c r="E72" s="881"/>
      <c r="F72" s="1002">
        <v>6.0999999999999999E-2</v>
      </c>
      <c r="G72" s="975">
        <f>G71/G68</f>
        <v>4.6089009917433262E-2</v>
      </c>
      <c r="H72" s="998"/>
      <c r="I72" s="1002">
        <v>1.7000000000000001E-2</v>
      </c>
      <c r="J72" s="1153"/>
      <c r="K72" s="1174">
        <f t="shared" ref="K72:Q72" si="1">K71/K68</f>
        <v>7.1748263612422356E-2</v>
      </c>
      <c r="L72" s="1174">
        <f t="shared" si="1"/>
        <v>5.8267191218821769E-2</v>
      </c>
      <c r="M72" s="1174">
        <f t="shared" si="1"/>
        <v>5.425963138173253E-2</v>
      </c>
      <c r="N72" s="1213" t="e">
        <f t="shared" si="1"/>
        <v>#DIV/0!</v>
      </c>
      <c r="O72" s="975">
        <f t="shared" si="1"/>
        <v>5.6218295283699787E-2</v>
      </c>
      <c r="P72" s="1194"/>
      <c r="Q72" s="908" t="e">
        <f t="shared" si="1"/>
        <v>#DIV/0!</v>
      </c>
    </row>
    <row r="73" spans="1:17" s="105" customFormat="1" ht="21" hidden="1" customHeight="1">
      <c r="A73" s="171">
        <v>19</v>
      </c>
      <c r="B73" s="104" t="s">
        <v>353</v>
      </c>
      <c r="C73" s="108">
        <f>C71-C75</f>
        <v>4880</v>
      </c>
      <c r="D73" s="108">
        <f>D71-D75</f>
        <v>7356.3393949999991</v>
      </c>
      <c r="E73" s="315"/>
      <c r="F73" s="371">
        <v>250</v>
      </c>
      <c r="G73" s="976">
        <f>G71-G75</f>
        <v>460.4479808686001</v>
      </c>
      <c r="H73" s="999"/>
      <c r="I73" s="371">
        <v>226</v>
      </c>
      <c r="J73" s="1154"/>
      <c r="K73" s="1175">
        <f t="shared" ref="K73:Q73" si="2">K71-K75</f>
        <v>470.33352207999997</v>
      </c>
      <c r="L73" s="1175">
        <f t="shared" si="2"/>
        <v>247.51828882716393</v>
      </c>
      <c r="M73" s="1175">
        <f t="shared" si="2"/>
        <v>240.76378882716398</v>
      </c>
      <c r="N73" s="1000" t="e">
        <f t="shared" si="2"/>
        <v>#DIV/0!</v>
      </c>
      <c r="O73" s="1210">
        <f t="shared" si="2"/>
        <v>488.28107865432787</v>
      </c>
      <c r="P73" s="1193"/>
      <c r="Q73" s="909">
        <f t="shared" si="2"/>
        <v>0</v>
      </c>
    </row>
    <row r="74" spans="1:17" s="357" customFormat="1" ht="13.5" hidden="1" customHeight="1">
      <c r="A74" s="883">
        <v>20</v>
      </c>
      <c r="B74" s="880" t="s">
        <v>66</v>
      </c>
      <c r="C74" s="881">
        <f>C73/C68</f>
        <v>1.3118279569892473</v>
      </c>
      <c r="D74" s="881">
        <f>D73/D68</f>
        <v>1.7760355854659586</v>
      </c>
      <c r="E74" s="881"/>
      <c r="F74" s="1002">
        <f>F73/F68</f>
        <v>6.109481915933529E-2</v>
      </c>
      <c r="G74" s="882">
        <f>G73/G68</f>
        <v>4.3133300315559731E-2</v>
      </c>
      <c r="H74" s="881"/>
      <c r="I74" s="1002">
        <f>I73/I68</f>
        <v>1.9176919813322018E-2</v>
      </c>
      <c r="J74" s="1155"/>
      <c r="K74" s="1176">
        <f t="shared" ref="K74:Q74" si="3">K73/K68</f>
        <v>5.8426524481987568E-2</v>
      </c>
      <c r="L74" s="1176">
        <f t="shared" si="3"/>
        <v>5.5484933608420516E-2</v>
      </c>
      <c r="M74" s="1176">
        <f t="shared" si="3"/>
        <v>5.1599611836083151E-2</v>
      </c>
      <c r="N74" s="424" t="e">
        <f t="shared" si="3"/>
        <v>#DIV/0!</v>
      </c>
      <c r="O74" s="882">
        <f t="shared" si="3"/>
        <v>5.3498529489901171E-2</v>
      </c>
      <c r="P74" s="1194"/>
      <c r="Q74" s="910" t="e">
        <f t="shared" si="3"/>
        <v>#DIV/0!</v>
      </c>
    </row>
    <row r="75" spans="1:17" s="105" customFormat="1" ht="26.25" hidden="1" customHeight="1">
      <c r="A75" s="172">
        <v>21</v>
      </c>
      <c r="B75" s="106" t="s">
        <v>67</v>
      </c>
      <c r="C75" s="108">
        <v>1369</v>
      </c>
      <c r="D75" s="108">
        <v>1521</v>
      </c>
      <c r="E75" s="315"/>
      <c r="F75" s="371">
        <f>F13</f>
        <v>106</v>
      </c>
      <c r="G75" s="371">
        <f>G13</f>
        <v>31.552199999999999</v>
      </c>
      <c r="H75" s="315"/>
      <c r="I75" s="371">
        <f>I13</f>
        <v>0</v>
      </c>
      <c r="J75" s="1145"/>
      <c r="K75" s="1158">
        <f t="shared" ref="K75:Q75" si="4">K13</f>
        <v>107.24000000000001</v>
      </c>
      <c r="L75" s="1158">
        <f t="shared" si="4"/>
        <v>12.411651200000001</v>
      </c>
      <c r="M75" s="1158">
        <f t="shared" si="4"/>
        <v>12.411651200000001</v>
      </c>
      <c r="N75" s="399">
        <f t="shared" si="4"/>
        <v>0</v>
      </c>
      <c r="O75" s="1211">
        <f t="shared" si="4"/>
        <v>24.823302400000003</v>
      </c>
      <c r="P75" s="1195"/>
      <c r="Q75" s="911">
        <f t="shared" si="4"/>
        <v>0</v>
      </c>
    </row>
    <row r="76" spans="1:17" s="357" customFormat="1" ht="13.5" hidden="1" customHeight="1" thickBot="1">
      <c r="A76" s="884">
        <v>22</v>
      </c>
      <c r="B76" s="885" t="s">
        <v>68</v>
      </c>
      <c r="C76" s="886">
        <v>0.37</v>
      </c>
      <c r="D76" s="886">
        <f>D13/D68</f>
        <v>0.36720344640270408</v>
      </c>
      <c r="E76" s="886"/>
      <c r="F76" s="1004">
        <v>0</v>
      </c>
      <c r="G76" s="888">
        <f>G13/G68</f>
        <v>2.9557096018735362E-3</v>
      </c>
      <c r="H76" s="887"/>
      <c r="I76" s="1004">
        <v>0</v>
      </c>
      <c r="J76" s="1156"/>
      <c r="K76" s="1177">
        <f t="shared" ref="K76:Q76" si="5">K13/K68</f>
        <v>1.3321739130434782E-2</v>
      </c>
      <c r="L76" s="1177">
        <f t="shared" si="5"/>
        <v>2.7822576104012558E-3</v>
      </c>
      <c r="M76" s="1177">
        <f t="shared" si="5"/>
        <v>2.660019545649379E-3</v>
      </c>
      <c r="N76" s="425" t="e">
        <f t="shared" si="5"/>
        <v>#DIV/0!</v>
      </c>
      <c r="O76" s="888">
        <f t="shared" si="5"/>
        <v>2.7197657937986204E-3</v>
      </c>
      <c r="P76" s="1196"/>
      <c r="Q76" s="912" t="e">
        <f t="shared" si="5"/>
        <v>#DIV/0!</v>
      </c>
    </row>
    <row r="77" spans="1:17"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</row>
    <row r="79" spans="1:17" ht="15" customHeight="1">
      <c r="A79" s="110" t="s">
        <v>377</v>
      </c>
      <c r="B79" s="454"/>
      <c r="C79" s="455"/>
      <c r="D79" s="455"/>
      <c r="E79" s="455"/>
      <c r="F79" s="455"/>
      <c r="G79" s="455"/>
      <c r="H79" s="455"/>
      <c r="I79" s="455"/>
      <c r="J79" s="456"/>
      <c r="K79" s="456"/>
      <c r="L79" s="18"/>
      <c r="M79" s="456" t="s">
        <v>436</v>
      </c>
      <c r="N79" s="360"/>
      <c r="O79" s="360"/>
      <c r="P79" s="360"/>
      <c r="Q79" s="360"/>
    </row>
    <row r="80" spans="1:17">
      <c r="A80" s="110" t="s">
        <v>378</v>
      </c>
      <c r="B80" s="110"/>
      <c r="C80" s="453"/>
      <c r="D80" s="453"/>
      <c r="E80" s="453"/>
      <c r="F80" s="453"/>
      <c r="G80" s="453"/>
      <c r="H80" s="453"/>
      <c r="I80" s="453"/>
      <c r="J80" s="453"/>
      <c r="K80" s="453"/>
      <c r="N80" s="361"/>
    </row>
    <row r="81" spans="1:17" ht="17.25" customHeight="1">
      <c r="A81" s="110" t="s">
        <v>379</v>
      </c>
      <c r="B81" s="110"/>
      <c r="C81" s="453"/>
      <c r="D81" s="453"/>
      <c r="E81" s="453"/>
      <c r="F81" s="453"/>
      <c r="G81" s="453"/>
      <c r="H81" s="453"/>
      <c r="I81" s="453"/>
      <c r="J81" s="453"/>
      <c r="K81" s="453"/>
      <c r="Q81" s="362"/>
    </row>
    <row r="84" spans="1:17">
      <c r="N84" s="363"/>
      <c r="O84" s="363"/>
      <c r="P84" s="363"/>
      <c r="Q84" s="363"/>
    </row>
    <row r="85" spans="1:17">
      <c r="N85" s="364"/>
      <c r="O85" s="364"/>
      <c r="P85" s="364"/>
      <c r="Q85" s="364"/>
    </row>
    <row r="86" spans="1:17" ht="15.6">
      <c r="N86" s="365"/>
      <c r="O86" s="366"/>
      <c r="P86" s="366"/>
      <c r="Q86" s="367"/>
    </row>
  </sheetData>
  <mergeCells count="2">
    <mergeCell ref="B1:M1"/>
    <mergeCell ref="A2:Q2"/>
  </mergeCells>
  <phoneticPr fontId="4" type="noConversion"/>
  <pageMargins left="0.98425196850393704" right="0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Y54"/>
  <sheetViews>
    <sheetView topLeftCell="A10" zoomScale="80" workbookViewId="0">
      <selection activeCell="R23" sqref="R23"/>
    </sheetView>
  </sheetViews>
  <sheetFormatPr defaultRowHeight="13.2"/>
  <cols>
    <col min="1" max="1" width="6.109375" customWidth="1"/>
    <col min="2" max="2" width="58.33203125" customWidth="1"/>
    <col min="3" max="3" width="7.109375" style="2" customWidth="1"/>
    <col min="4" max="4" width="9.33203125" style="124" hidden="1" customWidth="1"/>
    <col min="5" max="5" width="9.44140625" style="124" hidden="1" customWidth="1"/>
    <col min="6" max="6" width="10.6640625" style="124" hidden="1" customWidth="1"/>
    <col min="7" max="7" width="10.5546875" style="124" customWidth="1"/>
    <col min="8" max="8" width="10.6640625" style="150" hidden="1" customWidth="1"/>
    <col min="9" max="9" width="11" style="124" customWidth="1"/>
    <col min="10" max="10" width="9.109375" style="124" hidden="1" customWidth="1"/>
    <col min="11" max="11" width="12.33203125" bestFit="1" customWidth="1"/>
    <col min="12" max="12" width="12.33203125" customWidth="1"/>
    <col min="13" max="13" width="12.44140625" customWidth="1"/>
    <col min="14" max="14" width="11.44140625" customWidth="1"/>
    <col min="15" max="17" width="10.44140625" hidden="1" customWidth="1"/>
    <col min="18" max="19" width="10.44140625" customWidth="1"/>
    <col min="20" max="20" width="16.109375" customWidth="1"/>
    <col min="21" max="24" width="10.44140625" hidden="1" customWidth="1"/>
    <col min="25" max="25" width="12.6640625" hidden="1" customWidth="1"/>
  </cols>
  <sheetData>
    <row r="1" spans="1:25" ht="15.6">
      <c r="B1" s="419" t="s">
        <v>359</v>
      </c>
      <c r="C1" s="92"/>
      <c r="D1" s="11"/>
      <c r="E1" s="11"/>
      <c r="F1" s="11"/>
      <c r="G1" s="11"/>
      <c r="H1" s="11"/>
      <c r="I1" s="11"/>
      <c r="J1" s="11"/>
      <c r="K1" s="13"/>
      <c r="L1" s="13"/>
      <c r="M1" s="13"/>
      <c r="N1" s="13"/>
      <c r="O1" s="13"/>
      <c r="P1" s="13"/>
      <c r="R1" s="13"/>
      <c r="S1" s="13"/>
      <c r="T1" s="13" t="s">
        <v>76</v>
      </c>
      <c r="U1" s="13"/>
      <c r="V1" s="13"/>
      <c r="W1" s="13"/>
      <c r="X1" s="13"/>
      <c r="Y1" s="13"/>
    </row>
    <row r="2" spans="1:25" hidden="1">
      <c r="A2" s="3"/>
    </row>
    <row r="3" spans="1:25" hidden="1">
      <c r="A3" s="3"/>
    </row>
    <row r="4" spans="1:25" ht="12.75" customHeight="1">
      <c r="A4" s="1759" t="s">
        <v>317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</row>
    <row r="5" spans="1:25" ht="12.75" customHeight="1">
      <c r="A5" s="1759"/>
      <c r="B5" s="1759"/>
      <c r="C5" s="1759"/>
      <c r="D5" s="1759"/>
      <c r="E5" s="1759"/>
      <c r="F5" s="1759"/>
      <c r="G5" s="1759"/>
      <c r="H5" s="1759"/>
      <c r="I5" s="1759"/>
      <c r="J5" s="1759"/>
      <c r="K5" s="1759"/>
      <c r="L5" s="1759"/>
      <c r="M5" s="1759"/>
      <c r="N5" s="1759"/>
      <c r="O5" s="1759"/>
      <c r="P5" s="1759"/>
      <c r="Q5" s="1759"/>
      <c r="R5" s="1759"/>
      <c r="S5" s="1759"/>
      <c r="T5" s="1759"/>
      <c r="U5" s="1759"/>
      <c r="V5" s="1759"/>
      <c r="W5" s="1759"/>
      <c r="X5" s="1759"/>
      <c r="Y5" s="1759"/>
    </row>
    <row r="6" spans="1:25" ht="15.75" customHeight="1">
      <c r="A6" s="1760" t="s">
        <v>443</v>
      </c>
      <c r="B6" s="1760"/>
      <c r="C6" s="1760"/>
      <c r="D6" s="1760"/>
      <c r="E6" s="1760"/>
      <c r="F6" s="1760"/>
      <c r="G6" s="1760"/>
      <c r="H6" s="1760"/>
      <c r="I6" s="1760"/>
      <c r="J6" s="1760"/>
      <c r="K6" s="1760"/>
      <c r="L6" s="1760"/>
      <c r="M6" s="1760"/>
      <c r="N6" s="1760"/>
      <c r="O6" s="1760"/>
      <c r="P6" s="1760"/>
      <c r="Q6" s="1760"/>
      <c r="R6" s="1760"/>
      <c r="S6" s="1760"/>
      <c r="T6" s="1760"/>
      <c r="U6" s="1760"/>
      <c r="V6" s="1760"/>
      <c r="W6" s="1760"/>
      <c r="X6" s="1760"/>
      <c r="Y6" s="1760"/>
    </row>
    <row r="7" spans="1:25" ht="12" customHeight="1">
      <c r="A7" s="113"/>
      <c r="B7" s="113"/>
      <c r="C7" s="91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57"/>
      <c r="S7" s="113"/>
      <c r="T7" s="113"/>
      <c r="U7" s="157"/>
      <c r="V7" s="113"/>
      <c r="W7" s="113"/>
      <c r="X7" s="113"/>
      <c r="Y7" s="113"/>
    </row>
    <row r="8" spans="1:25" ht="12" customHeight="1" thickBot="1">
      <c r="A8" s="1"/>
      <c r="C8" s="125"/>
      <c r="D8" s="4"/>
      <c r="E8" s="4"/>
      <c r="F8" s="4"/>
      <c r="G8" s="4"/>
      <c r="H8" s="151"/>
      <c r="I8" s="4"/>
      <c r="J8" s="4"/>
    </row>
    <row r="9" spans="1:25" ht="63.75" customHeight="1" thickBot="1">
      <c r="A9" s="727" t="s">
        <v>77</v>
      </c>
      <c r="B9" s="727" t="s">
        <v>78</v>
      </c>
      <c r="C9" s="728" t="s">
        <v>79</v>
      </c>
      <c r="D9" s="729" t="s">
        <v>80</v>
      </c>
      <c r="E9" s="148" t="s">
        <v>81</v>
      </c>
      <c r="F9" s="148" t="s">
        <v>82</v>
      </c>
      <c r="G9" s="1005" t="s">
        <v>466</v>
      </c>
      <c r="H9" s="149" t="s">
        <v>83</v>
      </c>
      <c r="I9" s="1290" t="s">
        <v>450</v>
      </c>
      <c r="J9" s="731" t="s">
        <v>354</v>
      </c>
      <c r="K9" s="1005" t="s">
        <v>468</v>
      </c>
      <c r="L9" s="732" t="s">
        <v>460</v>
      </c>
      <c r="M9" s="733" t="s">
        <v>453</v>
      </c>
      <c r="N9" s="733" t="s">
        <v>454</v>
      </c>
      <c r="O9" s="731" t="s">
        <v>394</v>
      </c>
      <c r="P9" s="149" t="s">
        <v>395</v>
      </c>
      <c r="Q9" s="149" t="s">
        <v>396</v>
      </c>
      <c r="R9" s="733" t="s">
        <v>455</v>
      </c>
      <c r="S9" s="734" t="s">
        <v>448</v>
      </c>
      <c r="T9" s="298"/>
      <c r="U9" s="243" t="s">
        <v>356</v>
      </c>
      <c r="V9" s="250" t="s">
        <v>357</v>
      </c>
      <c r="W9" s="269" t="s">
        <v>356</v>
      </c>
      <c r="X9" s="257" t="s">
        <v>357</v>
      </c>
      <c r="Y9" s="279" t="s">
        <v>355</v>
      </c>
    </row>
    <row r="10" spans="1:25" s="114" customFormat="1" ht="16.5" customHeight="1" thickBot="1">
      <c r="A10" s="735">
        <v>1</v>
      </c>
      <c r="B10" s="736">
        <v>2</v>
      </c>
      <c r="C10" s="737">
        <v>3</v>
      </c>
      <c r="D10" s="738">
        <v>4</v>
      </c>
      <c r="E10" s="739">
        <v>5</v>
      </c>
      <c r="F10" s="739">
        <v>4</v>
      </c>
      <c r="G10" s="740">
        <v>4</v>
      </c>
      <c r="H10" s="739">
        <v>6</v>
      </c>
      <c r="I10" s="741">
        <v>5</v>
      </c>
      <c r="J10" s="742">
        <v>5</v>
      </c>
      <c r="K10" s="741">
        <v>6</v>
      </c>
      <c r="L10" s="737">
        <v>7</v>
      </c>
      <c r="M10" s="737">
        <v>8</v>
      </c>
      <c r="N10" s="737">
        <v>9</v>
      </c>
      <c r="O10" s="742">
        <v>5</v>
      </c>
      <c r="P10" s="740">
        <v>5</v>
      </c>
      <c r="Q10" s="740">
        <v>5</v>
      </c>
      <c r="R10" s="936">
        <v>10</v>
      </c>
      <c r="S10" s="743">
        <v>11</v>
      </c>
      <c r="T10" s="744">
        <v>12</v>
      </c>
      <c r="U10" s="244">
        <f>T10+1</f>
        <v>13</v>
      </c>
      <c r="V10" s="251">
        <f>U10+1</f>
        <v>14</v>
      </c>
      <c r="W10" s="283">
        <v>14</v>
      </c>
      <c r="X10" s="258">
        <v>15</v>
      </c>
      <c r="Y10" s="280">
        <v>16</v>
      </c>
    </row>
    <row r="11" spans="1:25" s="114" customFormat="1" ht="16.5" customHeight="1" thickBot="1">
      <c r="A11" s="745"/>
      <c r="B11" s="746" t="s">
        <v>397</v>
      </c>
      <c r="C11" s="747"/>
      <c r="D11" s="748"/>
      <c r="E11" s="749"/>
      <c r="F11" s="749"/>
      <c r="G11" s="749"/>
      <c r="H11" s="749"/>
      <c r="I11" s="750"/>
      <c r="J11" s="751"/>
      <c r="K11" s="752"/>
      <c r="L11" s="753"/>
      <c r="M11" s="753"/>
      <c r="N11" s="753"/>
      <c r="O11" s="751"/>
      <c r="P11" s="754"/>
      <c r="Q11" s="754"/>
      <c r="R11" s="937"/>
      <c r="S11" s="755"/>
      <c r="T11" s="756"/>
      <c r="U11" s="244"/>
      <c r="V11" s="251"/>
      <c r="W11" s="283"/>
      <c r="X11" s="258"/>
      <c r="Y11" s="280"/>
    </row>
    <row r="12" spans="1:25" s="12" customFormat="1">
      <c r="A12" s="757" t="s">
        <v>3</v>
      </c>
      <c r="B12" s="757" t="s">
        <v>398</v>
      </c>
      <c r="C12" s="758"/>
      <c r="D12" s="759">
        <v>10</v>
      </c>
      <c r="E12" s="115">
        <v>12</v>
      </c>
      <c r="F12" s="126"/>
      <c r="G12" s="1253">
        <v>0.2</v>
      </c>
      <c r="H12" s="760"/>
      <c r="I12" s="761">
        <v>0.2</v>
      </c>
      <c r="J12" s="762"/>
      <c r="K12" s="1253">
        <v>0.2</v>
      </c>
      <c r="L12" s="1254">
        <f>L13</f>
        <v>0.15</v>
      </c>
      <c r="M12" s="1254">
        <f>M13</f>
        <v>0.15</v>
      </c>
      <c r="N12" s="1254">
        <f>M12</f>
        <v>0.15</v>
      </c>
      <c r="O12" s="765"/>
      <c r="P12" s="136"/>
      <c r="Q12" s="136"/>
      <c r="R12" s="1254">
        <f>N12</f>
        <v>0.15</v>
      </c>
      <c r="S12" s="153"/>
      <c r="T12" s="299"/>
      <c r="U12" s="245">
        <v>11</v>
      </c>
      <c r="V12" s="252">
        <v>11</v>
      </c>
      <c r="W12" s="284">
        <v>11</v>
      </c>
      <c r="X12" s="259">
        <v>11</v>
      </c>
      <c r="Y12" s="281">
        <v>11</v>
      </c>
    </row>
    <row r="13" spans="1:25" s="12" customFormat="1">
      <c r="A13" s="757"/>
      <c r="B13" s="757" t="s">
        <v>399</v>
      </c>
      <c r="C13" s="758" t="s">
        <v>84</v>
      </c>
      <c r="D13" s="759">
        <v>6</v>
      </c>
      <c r="E13" s="115">
        <v>7</v>
      </c>
      <c r="F13" s="126"/>
      <c r="G13" s="1255">
        <v>0.2</v>
      </c>
      <c r="H13" s="126"/>
      <c r="I13" s="766">
        <v>0.2</v>
      </c>
      <c r="J13" s="767"/>
      <c r="K13" s="1255">
        <v>0.2</v>
      </c>
      <c r="L13" s="1256">
        <v>0.15</v>
      </c>
      <c r="M13" s="1681">
        <v>0.15</v>
      </c>
      <c r="N13" s="1256">
        <f>M13</f>
        <v>0.15</v>
      </c>
      <c r="O13" s="765"/>
      <c r="P13" s="136"/>
      <c r="Q13" s="136"/>
      <c r="R13" s="1256">
        <f>N13</f>
        <v>0.15</v>
      </c>
      <c r="S13" s="142"/>
      <c r="T13" s="299"/>
      <c r="U13" s="246">
        <f>$H$13</f>
        <v>0</v>
      </c>
      <c r="V13" s="253">
        <f>$H$13</f>
        <v>0</v>
      </c>
      <c r="W13" s="285">
        <v>5</v>
      </c>
      <c r="X13" s="261">
        <v>5</v>
      </c>
      <c r="Y13" s="270">
        <f>$H$13</f>
        <v>0</v>
      </c>
    </row>
    <row r="14" spans="1:25" s="12" customFormat="1" ht="25.5" customHeight="1">
      <c r="A14" s="770">
        <v>2</v>
      </c>
      <c r="B14" s="757" t="s">
        <v>85</v>
      </c>
      <c r="C14" s="758" t="s">
        <v>86</v>
      </c>
      <c r="D14" s="759">
        <v>5867</v>
      </c>
      <c r="E14" s="115">
        <v>6270</v>
      </c>
      <c r="F14" s="126"/>
      <c r="G14" s="768">
        <v>572.89</v>
      </c>
      <c r="H14" s="126"/>
      <c r="I14" s="771">
        <f>(658852.87+124025)/0.2/12*0.05</f>
        <v>16309.955625000001</v>
      </c>
      <c r="J14" s="767"/>
      <c r="K14" s="768">
        <v>11962</v>
      </c>
      <c r="L14" s="768">
        <f>(137645+38115)/3/3</f>
        <v>19528.888888888887</v>
      </c>
      <c r="M14" s="769">
        <f>K14*1.058</f>
        <v>12655.796</v>
      </c>
      <c r="N14" s="769">
        <f>M14</f>
        <v>12655.796</v>
      </c>
      <c r="O14" s="765"/>
      <c r="P14" s="136"/>
      <c r="Q14" s="136"/>
      <c r="R14" s="938">
        <f>K14*1.058</f>
        <v>12655.796</v>
      </c>
      <c r="S14" s="142"/>
      <c r="T14" s="299"/>
      <c r="U14" s="246">
        <f>K14</f>
        <v>11962</v>
      </c>
      <c r="V14" s="253">
        <f>K14*1.051</f>
        <v>12572.062</v>
      </c>
      <c r="W14" s="285">
        <f>H14</f>
        <v>0</v>
      </c>
      <c r="X14" s="261">
        <f>H14</f>
        <v>0</v>
      </c>
      <c r="Y14" s="270">
        <f>H14</f>
        <v>0</v>
      </c>
    </row>
    <row r="15" spans="1:25" s="12" customFormat="1" ht="39.6" customHeight="1">
      <c r="A15" s="757" t="s">
        <v>189</v>
      </c>
      <c r="B15" s="757" t="s">
        <v>400</v>
      </c>
      <c r="C15" s="758"/>
      <c r="D15" s="759"/>
      <c r="E15" s="115"/>
      <c r="F15" s="126"/>
      <c r="G15" s="771">
        <f>G17+G18+G19</f>
        <v>0</v>
      </c>
      <c r="H15" s="126"/>
      <c r="I15" s="771"/>
      <c r="J15" s="767"/>
      <c r="K15" s="771">
        <f>K17+K18+K19</f>
        <v>0</v>
      </c>
      <c r="L15" s="773"/>
      <c r="M15" s="773">
        <f>M17+M18+M19</f>
        <v>0</v>
      </c>
      <c r="N15" s="773">
        <f>N17+N18+N19</f>
        <v>0</v>
      </c>
      <c r="O15" s="765"/>
      <c r="P15" s="136"/>
      <c r="Q15" s="136"/>
      <c r="R15" s="938"/>
      <c r="S15" s="142"/>
      <c r="T15" s="299"/>
      <c r="U15" s="246"/>
      <c r="V15" s="253"/>
      <c r="W15" s="285"/>
      <c r="X15" s="261"/>
      <c r="Y15" s="270"/>
    </row>
    <row r="16" spans="1:25" s="12" customFormat="1">
      <c r="A16" s="757" t="s">
        <v>401</v>
      </c>
      <c r="B16" s="757" t="s">
        <v>402</v>
      </c>
      <c r="C16" s="758" t="s">
        <v>88</v>
      </c>
      <c r="D16" s="759">
        <v>4</v>
      </c>
      <c r="E16" s="115">
        <v>4</v>
      </c>
      <c r="F16" s="126"/>
      <c r="G16" s="774"/>
      <c r="H16" s="126"/>
      <c r="I16" s="771"/>
      <c r="J16" s="767"/>
      <c r="K16" s="774"/>
      <c r="L16" s="772"/>
      <c r="M16" s="772"/>
      <c r="N16" s="772"/>
      <c r="O16" s="765"/>
      <c r="P16" s="136"/>
      <c r="Q16" s="136"/>
      <c r="R16" s="938"/>
      <c r="S16" s="142"/>
      <c r="T16" s="299"/>
      <c r="U16" s="246">
        <f>K16</f>
        <v>0</v>
      </c>
      <c r="V16" s="253">
        <f>U16</f>
        <v>0</v>
      </c>
      <c r="W16" s="272">
        <f>S16</f>
        <v>0</v>
      </c>
      <c r="X16" s="261">
        <f>T16</f>
        <v>0</v>
      </c>
      <c r="Y16" s="270">
        <f>U16</f>
        <v>0</v>
      </c>
    </row>
    <row r="17" spans="1:25" s="12" customFormat="1" ht="18" customHeight="1">
      <c r="A17" s="757" t="s">
        <v>403</v>
      </c>
      <c r="B17" s="757" t="s">
        <v>404</v>
      </c>
      <c r="C17" s="758" t="s">
        <v>89</v>
      </c>
      <c r="D17" s="759">
        <v>235</v>
      </c>
      <c r="E17" s="115">
        <f>E14*4%</f>
        <v>250.8</v>
      </c>
      <c r="F17" s="115"/>
      <c r="G17" s="774"/>
      <c r="H17" s="115"/>
      <c r="I17" s="775"/>
      <c r="J17" s="765"/>
      <c r="K17" s="774"/>
      <c r="L17" s="772"/>
      <c r="M17" s="772"/>
      <c r="N17" s="772"/>
      <c r="O17" s="765"/>
      <c r="P17" s="136"/>
      <c r="Q17" s="136"/>
      <c r="R17" s="938"/>
      <c r="S17" s="142"/>
      <c r="T17" s="299"/>
      <c r="U17" s="246">
        <f>U14*U16%</f>
        <v>0</v>
      </c>
      <c r="V17" s="253">
        <f>V14*V16%</f>
        <v>0</v>
      </c>
      <c r="W17" s="272">
        <f>W14*W16%</f>
        <v>0</v>
      </c>
      <c r="X17" s="261">
        <f>X14*X16%</f>
        <v>0</v>
      </c>
      <c r="Y17" s="270">
        <f>Y14*Y16%</f>
        <v>0</v>
      </c>
    </row>
    <row r="18" spans="1:25" s="12" customFormat="1" ht="18" customHeight="1">
      <c r="A18" s="757" t="s">
        <v>405</v>
      </c>
      <c r="B18" s="757" t="s">
        <v>406</v>
      </c>
      <c r="C18" s="758" t="s">
        <v>89</v>
      </c>
      <c r="D18" s="759"/>
      <c r="E18" s="115"/>
      <c r="F18" s="115"/>
      <c r="G18" s="774"/>
      <c r="H18" s="115"/>
      <c r="I18" s="775"/>
      <c r="J18" s="765"/>
      <c r="K18" s="774"/>
      <c r="L18" s="772"/>
      <c r="M18" s="772"/>
      <c r="N18" s="772"/>
      <c r="O18" s="765"/>
      <c r="P18" s="136"/>
      <c r="Q18" s="136"/>
      <c r="R18" s="938"/>
      <c r="S18" s="142"/>
      <c r="T18" s="299"/>
      <c r="U18" s="246"/>
      <c r="V18" s="253"/>
      <c r="W18" s="272"/>
      <c r="X18" s="261"/>
      <c r="Y18" s="270"/>
    </row>
    <row r="19" spans="1:25" s="12" customFormat="1" ht="18" customHeight="1">
      <c r="A19" s="757" t="s">
        <v>407</v>
      </c>
      <c r="B19" s="757" t="s">
        <v>408</v>
      </c>
      <c r="C19" s="758" t="s">
        <v>89</v>
      </c>
      <c r="D19" s="759"/>
      <c r="E19" s="115"/>
      <c r="F19" s="115"/>
      <c r="G19" s="774"/>
      <c r="H19" s="115"/>
      <c r="I19" s="775"/>
      <c r="J19" s="765"/>
      <c r="K19" s="774"/>
      <c r="L19" s="772"/>
      <c r="M19" s="772"/>
      <c r="N19" s="772"/>
      <c r="O19" s="765"/>
      <c r="P19" s="136"/>
      <c r="Q19" s="136"/>
      <c r="R19" s="938"/>
      <c r="S19" s="142"/>
      <c r="T19" s="299"/>
      <c r="U19" s="246"/>
      <c r="V19" s="253"/>
      <c r="W19" s="272"/>
      <c r="X19" s="261"/>
      <c r="Y19" s="270"/>
    </row>
    <row r="20" spans="1:25" s="12" customFormat="1">
      <c r="A20" s="757" t="s">
        <v>181</v>
      </c>
      <c r="B20" s="757" t="s">
        <v>90</v>
      </c>
      <c r="C20" s="758" t="s">
        <v>89</v>
      </c>
      <c r="D20" s="759"/>
      <c r="E20" s="115"/>
      <c r="F20" s="126"/>
      <c r="G20" s="1012">
        <v>346.31</v>
      </c>
      <c r="H20" s="126"/>
      <c r="I20" s="776">
        <f>I22+I23</f>
        <v>3010.8333333333335</v>
      </c>
      <c r="J20" s="767"/>
      <c r="K20" s="1012">
        <v>3708</v>
      </c>
      <c r="L20" s="777">
        <f>L22+L23</f>
        <v>6741.1111111111104</v>
      </c>
      <c r="M20" s="777">
        <f>M14*0.31</f>
        <v>3923.2967600000002</v>
      </c>
      <c r="N20" s="777">
        <f>N14*0.31</f>
        <v>3923.2967600000002</v>
      </c>
      <c r="O20" s="765"/>
      <c r="P20" s="136"/>
      <c r="Q20" s="136"/>
      <c r="R20" s="938">
        <f>R14*0.31</f>
        <v>3923.2967600000002</v>
      </c>
      <c r="S20" s="142"/>
      <c r="T20" s="299"/>
      <c r="U20" s="246"/>
      <c r="V20" s="253"/>
      <c r="W20" s="272"/>
      <c r="X20" s="261"/>
      <c r="Y20" s="270"/>
    </row>
    <row r="21" spans="1:25" s="12" customFormat="1">
      <c r="A21" s="757"/>
      <c r="B21" s="757" t="s">
        <v>87</v>
      </c>
      <c r="C21" s="758" t="s">
        <v>88</v>
      </c>
      <c r="D21" s="759">
        <v>40</v>
      </c>
      <c r="E21" s="115">
        <v>40</v>
      </c>
      <c r="F21" s="115"/>
      <c r="G21" s="1680">
        <v>1.55</v>
      </c>
      <c r="H21" s="115"/>
      <c r="I21" s="1007">
        <v>39</v>
      </c>
      <c r="J21" s="765"/>
      <c r="K21" s="774">
        <v>31</v>
      </c>
      <c r="L21" s="1013">
        <v>33.5</v>
      </c>
      <c r="M21" s="775">
        <v>31</v>
      </c>
      <c r="N21" s="775">
        <v>31</v>
      </c>
      <c r="O21" s="765"/>
      <c r="P21" s="136"/>
      <c r="Q21" s="136"/>
      <c r="R21" s="775">
        <v>31</v>
      </c>
      <c r="S21" s="142"/>
      <c r="T21" s="299"/>
      <c r="U21" s="246">
        <f>K21</f>
        <v>31</v>
      </c>
      <c r="V21" s="253">
        <f>U21</f>
        <v>31</v>
      </c>
      <c r="W21" s="272">
        <f>S21</f>
        <v>0</v>
      </c>
      <c r="X21" s="261">
        <f>T21</f>
        <v>0</v>
      </c>
      <c r="Y21" s="270">
        <f>U21</f>
        <v>31</v>
      </c>
    </row>
    <row r="22" spans="1:25" s="12" customFormat="1" ht="16.5" customHeight="1">
      <c r="A22" s="757" t="s">
        <v>401</v>
      </c>
      <c r="B22" s="757" t="s">
        <v>409</v>
      </c>
      <c r="C22" s="758" t="s">
        <v>89</v>
      </c>
      <c r="D22" s="759">
        <v>2347</v>
      </c>
      <c r="E22" s="115">
        <f>E14*40%</f>
        <v>2508</v>
      </c>
      <c r="F22" s="115"/>
      <c r="G22" s="768"/>
      <c r="H22" s="115"/>
      <c r="I22" s="775">
        <f>(112790+21325+3000+7405)/0.2/12*0.05</f>
        <v>3010.8333333333335</v>
      </c>
      <c r="J22" s="765"/>
      <c r="K22" s="768"/>
      <c r="L22" s="768">
        <f>(60670)/3/3</f>
        <v>6741.1111111111104</v>
      </c>
      <c r="M22" s="769"/>
      <c r="N22" s="772"/>
      <c r="O22" s="765"/>
      <c r="P22" s="136"/>
      <c r="Q22" s="136"/>
      <c r="R22" s="938"/>
      <c r="S22" s="142"/>
      <c r="T22" s="299"/>
      <c r="U22" s="246">
        <f>U14*U21%</f>
        <v>3708.22</v>
      </c>
      <c r="V22" s="253">
        <f>V14*V21%</f>
        <v>3897.3392199999998</v>
      </c>
      <c r="W22" s="272">
        <f>W14*W21%</f>
        <v>0</v>
      </c>
      <c r="X22" s="261">
        <f>X14*X21%</f>
        <v>0</v>
      </c>
      <c r="Y22" s="270">
        <f>Y14*Y21%</f>
        <v>0</v>
      </c>
    </row>
    <row r="23" spans="1:25" s="12" customFormat="1" ht="16.5" customHeight="1">
      <c r="A23" s="757" t="s">
        <v>403</v>
      </c>
      <c r="B23" s="757" t="s">
        <v>410</v>
      </c>
      <c r="C23" s="758" t="s">
        <v>89</v>
      </c>
      <c r="D23" s="759"/>
      <c r="E23" s="115"/>
      <c r="F23" s="115"/>
      <c r="G23" s="768"/>
      <c r="H23" s="115"/>
      <c r="I23" s="775"/>
      <c r="J23" s="765"/>
      <c r="K23" s="768"/>
      <c r="L23" s="769"/>
      <c r="M23" s="769"/>
      <c r="N23" s="772"/>
      <c r="O23" s="765"/>
      <c r="P23" s="136"/>
      <c r="Q23" s="136"/>
      <c r="R23" s="938"/>
      <c r="S23" s="142"/>
      <c r="T23" s="299"/>
      <c r="U23" s="246"/>
      <c r="V23" s="253"/>
      <c r="W23" s="272"/>
      <c r="X23" s="261"/>
      <c r="Y23" s="270"/>
    </row>
    <row r="24" spans="1:25" s="12" customFormat="1" ht="16.5" customHeight="1">
      <c r="A24" s="757" t="s">
        <v>182</v>
      </c>
      <c r="B24" s="757" t="s">
        <v>411</v>
      </c>
      <c r="C24" s="758"/>
      <c r="D24" s="759"/>
      <c r="E24" s="115"/>
      <c r="F24" s="115"/>
      <c r="G24" s="774"/>
      <c r="H24" s="115"/>
      <c r="I24" s="775"/>
      <c r="J24" s="765"/>
      <c r="K24" s="774"/>
      <c r="L24" s="772"/>
      <c r="M24" s="772"/>
      <c r="N24" s="772"/>
      <c r="O24" s="765"/>
      <c r="P24" s="136"/>
      <c r="Q24" s="136"/>
      <c r="R24" s="938"/>
      <c r="S24" s="142"/>
      <c r="T24" s="299"/>
      <c r="U24" s="246"/>
      <c r="V24" s="253"/>
      <c r="W24" s="272"/>
      <c r="X24" s="261"/>
      <c r="Y24" s="270"/>
    </row>
    <row r="25" spans="1:25" s="12" customFormat="1" ht="32.25" customHeight="1">
      <c r="A25" s="757" t="s">
        <v>412</v>
      </c>
      <c r="B25" s="757" t="s">
        <v>92</v>
      </c>
      <c r="C25" s="758"/>
      <c r="D25" s="759"/>
      <c r="E25" s="115"/>
      <c r="F25" s="126"/>
      <c r="G25" s="774"/>
      <c r="H25" s="126"/>
      <c r="I25" s="779"/>
      <c r="J25" s="767"/>
      <c r="K25" s="774"/>
      <c r="L25" s="772"/>
      <c r="M25" s="772"/>
      <c r="N25" s="772"/>
      <c r="O25" s="765"/>
      <c r="P25" s="136"/>
      <c r="Q25" s="136"/>
      <c r="R25" s="938"/>
      <c r="S25" s="142"/>
      <c r="T25" s="299"/>
      <c r="U25" s="246"/>
      <c r="V25" s="253"/>
      <c r="W25" s="272"/>
      <c r="X25" s="261"/>
      <c r="Y25" s="270"/>
    </row>
    <row r="26" spans="1:25" s="12" customFormat="1" ht="19.5" customHeight="1">
      <c r="A26" s="757"/>
      <c r="B26" s="757" t="s">
        <v>87</v>
      </c>
      <c r="C26" s="758" t="s">
        <v>88</v>
      </c>
      <c r="D26" s="759">
        <v>160</v>
      </c>
      <c r="E26" s="115">
        <v>160</v>
      </c>
      <c r="F26" s="115"/>
      <c r="G26" s="778">
        <v>8</v>
      </c>
      <c r="H26" s="115"/>
      <c r="I26" s="778">
        <v>160</v>
      </c>
      <c r="J26" s="765"/>
      <c r="K26" s="778">
        <v>160</v>
      </c>
      <c r="L26" s="772">
        <v>160</v>
      </c>
      <c r="M26" s="772">
        <v>160</v>
      </c>
      <c r="N26" s="772">
        <v>160</v>
      </c>
      <c r="O26" s="765"/>
      <c r="P26" s="136"/>
      <c r="Q26" s="136"/>
      <c r="R26" s="772">
        <v>160</v>
      </c>
      <c r="S26" s="142"/>
      <c r="T26" s="299"/>
      <c r="U26" s="246">
        <f>K26</f>
        <v>160</v>
      </c>
      <c r="V26" s="253">
        <f>U26</f>
        <v>160</v>
      </c>
      <c r="W26" s="272">
        <f>S26</f>
        <v>0</v>
      </c>
      <c r="X26" s="261">
        <f>T26</f>
        <v>0</v>
      </c>
      <c r="Y26" s="270">
        <f>U26</f>
        <v>160</v>
      </c>
    </row>
    <row r="27" spans="1:25" s="12" customFormat="1">
      <c r="A27" s="757"/>
      <c r="B27" s="757" t="s">
        <v>91</v>
      </c>
      <c r="C27" s="758" t="s">
        <v>89</v>
      </c>
      <c r="D27" s="759">
        <v>13518</v>
      </c>
      <c r="E27" s="115">
        <f>(E14+E17+E22)*1.6</f>
        <v>14446.08</v>
      </c>
      <c r="F27" s="115"/>
      <c r="G27" s="778">
        <v>2598</v>
      </c>
      <c r="H27" s="115"/>
      <c r="I27" s="930">
        <f>(I14+I15+I20+I24)*1.6</f>
        <v>30913.262333333336</v>
      </c>
      <c r="J27" s="765"/>
      <c r="K27" s="778">
        <v>25073</v>
      </c>
      <c r="L27" s="778">
        <f>(L14+L15+L20+L24)*1.6</f>
        <v>42032</v>
      </c>
      <c r="M27" s="772">
        <f>(M14+M15+M20+M24)*1.6</f>
        <v>26526.548416000001</v>
      </c>
      <c r="N27" s="772">
        <f>(N14+N15+N20+N24)*1.6</f>
        <v>26526.548416000001</v>
      </c>
      <c r="O27" s="765"/>
      <c r="P27" s="136"/>
      <c r="Q27" s="136"/>
      <c r="R27" s="772">
        <f>(R14+R15+R20+R24)*1.6</f>
        <v>26526.548416000001</v>
      </c>
      <c r="S27" s="142"/>
      <c r="T27" s="299"/>
      <c r="U27" s="246">
        <f>(U14+U17+U22)*U26%</f>
        <v>25072.351999999999</v>
      </c>
      <c r="V27" s="253">
        <f>(V14+V17+V22)*V26%</f>
        <v>26351.041952</v>
      </c>
      <c r="W27" s="272">
        <f>(W14+W17+W22)*W26%</f>
        <v>0</v>
      </c>
      <c r="X27" s="261">
        <f>(X14+X17+X22)*X26%</f>
        <v>0</v>
      </c>
      <c r="Y27" s="270">
        <f>(Y14+Y17+Y22)*Y26%</f>
        <v>0</v>
      </c>
    </row>
    <row r="28" spans="1:25" s="12" customFormat="1" ht="13.8" thickBot="1">
      <c r="A28" s="780"/>
      <c r="B28" s="746" t="s">
        <v>93</v>
      </c>
      <c r="C28" s="781" t="s">
        <v>89</v>
      </c>
      <c r="D28" s="782">
        <v>21967</v>
      </c>
      <c r="E28" s="116">
        <f>E14+E17+E22+E27</f>
        <v>23474.879999999997</v>
      </c>
      <c r="F28" s="116"/>
      <c r="G28" s="784">
        <v>3517</v>
      </c>
      <c r="H28" s="783"/>
      <c r="I28" s="784">
        <f>I14+I15+I20+I24+I27</f>
        <v>50234.05129166667</v>
      </c>
      <c r="J28" s="785"/>
      <c r="K28" s="784">
        <v>40743</v>
      </c>
      <c r="L28" s="784">
        <f>L14+L15+L20+L24+L27</f>
        <v>68302</v>
      </c>
      <c r="M28" s="786">
        <f>M14+M15+M20+M24+M27</f>
        <v>43105.641176000005</v>
      </c>
      <c r="N28" s="786">
        <f>N14+N15+N20+N24+N27</f>
        <v>43105.641176000005</v>
      </c>
      <c r="O28" s="785"/>
      <c r="P28" s="137"/>
      <c r="Q28" s="137"/>
      <c r="R28" s="786">
        <f>R14+R15+R20+R24+R27</f>
        <v>43105.641176000005</v>
      </c>
      <c r="S28" s="145"/>
      <c r="T28" s="300"/>
      <c r="U28" s="247">
        <f>U14+U17+U22+U27</f>
        <v>40742.572</v>
      </c>
      <c r="V28" s="254">
        <f>V14+V17+V22+V27</f>
        <v>42820.443171999999</v>
      </c>
      <c r="W28" s="274">
        <f>W14+W17+W22+W27</f>
        <v>0</v>
      </c>
      <c r="X28" s="266">
        <f>X14+X17+X22+X27</f>
        <v>0</v>
      </c>
      <c r="Y28" s="271">
        <f>Y14+Y17+Y22+Y27</f>
        <v>0</v>
      </c>
    </row>
    <row r="29" spans="1:25" s="12" customFormat="1" ht="39.75" customHeight="1" thickBot="1">
      <c r="A29" s="787" t="s">
        <v>8</v>
      </c>
      <c r="B29" s="787" t="s">
        <v>94</v>
      </c>
      <c r="C29" s="788" t="s">
        <v>95</v>
      </c>
      <c r="D29" s="789">
        <f>D28*D12*12/1000</f>
        <v>2636.04</v>
      </c>
      <c r="E29" s="117">
        <f>E28*E12*12/1000</f>
        <v>3380.3827199999992</v>
      </c>
      <c r="F29" s="117"/>
      <c r="G29" s="1264">
        <v>254</v>
      </c>
      <c r="H29" s="117"/>
      <c r="I29" s="931">
        <f>I28*I12*12/1000</f>
        <v>120.56172310000002</v>
      </c>
      <c r="J29" s="791"/>
      <c r="K29" s="1264">
        <f>K28*K12*12/1000</f>
        <v>97.783200000000008</v>
      </c>
      <c r="L29" s="790">
        <f>L28*L12*12/1000</f>
        <v>122.94359999999999</v>
      </c>
      <c r="M29" s="792">
        <f>M28*M12*6/1000</f>
        <v>38.795077058399997</v>
      </c>
      <c r="N29" s="792">
        <f>N28*N12*6/1000</f>
        <v>38.795077058399997</v>
      </c>
      <c r="O29" s="791"/>
      <c r="P29" s="138"/>
      <c r="Q29" s="138"/>
      <c r="R29" s="931">
        <f>R28*R12*12/1000</f>
        <v>77.590154116799994</v>
      </c>
      <c r="S29" s="143"/>
      <c r="T29" s="301"/>
      <c r="U29" s="248">
        <f>U28*U12*6/1000</f>
        <v>2689.0097520000004</v>
      </c>
      <c r="V29" s="255">
        <f>V28*V12*6/1000</f>
        <v>2826.1492493519995</v>
      </c>
      <c r="W29" s="286">
        <f>W28*W12*6/1000</f>
        <v>0</v>
      </c>
      <c r="X29" s="263">
        <f>X28*X12*6/1000</f>
        <v>0</v>
      </c>
      <c r="Y29" s="268">
        <f>Y28*Y12*12/1000</f>
        <v>0</v>
      </c>
    </row>
    <row r="30" spans="1:25" s="12" customFormat="1" ht="24" customHeight="1">
      <c r="A30" s="793">
        <v>4</v>
      </c>
      <c r="B30" s="794" t="s">
        <v>374</v>
      </c>
      <c r="C30" s="795" t="s">
        <v>95</v>
      </c>
      <c r="D30" s="796"/>
      <c r="E30" s="797"/>
      <c r="F30" s="797"/>
      <c r="G30" s="801"/>
      <c r="H30" s="798"/>
      <c r="I30" s="799"/>
      <c r="J30" s="800"/>
      <c r="K30" s="801"/>
      <c r="L30" s="802"/>
      <c r="M30" s="802"/>
      <c r="N30" s="802"/>
      <c r="O30" s="800"/>
      <c r="P30" s="803"/>
      <c r="Q30" s="803"/>
      <c r="R30" s="940"/>
      <c r="S30" s="804"/>
      <c r="T30" s="805"/>
      <c r="U30" s="806"/>
      <c r="V30" s="807"/>
      <c r="W30" s="808"/>
      <c r="X30" s="809"/>
      <c r="Y30" s="810"/>
    </row>
    <row r="31" spans="1:25" s="12" customFormat="1" ht="27.6" customHeight="1">
      <c r="A31" s="793">
        <v>5</v>
      </c>
      <c r="B31" s="794" t="s">
        <v>371</v>
      </c>
      <c r="C31" s="811" t="s">
        <v>95</v>
      </c>
      <c r="D31" s="796"/>
      <c r="E31" s="797"/>
      <c r="F31" s="797"/>
      <c r="G31" s="801"/>
      <c r="H31" s="798"/>
      <c r="I31" s="799"/>
      <c r="J31" s="800"/>
      <c r="K31" s="801"/>
      <c r="L31" s="802"/>
      <c r="M31" s="802"/>
      <c r="N31" s="802"/>
      <c r="O31" s="800"/>
      <c r="P31" s="803"/>
      <c r="Q31" s="803"/>
      <c r="R31" s="940"/>
      <c r="S31" s="804"/>
      <c r="T31" s="805"/>
      <c r="U31" s="806"/>
      <c r="V31" s="807"/>
      <c r="W31" s="808"/>
      <c r="X31" s="809"/>
      <c r="Y31" s="810"/>
    </row>
    <row r="32" spans="1:25" s="12" customFormat="1" ht="30.6" customHeight="1">
      <c r="A32" s="793">
        <v>6</v>
      </c>
      <c r="B32" s="794" t="s">
        <v>373</v>
      </c>
      <c r="C32" s="811" t="s">
        <v>95</v>
      </c>
      <c r="D32" s="796"/>
      <c r="E32" s="797"/>
      <c r="F32" s="797"/>
      <c r="G32" s="812"/>
      <c r="H32" s="798"/>
      <c r="I32" s="799"/>
      <c r="J32" s="800"/>
      <c r="K32" s="812"/>
      <c r="L32" s="799"/>
      <c r="M32" s="813"/>
      <c r="N32" s="799"/>
      <c r="O32" s="800"/>
      <c r="P32" s="803"/>
      <c r="Q32" s="803"/>
      <c r="R32" s="940"/>
      <c r="S32" s="804"/>
      <c r="T32" s="805"/>
      <c r="U32" s="806"/>
      <c r="V32" s="807"/>
      <c r="W32" s="808"/>
      <c r="X32" s="809"/>
      <c r="Y32" s="810"/>
    </row>
    <row r="33" spans="1:25" s="12" customFormat="1" ht="15.6" customHeight="1" thickBot="1">
      <c r="A33" s="814">
        <v>7</v>
      </c>
      <c r="B33" s="815" t="s">
        <v>96</v>
      </c>
      <c r="C33" s="781" t="s">
        <v>95</v>
      </c>
      <c r="D33" s="816">
        <v>22</v>
      </c>
      <c r="E33" s="118">
        <v>20</v>
      </c>
      <c r="F33" s="127"/>
      <c r="G33" s="819">
        <v>1.9</v>
      </c>
      <c r="H33" s="127"/>
      <c r="I33" s="817">
        <f>12916*0.05/1000</f>
        <v>0.64580000000000004</v>
      </c>
      <c r="J33" s="818"/>
      <c r="K33" s="819">
        <v>2.4</v>
      </c>
      <c r="L33" s="819">
        <f>88*0.05</f>
        <v>4.4000000000000004</v>
      </c>
      <c r="M33" s="820">
        <f>(47.5*1.25)/2*0.05</f>
        <v>1.484375</v>
      </c>
      <c r="N33" s="820">
        <f>M33</f>
        <v>1.484375</v>
      </c>
      <c r="O33" s="821"/>
      <c r="P33" s="139"/>
      <c r="Q33" s="139"/>
      <c r="R33" s="942">
        <f>M33+N33</f>
        <v>2.96875</v>
      </c>
      <c r="S33" s="144"/>
      <c r="T33" s="302"/>
      <c r="U33" s="249">
        <f>K33/2</f>
        <v>1.2</v>
      </c>
      <c r="V33" s="256">
        <f>Y33-U33</f>
        <v>-1.2</v>
      </c>
      <c r="W33" s="287">
        <f>Y33/2</f>
        <v>0</v>
      </c>
      <c r="X33" s="264">
        <f>Y33/2</f>
        <v>0</v>
      </c>
      <c r="Y33" s="282">
        <f>H33</f>
        <v>0</v>
      </c>
    </row>
    <row r="34" spans="1:25" s="12" customFormat="1" ht="21" hidden="1" customHeight="1">
      <c r="A34" s="822" t="s">
        <v>97</v>
      </c>
      <c r="B34" s="822" t="s">
        <v>98</v>
      </c>
      <c r="C34" s="823" t="s">
        <v>99</v>
      </c>
      <c r="D34" s="824"/>
      <c r="E34" s="119"/>
      <c r="F34" s="128"/>
      <c r="G34" s="827"/>
      <c r="H34" s="128"/>
      <c r="I34" s="825"/>
      <c r="J34" s="826"/>
      <c r="K34" s="827"/>
      <c r="L34" s="828"/>
      <c r="M34" s="828"/>
      <c r="N34" s="828"/>
      <c r="O34" s="829"/>
      <c r="P34" s="140"/>
      <c r="Q34" s="140"/>
      <c r="R34" s="939"/>
      <c r="S34" s="145"/>
      <c r="T34" s="300"/>
      <c r="U34" s="247"/>
      <c r="V34" s="254"/>
      <c r="W34" s="288"/>
      <c r="X34" s="262"/>
      <c r="Y34" s="271"/>
    </row>
    <row r="35" spans="1:25" s="12" customFormat="1" ht="27" customHeight="1" thickBot="1">
      <c r="A35" s="830">
        <v>8</v>
      </c>
      <c r="B35" s="831" t="s">
        <v>100</v>
      </c>
      <c r="C35" s="832" t="s">
        <v>99</v>
      </c>
      <c r="D35" s="833">
        <f>D29+D33</f>
        <v>2658.04</v>
      </c>
      <c r="E35" s="120">
        <f>E29+E33</f>
        <v>3400.3827199999992</v>
      </c>
      <c r="F35" s="120"/>
      <c r="G35" s="129">
        <v>2597.9499999999998</v>
      </c>
      <c r="H35" s="120"/>
      <c r="I35" s="933">
        <f>I29+I30+I31+I32+I33</f>
        <v>121.20752310000002</v>
      </c>
      <c r="J35" s="835"/>
      <c r="K35" s="129">
        <v>100</v>
      </c>
      <c r="L35" s="834">
        <f>L29+L30+L31+L32+L33</f>
        <v>127.3436</v>
      </c>
      <c r="M35" s="836">
        <f>M29+M30+M31+M32+M33</f>
        <v>40.279452058399997</v>
      </c>
      <c r="N35" s="836">
        <f>N29+N30+N31+N32+N33</f>
        <v>40.279452058399997</v>
      </c>
      <c r="O35" s="835"/>
      <c r="P35" s="141"/>
      <c r="Q35" s="141"/>
      <c r="R35" s="836">
        <f>R29+R30+R31+R32+R33</f>
        <v>80.558904116799994</v>
      </c>
      <c r="S35" s="129"/>
      <c r="T35" s="303"/>
      <c r="U35" s="248">
        <f>U29+U33</f>
        <v>2690.2097520000002</v>
      </c>
      <c r="V35" s="255">
        <f>V29+V33</f>
        <v>2824.9492493519997</v>
      </c>
      <c r="W35" s="289">
        <f>W29+W33</f>
        <v>0</v>
      </c>
      <c r="X35" s="129">
        <f>X29+X33</f>
        <v>0</v>
      </c>
      <c r="Y35" s="267">
        <f>Y29+Y33</f>
        <v>0</v>
      </c>
    </row>
    <row r="36" spans="1:25" s="12" customFormat="1" ht="45.75" hidden="1" customHeight="1">
      <c r="A36" s="815" t="s">
        <v>9</v>
      </c>
      <c r="B36" s="815" t="s">
        <v>101</v>
      </c>
      <c r="C36" s="837"/>
      <c r="D36" s="816"/>
      <c r="E36" s="118"/>
      <c r="F36" s="127"/>
      <c r="G36" s="839"/>
      <c r="H36" s="127"/>
      <c r="I36" s="838"/>
      <c r="J36" s="818"/>
      <c r="K36" s="839"/>
      <c r="L36" s="840"/>
      <c r="M36" s="840"/>
      <c r="N36" s="840"/>
      <c r="O36" s="821"/>
      <c r="P36" s="139"/>
      <c r="Q36" s="139"/>
      <c r="R36" s="941"/>
      <c r="S36" s="144"/>
      <c r="T36" s="302"/>
      <c r="U36" s="249"/>
      <c r="V36" s="256"/>
      <c r="W36" s="287"/>
      <c r="X36" s="264"/>
      <c r="Y36" s="282"/>
    </row>
    <row r="37" spans="1:25" s="12" customFormat="1" ht="33" hidden="1" customHeight="1">
      <c r="A37" s="757" t="s">
        <v>102</v>
      </c>
      <c r="B37" s="757" t="s">
        <v>103</v>
      </c>
      <c r="C37" s="758" t="s">
        <v>84</v>
      </c>
      <c r="D37" s="759"/>
      <c r="E37" s="115"/>
      <c r="F37" s="126"/>
      <c r="G37" s="774"/>
      <c r="H37" s="126"/>
      <c r="I37" s="779"/>
      <c r="J37" s="767"/>
      <c r="K37" s="774"/>
      <c r="L37" s="772"/>
      <c r="M37" s="772"/>
      <c r="N37" s="772"/>
      <c r="O37" s="765"/>
      <c r="P37" s="136"/>
      <c r="Q37" s="136"/>
      <c r="R37" s="938"/>
      <c r="S37" s="142"/>
      <c r="T37" s="299"/>
      <c r="U37" s="246"/>
      <c r="V37" s="253"/>
      <c r="W37" s="285"/>
      <c r="X37" s="261"/>
      <c r="Y37" s="270"/>
    </row>
    <row r="38" spans="1:25" s="12" customFormat="1" ht="13.8" hidden="1" thickBot="1">
      <c r="A38" s="757" t="s">
        <v>104</v>
      </c>
      <c r="B38" s="757" t="s">
        <v>105</v>
      </c>
      <c r="C38" s="758" t="s">
        <v>89</v>
      </c>
      <c r="D38" s="759"/>
      <c r="E38" s="115"/>
      <c r="F38" s="126"/>
      <c r="G38" s="774"/>
      <c r="H38" s="126"/>
      <c r="I38" s="779"/>
      <c r="J38" s="767"/>
      <c r="K38" s="774"/>
      <c r="L38" s="772"/>
      <c r="M38" s="772"/>
      <c r="N38" s="772"/>
      <c r="O38" s="765"/>
      <c r="P38" s="136"/>
      <c r="Q38" s="136"/>
      <c r="R38" s="938"/>
      <c r="S38" s="142"/>
      <c r="T38" s="299"/>
      <c r="U38" s="246"/>
      <c r="V38" s="253"/>
      <c r="W38" s="285"/>
      <c r="X38" s="261"/>
      <c r="Y38" s="270"/>
    </row>
    <row r="39" spans="1:25" s="12" customFormat="1" ht="13.5" hidden="1" customHeight="1">
      <c r="A39" s="757" t="s">
        <v>106</v>
      </c>
      <c r="B39" s="757" t="s">
        <v>96</v>
      </c>
      <c r="C39" s="758" t="s">
        <v>95</v>
      </c>
      <c r="D39" s="759"/>
      <c r="E39" s="115"/>
      <c r="F39" s="126"/>
      <c r="G39" s="774"/>
      <c r="H39" s="126"/>
      <c r="I39" s="779"/>
      <c r="J39" s="767"/>
      <c r="K39" s="774"/>
      <c r="L39" s="772"/>
      <c r="M39" s="772"/>
      <c r="N39" s="772"/>
      <c r="O39" s="765"/>
      <c r="P39" s="136"/>
      <c r="Q39" s="136"/>
      <c r="R39" s="938"/>
      <c r="S39" s="142"/>
      <c r="T39" s="299"/>
      <c r="U39" s="246"/>
      <c r="V39" s="253"/>
      <c r="W39" s="285"/>
      <c r="X39" s="261"/>
      <c r="Y39" s="270"/>
    </row>
    <row r="40" spans="1:25" s="12" customFormat="1" ht="22.5" hidden="1" customHeight="1">
      <c r="A40" s="757" t="s">
        <v>107</v>
      </c>
      <c r="B40" s="757" t="s">
        <v>98</v>
      </c>
      <c r="C40" s="758" t="s">
        <v>95</v>
      </c>
      <c r="D40" s="759"/>
      <c r="E40" s="115"/>
      <c r="F40" s="126"/>
      <c r="G40" s="774"/>
      <c r="H40" s="126"/>
      <c r="I40" s="779"/>
      <c r="J40" s="767"/>
      <c r="K40" s="774"/>
      <c r="L40" s="772"/>
      <c r="M40" s="772"/>
      <c r="N40" s="772"/>
      <c r="O40" s="765"/>
      <c r="P40" s="136"/>
      <c r="Q40" s="136"/>
      <c r="R40" s="938"/>
      <c r="S40" s="142"/>
      <c r="T40" s="299"/>
      <c r="U40" s="246"/>
      <c r="V40" s="253"/>
      <c r="W40" s="285"/>
      <c r="X40" s="261"/>
      <c r="Y40" s="270"/>
    </row>
    <row r="41" spans="1:25" s="12" customFormat="1" ht="24" hidden="1" customHeight="1">
      <c r="A41" s="757" t="s">
        <v>108</v>
      </c>
      <c r="B41" s="757" t="s">
        <v>109</v>
      </c>
      <c r="C41" s="758" t="s">
        <v>95</v>
      </c>
      <c r="D41" s="759"/>
      <c r="E41" s="115"/>
      <c r="F41" s="126"/>
      <c r="G41" s="774"/>
      <c r="H41" s="126"/>
      <c r="I41" s="779"/>
      <c r="J41" s="767"/>
      <c r="K41" s="774"/>
      <c r="L41" s="772"/>
      <c r="M41" s="772"/>
      <c r="N41" s="772"/>
      <c r="O41" s="765"/>
      <c r="P41" s="136"/>
      <c r="Q41" s="136"/>
      <c r="R41" s="938"/>
      <c r="S41" s="142"/>
      <c r="T41" s="299"/>
      <c r="U41" s="246"/>
      <c r="V41" s="253"/>
      <c r="W41" s="285"/>
      <c r="X41" s="261"/>
      <c r="Y41" s="271"/>
    </row>
    <row r="42" spans="1:25" s="12" customFormat="1">
      <c r="A42" s="770">
        <v>9</v>
      </c>
      <c r="B42" s="841" t="s">
        <v>413</v>
      </c>
      <c r="C42" s="758"/>
      <c r="D42" s="759"/>
      <c r="E42" s="115"/>
      <c r="F42" s="126"/>
      <c r="G42" s="774"/>
      <c r="H42" s="126"/>
      <c r="I42" s="779"/>
      <c r="J42" s="767"/>
      <c r="K42" s="774"/>
      <c r="L42" s="772"/>
      <c r="M42" s="772"/>
      <c r="N42" s="772"/>
      <c r="O42" s="765"/>
      <c r="P42" s="136"/>
      <c r="Q42" s="136"/>
      <c r="R42" s="938"/>
      <c r="S42" s="142"/>
      <c r="T42" s="299"/>
      <c r="U42" s="246"/>
      <c r="V42" s="253"/>
      <c r="W42" s="285"/>
      <c r="X42" s="260"/>
      <c r="Y42" s="294"/>
    </row>
    <row r="43" spans="1:25" s="12" customFormat="1" ht="27" customHeight="1">
      <c r="A43" s="757" t="s">
        <v>414</v>
      </c>
      <c r="B43" s="757" t="s">
        <v>110</v>
      </c>
      <c r="C43" s="758" t="s">
        <v>84</v>
      </c>
      <c r="D43" s="759">
        <v>10</v>
      </c>
      <c r="E43" s="115">
        <v>12</v>
      </c>
      <c r="F43" s="126"/>
      <c r="G43" s="1679">
        <v>0.2</v>
      </c>
      <c r="H43" s="126"/>
      <c r="I43" s="1679">
        <f>I12</f>
        <v>0.2</v>
      </c>
      <c r="J43" s="767"/>
      <c r="K43" s="1679">
        <v>0.2</v>
      </c>
      <c r="L43" s="1257">
        <f>L12</f>
        <v>0.15</v>
      </c>
      <c r="M43" s="1258">
        <f>M12</f>
        <v>0.15</v>
      </c>
      <c r="N43" s="1258">
        <f>N12</f>
        <v>0.15</v>
      </c>
      <c r="O43" s="1682"/>
      <c r="P43" s="1683"/>
      <c r="Q43" s="1684"/>
      <c r="R43" s="1258">
        <f>R12</f>
        <v>0.15</v>
      </c>
      <c r="S43" s="142"/>
      <c r="T43" s="299"/>
      <c r="U43" s="142">
        <f>I43</f>
        <v>0.2</v>
      </c>
      <c r="V43" s="275">
        <f>J43</f>
        <v>0</v>
      </c>
      <c r="W43" s="272">
        <f>W12</f>
        <v>11</v>
      </c>
      <c r="X43" s="291">
        <f>X12</f>
        <v>11</v>
      </c>
      <c r="Y43" s="295">
        <f>Y12</f>
        <v>11</v>
      </c>
    </row>
    <row r="44" spans="1:25" s="12" customFormat="1" ht="25.5" customHeight="1">
      <c r="A44" s="757" t="s">
        <v>415</v>
      </c>
      <c r="B44" s="757" t="s">
        <v>416</v>
      </c>
      <c r="C44" s="758" t="s">
        <v>89</v>
      </c>
      <c r="D44" s="759"/>
      <c r="E44" s="115"/>
      <c r="F44" s="126"/>
      <c r="G44" s="1009">
        <v>32.630000000000003</v>
      </c>
      <c r="H44" s="130"/>
      <c r="I44" s="934">
        <f>I45</f>
        <v>1041.6666666666667</v>
      </c>
      <c r="J44" s="846"/>
      <c r="K44" s="1009"/>
      <c r="L44" s="845">
        <f>L45</f>
        <v>1666.6666666666667</v>
      </c>
      <c r="M44" s="847">
        <f>M45</f>
        <v>722</v>
      </c>
      <c r="N44" s="847">
        <f>N45</f>
        <v>722</v>
      </c>
      <c r="O44" s="848"/>
      <c r="P44" s="130"/>
      <c r="Q44" s="849"/>
      <c r="R44" s="847">
        <f>R45</f>
        <v>722</v>
      </c>
      <c r="S44" s="146"/>
      <c r="T44" s="304"/>
      <c r="U44" s="146">
        <f>S44</f>
        <v>0</v>
      </c>
      <c r="V44" s="276">
        <f>T44</f>
        <v>0</v>
      </c>
      <c r="W44" s="273">
        <f>H44</f>
        <v>0</v>
      </c>
      <c r="X44" s="292">
        <f>V44</f>
        <v>0</v>
      </c>
      <c r="Y44" s="296">
        <f>H44</f>
        <v>0</v>
      </c>
    </row>
    <row r="45" spans="1:25" s="12" customFormat="1" ht="25.5" customHeight="1">
      <c r="A45" s="757"/>
      <c r="B45" s="757" t="s">
        <v>417</v>
      </c>
      <c r="C45" s="758" t="s">
        <v>89</v>
      </c>
      <c r="D45" s="759"/>
      <c r="E45" s="115"/>
      <c r="F45" s="126"/>
      <c r="G45" s="1009">
        <v>32.630000000000003</v>
      </c>
      <c r="H45" s="130"/>
      <c r="I45" s="845">
        <f>(50000)/0.2/12*0.05</f>
        <v>1041.6666666666667</v>
      </c>
      <c r="J45" s="846"/>
      <c r="K45" s="1009"/>
      <c r="L45" s="850">
        <f>60000/12/3</f>
        <v>1666.6666666666667</v>
      </c>
      <c r="M45" s="847">
        <v>722</v>
      </c>
      <c r="N45" s="847">
        <f>M45</f>
        <v>722</v>
      </c>
      <c r="O45" s="848"/>
      <c r="P45" s="130"/>
      <c r="Q45" s="849"/>
      <c r="R45" s="1316">
        <v>722</v>
      </c>
      <c r="S45" s="146"/>
      <c r="T45" s="304"/>
      <c r="U45" s="146"/>
      <c r="V45" s="276"/>
      <c r="W45" s="851"/>
      <c r="X45" s="292"/>
      <c r="Y45" s="296"/>
    </row>
    <row r="46" spans="1:25" s="12" customFormat="1" ht="15.75" customHeight="1" thickBot="1">
      <c r="A46" s="822"/>
      <c r="B46" s="822" t="s">
        <v>111</v>
      </c>
      <c r="C46" s="852" t="s">
        <v>112</v>
      </c>
      <c r="D46" s="824"/>
      <c r="E46" s="119"/>
      <c r="F46" s="128"/>
      <c r="G46" s="935">
        <v>3.05</v>
      </c>
      <c r="H46" s="853"/>
      <c r="I46" s="935">
        <f>I44*I43*12/1000</f>
        <v>2.5000000000000004</v>
      </c>
      <c r="J46" s="855"/>
      <c r="K46" s="935">
        <v>2</v>
      </c>
      <c r="L46" s="854">
        <f>L44*L43*12/1000</f>
        <v>3</v>
      </c>
      <c r="M46" s="1010">
        <f>M44*M43*6/1000</f>
        <v>0.64979999999999993</v>
      </c>
      <c r="N46" s="1010">
        <f>N44*N43*6/1000</f>
        <v>0.64979999999999993</v>
      </c>
      <c r="O46" s="856"/>
      <c r="P46" s="853"/>
      <c r="Q46" s="857"/>
      <c r="R46" s="935">
        <f>R44*R43*12/1000</f>
        <v>1.2995999999999999</v>
      </c>
      <c r="S46" s="858"/>
      <c r="T46" s="859"/>
      <c r="U46" s="154">
        <f>S46</f>
        <v>0</v>
      </c>
      <c r="V46" s="277">
        <f>T46</f>
        <v>0</v>
      </c>
      <c r="W46" s="290">
        <f>W44*W43*6/1000</f>
        <v>0</v>
      </c>
      <c r="X46" s="265">
        <f>X44*X43*6/1000</f>
        <v>0</v>
      </c>
      <c r="Y46" s="296">
        <f>Y44*Y43*12/1000</f>
        <v>0</v>
      </c>
    </row>
    <row r="47" spans="1:25" s="12" customFormat="1" ht="30" customHeight="1" thickBot="1">
      <c r="A47" s="860">
        <v>10</v>
      </c>
      <c r="B47" s="861" t="s">
        <v>113</v>
      </c>
      <c r="C47" s="862" t="s">
        <v>112</v>
      </c>
      <c r="D47" s="863">
        <f>D29+D46</f>
        <v>2636.04</v>
      </c>
      <c r="E47" s="864">
        <f>E29+E46</f>
        <v>3380.3827199999992</v>
      </c>
      <c r="F47" s="865"/>
      <c r="G47" s="874">
        <f>G35+G46</f>
        <v>2601</v>
      </c>
      <c r="H47" s="866"/>
      <c r="I47" s="1011">
        <f>I35+I46</f>
        <v>123.70752310000002</v>
      </c>
      <c r="J47" s="868"/>
      <c r="K47" s="874">
        <f>K35+K46</f>
        <v>102</v>
      </c>
      <c r="L47" s="867">
        <f>L35+L46</f>
        <v>130.34359999999998</v>
      </c>
      <c r="M47" s="869">
        <f>M35+M46</f>
        <v>40.929252058399996</v>
      </c>
      <c r="N47" s="869">
        <f>N35+N46</f>
        <v>40.929252058399996</v>
      </c>
      <c r="O47" s="868"/>
      <c r="P47" s="866"/>
      <c r="Q47" s="870"/>
      <c r="R47" s="869">
        <f>R35+R46</f>
        <v>81.858504116799992</v>
      </c>
      <c r="S47" s="871"/>
      <c r="T47" s="872"/>
      <c r="U47" s="142">
        <f>U29+U46</f>
        <v>2689.0097520000004</v>
      </c>
      <c r="V47" s="275">
        <f>V29+V46</f>
        <v>2826.1492493519995</v>
      </c>
      <c r="W47" s="272">
        <f>W29+W46</f>
        <v>0</v>
      </c>
      <c r="X47" s="291">
        <f>X29+X46</f>
        <v>0</v>
      </c>
      <c r="Y47" s="295">
        <f>Y29+Y46</f>
        <v>0</v>
      </c>
    </row>
    <row r="48" spans="1:25" s="12" customFormat="1" ht="29.25" customHeight="1" thickBot="1">
      <c r="A48" s="860">
        <v>11</v>
      </c>
      <c r="B48" s="861" t="s">
        <v>114</v>
      </c>
      <c r="C48" s="862" t="s">
        <v>89</v>
      </c>
      <c r="D48" s="873">
        <v>22150</v>
      </c>
      <c r="E48" s="866">
        <f>E47/E43/12*1000</f>
        <v>23474.879999999994</v>
      </c>
      <c r="F48" s="865"/>
      <c r="G48" s="874">
        <v>38798</v>
      </c>
      <c r="H48" s="866"/>
      <c r="I48" s="874">
        <f>I47/I43/12*1000</f>
        <v>51544.801291666663</v>
      </c>
      <c r="J48" s="870"/>
      <c r="K48" s="874">
        <v>41733</v>
      </c>
      <c r="L48" s="874">
        <f>L47/L43/12*1000</f>
        <v>72413.111111111109</v>
      </c>
      <c r="M48" s="875">
        <f>M47/M43/6*1000</f>
        <v>45476.946731555559</v>
      </c>
      <c r="N48" s="875">
        <f>N47/N43/6*1000</f>
        <v>45476.946731555559</v>
      </c>
      <c r="O48" s="870"/>
      <c r="P48" s="865"/>
      <c r="Q48" s="865"/>
      <c r="R48" s="874">
        <f>R47/R43/12*1000</f>
        <v>45476.946731555559</v>
      </c>
      <c r="S48" s="871"/>
      <c r="T48" s="872"/>
      <c r="U48" s="147">
        <f>U47/U43/12*1000</f>
        <v>1120420.73</v>
      </c>
      <c r="V48" s="278" t="e">
        <f>V47/V43/12*1000</f>
        <v>#DIV/0!</v>
      </c>
      <c r="W48" s="274">
        <f>W47/W43/6*1000</f>
        <v>0</v>
      </c>
      <c r="X48" s="293">
        <f>X47/X43/6*1000</f>
        <v>0</v>
      </c>
      <c r="Y48" s="297">
        <f>Y47/Y43/12*1000</f>
        <v>0</v>
      </c>
    </row>
    <row r="50" spans="2:25" ht="15.6">
      <c r="B50" s="17"/>
      <c r="C50" s="121"/>
      <c r="D50" s="16"/>
      <c r="E50" s="16"/>
      <c r="F50" s="16"/>
      <c r="G50" s="16"/>
      <c r="H50" s="152"/>
      <c r="I50" s="17"/>
      <c r="J50" s="16"/>
      <c r="R50" s="155"/>
      <c r="T50" s="158"/>
      <c r="U50" s="155"/>
      <c r="Y50" s="158"/>
    </row>
    <row r="51" spans="2:25" ht="15.6">
      <c r="B51" s="876" t="s">
        <v>377</v>
      </c>
      <c r="C51" s="877"/>
      <c r="D51" s="878"/>
      <c r="E51" s="878"/>
      <c r="G51" s="16"/>
      <c r="H51" s="152"/>
      <c r="I51" s="17"/>
      <c r="J51" s="16"/>
      <c r="K51" s="726" t="s">
        <v>436</v>
      </c>
      <c r="L51" s="726"/>
      <c r="R51" s="155"/>
      <c r="T51" s="158"/>
      <c r="U51" s="155"/>
      <c r="Y51" s="158"/>
    </row>
    <row r="52" spans="2:25" ht="15.6">
      <c r="B52" s="876" t="s">
        <v>378</v>
      </c>
      <c r="C52" s="877"/>
      <c r="D52" s="878"/>
      <c r="E52" s="878"/>
      <c r="F52" s="878"/>
      <c r="G52" s="16"/>
      <c r="H52" s="152"/>
      <c r="I52" s="17"/>
      <c r="J52" s="16"/>
      <c r="R52" s="155"/>
      <c r="T52" s="158"/>
      <c r="U52" s="155"/>
      <c r="Y52" s="158"/>
    </row>
    <row r="53" spans="2:25" ht="15.6">
      <c r="B53" s="876" t="s">
        <v>379</v>
      </c>
      <c r="C53" s="877"/>
      <c r="D53" s="878"/>
      <c r="E53" s="878"/>
      <c r="F53" s="878"/>
      <c r="G53" s="16"/>
      <c r="H53" s="152"/>
      <c r="I53" s="17"/>
      <c r="J53" s="16"/>
      <c r="R53" s="155"/>
      <c r="T53" s="158"/>
      <c r="U53" s="155"/>
      <c r="Y53" s="158"/>
    </row>
    <row r="54" spans="2:25">
      <c r="S54" s="156"/>
      <c r="T54" s="156"/>
      <c r="V54" s="156"/>
      <c r="W54" s="156"/>
      <c r="X54" s="156"/>
      <c r="Y54" s="156"/>
    </row>
  </sheetData>
  <mergeCells count="2">
    <mergeCell ref="A4:Y5"/>
    <mergeCell ref="A6:Y6"/>
  </mergeCells>
  <phoneticPr fontId="4" type="noConversion"/>
  <pageMargins left="0.39370078740157483" right="0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M19"/>
  <sheetViews>
    <sheetView workbookViewId="0">
      <selection activeCell="J12" sqref="J12"/>
    </sheetView>
  </sheetViews>
  <sheetFormatPr defaultRowHeight="13.2"/>
  <cols>
    <col min="1" max="1" width="4.109375" style="426" customWidth="1"/>
    <col min="2" max="2" width="39.5546875" style="426" customWidth="1"/>
    <col min="3" max="3" width="14.109375" style="426" customWidth="1"/>
    <col min="4" max="4" width="11.109375" style="426" customWidth="1"/>
    <col min="5" max="5" width="10.6640625" style="426" customWidth="1"/>
    <col min="6" max="6" width="9.6640625" style="426" hidden="1" customWidth="1"/>
    <col min="7" max="7" width="9.6640625" style="426" customWidth="1"/>
    <col min="8" max="8" width="10.6640625" style="426" customWidth="1"/>
    <col min="9" max="9" width="10.109375" style="426" customWidth="1"/>
    <col min="10" max="10" width="12.109375" style="426" customWidth="1"/>
    <col min="11" max="16384" width="8.88671875" style="426"/>
  </cols>
  <sheetData>
    <row r="1" spans="1:11" ht="15.6">
      <c r="B1" s="427" t="s">
        <v>359</v>
      </c>
      <c r="C1" s="428"/>
      <c r="D1" s="428"/>
      <c r="E1" s="428"/>
      <c r="F1" s="428"/>
      <c r="G1" s="428"/>
      <c r="H1" s="428"/>
      <c r="I1" s="428"/>
      <c r="J1" s="429"/>
    </row>
    <row r="2" spans="1:11">
      <c r="A2" s="430"/>
      <c r="J2" s="429" t="s">
        <v>115</v>
      </c>
    </row>
    <row r="3" spans="1:11">
      <c r="A3" s="1761" t="s">
        <v>116</v>
      </c>
      <c r="B3" s="1761"/>
      <c r="C3" s="1761"/>
      <c r="D3" s="1761"/>
      <c r="E3" s="1761"/>
      <c r="F3" s="1761"/>
      <c r="G3" s="1761"/>
      <c r="H3" s="1761"/>
      <c r="I3" s="1761"/>
      <c r="J3" s="1761"/>
    </row>
    <row r="4" spans="1:11">
      <c r="A4" s="1761" t="s">
        <v>439</v>
      </c>
      <c r="B4" s="1761"/>
      <c r="C4" s="1761"/>
      <c r="D4" s="1761"/>
      <c r="E4" s="1761"/>
      <c r="F4" s="1761"/>
      <c r="G4" s="1761"/>
      <c r="H4" s="1761"/>
      <c r="I4" s="1761"/>
      <c r="J4" s="1761"/>
    </row>
    <row r="5" spans="1:11">
      <c r="A5" s="1761"/>
      <c r="B5" s="1761"/>
      <c r="C5" s="1761"/>
      <c r="D5" s="1761"/>
      <c r="E5" s="1761"/>
      <c r="F5" s="1761"/>
      <c r="G5" s="1761"/>
      <c r="H5" s="1761"/>
      <c r="I5" s="1761"/>
      <c r="J5" s="1761"/>
    </row>
    <row r="6" spans="1:11" ht="13.8" thickBot="1">
      <c r="B6" s="431"/>
      <c r="C6" s="431"/>
      <c r="D6" s="431"/>
      <c r="E6" s="431"/>
      <c r="F6" s="431"/>
      <c r="G6" s="431"/>
      <c r="H6" s="431"/>
      <c r="I6" s="431"/>
      <c r="J6" s="431" t="s">
        <v>95</v>
      </c>
    </row>
    <row r="7" spans="1:11" ht="41.4" thickBot="1">
      <c r="A7" s="1227" t="s">
        <v>117</v>
      </c>
      <c r="B7" s="1224" t="s">
        <v>118</v>
      </c>
      <c r="C7" s="732" t="s">
        <v>466</v>
      </c>
      <c r="D7" s="732" t="s">
        <v>467</v>
      </c>
      <c r="E7" s="732" t="s">
        <v>468</v>
      </c>
      <c r="F7" s="1235"/>
      <c r="G7" s="732" t="s">
        <v>469</v>
      </c>
      <c r="H7" s="732" t="s">
        <v>453</v>
      </c>
      <c r="I7" s="732" t="s">
        <v>454</v>
      </c>
      <c r="J7" s="732" t="s">
        <v>455</v>
      </c>
      <c r="K7" s="1241" t="s">
        <v>470</v>
      </c>
    </row>
    <row r="8" spans="1:11" ht="24">
      <c r="A8" s="1228" t="s">
        <v>119</v>
      </c>
      <c r="B8" s="1225" t="s">
        <v>120</v>
      </c>
      <c r="C8" s="1230">
        <f>11878.44*0.05</f>
        <v>593.92200000000003</v>
      </c>
      <c r="D8" s="1231">
        <f>13899.5*0.05</f>
        <v>694.97500000000002</v>
      </c>
      <c r="E8" s="1230">
        <v>740</v>
      </c>
      <c r="F8" s="1236"/>
      <c r="G8" s="1231">
        <f>22629*0.05</f>
        <v>1131.45</v>
      </c>
      <c r="H8" s="1231">
        <f>20813*0.05</f>
        <v>1040.6500000000001</v>
      </c>
      <c r="I8" s="1231">
        <f>20813*0.05</f>
        <v>1040.6500000000001</v>
      </c>
      <c r="J8" s="1231">
        <f>20813*0.05</f>
        <v>1040.6500000000001</v>
      </c>
      <c r="K8" s="1242"/>
    </row>
    <row r="9" spans="1:11">
      <c r="A9" s="1228" t="s">
        <v>121</v>
      </c>
      <c r="B9" s="1225" t="s">
        <v>122</v>
      </c>
      <c r="C9" s="1230">
        <v>0</v>
      </c>
      <c r="D9" s="1231">
        <f>8729.5*0.05</f>
        <v>436.47500000000002</v>
      </c>
      <c r="E9" s="1230">
        <v>0</v>
      </c>
      <c r="F9" s="1236"/>
      <c r="G9" s="1231">
        <v>0</v>
      </c>
      <c r="H9" s="1231">
        <v>0</v>
      </c>
      <c r="I9" s="1231">
        <v>0</v>
      </c>
      <c r="J9" s="1231">
        <v>0</v>
      </c>
      <c r="K9" s="1242"/>
    </row>
    <row r="10" spans="1:11">
      <c r="A10" s="1228" t="s">
        <v>123</v>
      </c>
      <c r="B10" s="1225" t="s">
        <v>124</v>
      </c>
      <c r="C10" s="1230">
        <v>0</v>
      </c>
      <c r="D10" s="1231">
        <v>0</v>
      </c>
      <c r="E10" s="1230">
        <v>0</v>
      </c>
      <c r="F10" s="1236"/>
      <c r="G10" s="1231">
        <v>0</v>
      </c>
      <c r="H10" s="1231">
        <v>0</v>
      </c>
      <c r="I10" s="1231">
        <v>0</v>
      </c>
      <c r="J10" s="1231">
        <v>0</v>
      </c>
      <c r="K10" s="1242"/>
    </row>
    <row r="11" spans="1:11" ht="24">
      <c r="A11" s="1228" t="s">
        <v>133</v>
      </c>
      <c r="B11" s="1225" t="s">
        <v>318</v>
      </c>
      <c r="C11" s="1230">
        <f>C8+C9-C10</f>
        <v>593.92200000000003</v>
      </c>
      <c r="D11" s="1230">
        <f>22629*0.05</f>
        <v>1131.45</v>
      </c>
      <c r="E11" s="1230">
        <f>E8+E9-E10</f>
        <v>740</v>
      </c>
      <c r="F11" s="1237"/>
      <c r="G11" s="1230">
        <f>20813*0.05</f>
        <v>1040.6500000000001</v>
      </c>
      <c r="H11" s="1231">
        <f>20813*0.05</f>
        <v>1040.6500000000001</v>
      </c>
      <c r="I11" s="1231">
        <f>20813*0.05</f>
        <v>1040.6500000000001</v>
      </c>
      <c r="J11" s="1231">
        <f>20813*0.05</f>
        <v>1040.6500000000001</v>
      </c>
      <c r="K11" s="1243"/>
    </row>
    <row r="12" spans="1:11" ht="24">
      <c r="A12" s="1228" t="s">
        <v>141</v>
      </c>
      <c r="B12" s="1225" t="s">
        <v>125</v>
      </c>
      <c r="C12" s="1230">
        <f>11878.44*0.05</f>
        <v>593.92200000000003</v>
      </c>
      <c r="D12" s="1231">
        <f>18504*0.05</f>
        <v>925.2</v>
      </c>
      <c r="E12" s="1231">
        <v>740</v>
      </c>
      <c r="F12" s="1238"/>
      <c r="G12" s="1231">
        <f>21790.8*0.05</f>
        <v>1089.54</v>
      </c>
      <c r="H12" s="1231">
        <f>20813*0.05</f>
        <v>1040.6500000000001</v>
      </c>
      <c r="I12" s="1231">
        <f>20813*0.05</f>
        <v>1040.6500000000001</v>
      </c>
      <c r="J12" s="1231">
        <f>20813*0.05</f>
        <v>1040.6500000000001</v>
      </c>
      <c r="K12" s="1242"/>
    </row>
    <row r="13" spans="1:11">
      <c r="A13" s="1228" t="s">
        <v>142</v>
      </c>
      <c r="B13" s="1225" t="s">
        <v>126</v>
      </c>
      <c r="C13" s="1232">
        <v>21</v>
      </c>
      <c r="D13" s="1232">
        <f>D14/D12*100</f>
        <v>3.4460657155209686</v>
      </c>
      <c r="E13" s="1232">
        <v>5.24</v>
      </c>
      <c r="F13" s="1237"/>
      <c r="G13" s="1232">
        <f>G14/G12*100</f>
        <v>3.6047322723351143</v>
      </c>
      <c r="H13" s="1232">
        <f>H14/H12*100</f>
        <v>1.8851198769999522</v>
      </c>
      <c r="I13" s="1232">
        <f>I14/I12*100</f>
        <v>1.8851198769999522</v>
      </c>
      <c r="J13" s="1232">
        <f>J14/J12*100</f>
        <v>3.7706241291500504</v>
      </c>
      <c r="K13" s="1244" t="e">
        <f>K14/K12*100</f>
        <v>#DIV/0!</v>
      </c>
    </row>
    <row r="14" spans="1:11" ht="13.8" thickBot="1">
      <c r="A14" s="1229" t="s">
        <v>143</v>
      </c>
      <c r="B14" s="1226" t="s">
        <v>127</v>
      </c>
      <c r="C14" s="1233">
        <f>557.56*0.05</f>
        <v>27.878</v>
      </c>
      <c r="D14" s="1234">
        <f>637.66*0.05</f>
        <v>31.882999999999999</v>
      </c>
      <c r="E14" s="1233">
        <v>39</v>
      </c>
      <c r="F14" s="1239"/>
      <c r="G14" s="1233">
        <f>785.5*0.05</f>
        <v>39.275000000000006</v>
      </c>
      <c r="H14" s="1234">
        <f>392.35*0.05</f>
        <v>19.617500000000003</v>
      </c>
      <c r="I14" s="1234">
        <f>392.35*0.05</f>
        <v>19.617500000000003</v>
      </c>
      <c r="J14" s="1233">
        <f>784.78*0.05</f>
        <v>39.239000000000004</v>
      </c>
      <c r="K14" s="1245"/>
    </row>
    <row r="15" spans="1:11">
      <c r="A15" s="432"/>
    </row>
    <row r="17" spans="2:13" ht="15.6">
      <c r="B17" s="110" t="s">
        <v>377</v>
      </c>
      <c r="C17" s="433"/>
      <c r="D17" s="433"/>
      <c r="E17" s="456" t="s">
        <v>436</v>
      </c>
      <c r="F17" s="433"/>
      <c r="G17" s="433"/>
      <c r="J17" s="434"/>
      <c r="L17" s="435"/>
      <c r="M17" s="435"/>
    </row>
    <row r="18" spans="2:13">
      <c r="B18" s="110" t="s">
        <v>378</v>
      </c>
    </row>
    <row r="19" spans="2:13">
      <c r="B19" s="110" t="s">
        <v>379</v>
      </c>
    </row>
  </sheetData>
  <mergeCells count="3">
    <mergeCell ref="A3:J3"/>
    <mergeCell ref="A4:J4"/>
    <mergeCell ref="A5:J5"/>
  </mergeCells>
  <phoneticPr fontId="4" type="noConversion"/>
  <pageMargins left="0.39370078740157483" right="0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S35"/>
  <sheetViews>
    <sheetView zoomScale="80" zoomScaleNormal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6" sqref="R6"/>
    </sheetView>
  </sheetViews>
  <sheetFormatPr defaultColWidth="9.33203125" defaultRowHeight="13.2"/>
  <cols>
    <col min="1" max="1" width="6.44140625" style="459" customWidth="1"/>
    <col min="2" max="2" width="61.6640625" style="459" customWidth="1"/>
    <col min="3" max="3" width="14" style="464" bestFit="1" customWidth="1"/>
    <col min="4" max="4" width="11" style="464" bestFit="1" customWidth="1"/>
    <col min="5" max="6" width="15.44140625" style="464" customWidth="1"/>
    <col min="7" max="7" width="14.33203125" style="464" customWidth="1"/>
    <col min="8" max="8" width="16.109375" style="464" customWidth="1"/>
    <col min="9" max="9" width="14" style="464" customWidth="1"/>
    <col min="10" max="13" width="0" style="459" hidden="1" customWidth="1"/>
    <col min="14" max="14" width="13.44140625" style="459" customWidth="1"/>
    <col min="15" max="15" width="13.6640625" style="464" customWidth="1"/>
    <col min="16" max="16" width="14.21875" style="459" customWidth="1"/>
    <col min="17" max="16384" width="9.33203125" style="459"/>
  </cols>
  <sheetData>
    <row r="1" spans="1:19" ht="15.6">
      <c r="A1" s="1690" t="s">
        <v>383</v>
      </c>
      <c r="B1" s="1690"/>
      <c r="C1" s="1690"/>
      <c r="D1" s="1690"/>
      <c r="E1" s="1690"/>
      <c r="F1" s="1690"/>
      <c r="G1" s="1690"/>
      <c r="H1" s="1690"/>
      <c r="I1" s="1690"/>
      <c r="N1" s="484"/>
      <c r="O1" s="484" t="s">
        <v>195</v>
      </c>
      <c r="P1" s="484"/>
    </row>
    <row r="2" spans="1:19">
      <c r="A2" s="485"/>
      <c r="C2" s="486"/>
      <c r="D2" s="486"/>
      <c r="E2" s="486"/>
      <c r="F2" s="486"/>
      <c r="G2" s="486"/>
      <c r="H2" s="486"/>
      <c r="I2" s="486"/>
      <c r="O2" s="486"/>
    </row>
    <row r="3" spans="1:19" ht="21.6" customHeight="1">
      <c r="A3" s="1692" t="s">
        <v>199</v>
      </c>
      <c r="B3" s="1692"/>
      <c r="C3" s="1692"/>
      <c r="D3" s="1692"/>
      <c r="E3" s="1692"/>
      <c r="F3" s="1692"/>
      <c r="G3" s="1692"/>
      <c r="H3" s="1692"/>
      <c r="I3" s="1692"/>
      <c r="O3" s="459"/>
    </row>
    <row r="4" spans="1:19" ht="17.100000000000001" customHeight="1" thickBot="1">
      <c r="B4" s="462"/>
      <c r="I4" s="487"/>
      <c r="O4" s="488" t="s">
        <v>200</v>
      </c>
      <c r="P4" s="488"/>
    </row>
    <row r="5" spans="1:19" ht="16.350000000000001" customHeight="1">
      <c r="A5" s="1693" t="s">
        <v>196</v>
      </c>
      <c r="B5" s="1695" t="s">
        <v>197</v>
      </c>
      <c r="C5" s="1697" t="s">
        <v>446</v>
      </c>
      <c r="D5" s="1697" t="s">
        <v>450</v>
      </c>
      <c r="E5" s="1697" t="s">
        <v>451</v>
      </c>
      <c r="F5" s="1701" t="s">
        <v>452</v>
      </c>
      <c r="G5" s="1697" t="s">
        <v>453</v>
      </c>
      <c r="H5" s="1705" t="s">
        <v>454</v>
      </c>
      <c r="I5" s="1699" t="s">
        <v>455</v>
      </c>
      <c r="J5" s="489"/>
      <c r="K5" s="489"/>
      <c r="L5" s="489"/>
      <c r="M5" s="489"/>
      <c r="N5" s="1703" t="s">
        <v>456</v>
      </c>
      <c r="O5" s="1703" t="s">
        <v>457</v>
      </c>
      <c r="P5" s="1703" t="s">
        <v>447</v>
      </c>
    </row>
    <row r="6" spans="1:19" ht="65.25" customHeight="1" thickBot="1">
      <c r="A6" s="1694"/>
      <c r="B6" s="1696"/>
      <c r="C6" s="1698"/>
      <c r="D6" s="1698"/>
      <c r="E6" s="1698"/>
      <c r="F6" s="1702"/>
      <c r="G6" s="1698"/>
      <c r="H6" s="1706"/>
      <c r="I6" s="1700"/>
      <c r="J6" s="490"/>
      <c r="K6" s="490"/>
      <c r="L6" s="490"/>
      <c r="M6" s="490"/>
      <c r="N6" s="1704"/>
      <c r="O6" s="1704"/>
      <c r="P6" s="1704"/>
    </row>
    <row r="7" spans="1:19" ht="13.8" thickBot="1">
      <c r="A7" s="1358">
        <v>1</v>
      </c>
      <c r="B7" s="1359">
        <v>2</v>
      </c>
      <c r="C7" s="1320">
        <v>3</v>
      </c>
      <c r="D7" s="1321">
        <v>4</v>
      </c>
      <c r="E7" s="1321">
        <v>5</v>
      </c>
      <c r="F7" s="1321">
        <v>6</v>
      </c>
      <c r="G7" s="1321">
        <v>7</v>
      </c>
      <c r="H7" s="1319">
        <v>8</v>
      </c>
      <c r="I7" s="1322">
        <v>9</v>
      </c>
      <c r="J7" s="1323" t="e">
        <f>#REF!+1</f>
        <v>#REF!</v>
      </c>
      <c r="K7" s="489"/>
      <c r="L7" s="489"/>
      <c r="M7" s="489"/>
      <c r="N7" s="1324">
        <v>10</v>
      </c>
      <c r="O7" s="1325">
        <v>11</v>
      </c>
      <c r="P7" s="1325">
        <v>12</v>
      </c>
    </row>
    <row r="8" spans="1:19">
      <c r="A8" s="1360" t="s">
        <v>130</v>
      </c>
      <c r="B8" s="1361" t="s">
        <v>201</v>
      </c>
      <c r="C8" s="1333"/>
      <c r="D8" s="1334"/>
      <c r="E8" s="1335"/>
      <c r="F8" s="1335"/>
      <c r="G8" s="1336"/>
      <c r="H8" s="1337"/>
      <c r="I8" s="1338"/>
      <c r="J8" s="491"/>
      <c r="K8" s="491"/>
      <c r="L8" s="491"/>
      <c r="M8" s="491"/>
      <c r="N8" s="1326"/>
      <c r="O8" s="1327"/>
      <c r="P8" s="1327"/>
    </row>
    <row r="9" spans="1:19" ht="15.75" customHeight="1">
      <c r="A9" s="1360" t="s">
        <v>131</v>
      </c>
      <c r="B9" s="1361" t="s">
        <v>202</v>
      </c>
      <c r="C9" s="1339">
        <v>12.13</v>
      </c>
      <c r="D9" s="1339">
        <v>10.785</v>
      </c>
      <c r="E9" s="1340">
        <v>12.157</v>
      </c>
      <c r="F9" s="1340">
        <v>8.4</v>
      </c>
      <c r="G9" s="1341">
        <v>4.4989999999999997</v>
      </c>
      <c r="H9" s="1342">
        <v>4.7039999999999997</v>
      </c>
      <c r="I9" s="1343">
        <f>G9+H9</f>
        <v>9.2029999999999994</v>
      </c>
      <c r="J9" s="491"/>
      <c r="K9" s="491"/>
      <c r="L9" s="491"/>
      <c r="M9" s="491"/>
      <c r="N9" s="715"/>
      <c r="O9" s="1328"/>
      <c r="P9" s="1328"/>
    </row>
    <row r="10" spans="1:19" ht="15.75" customHeight="1">
      <c r="A10" s="1360" t="s">
        <v>189</v>
      </c>
      <c r="B10" s="1361" t="s">
        <v>203</v>
      </c>
      <c r="C10" s="1344"/>
      <c r="D10" s="1344"/>
      <c r="E10" s="1345"/>
      <c r="F10" s="1345"/>
      <c r="G10" s="1346"/>
      <c r="H10" s="1347"/>
      <c r="I10" s="1348"/>
      <c r="J10" s="491"/>
      <c r="K10" s="491"/>
      <c r="L10" s="491"/>
      <c r="M10" s="491"/>
      <c r="N10" s="715"/>
      <c r="O10" s="1328"/>
      <c r="P10" s="1328"/>
    </row>
    <row r="11" spans="1:19" ht="15.75" customHeight="1">
      <c r="A11" s="1360" t="s">
        <v>204</v>
      </c>
      <c r="B11" s="1361" t="s">
        <v>205</v>
      </c>
      <c r="C11" s="1344"/>
      <c r="D11" s="1344"/>
      <c r="E11" s="1345"/>
      <c r="F11" s="1345"/>
      <c r="G11" s="1346"/>
      <c r="H11" s="1347"/>
      <c r="I11" s="1348"/>
      <c r="J11" s="491"/>
      <c r="K11" s="491"/>
      <c r="L11" s="491"/>
      <c r="M11" s="491"/>
      <c r="N11" s="715"/>
      <c r="O11" s="1328"/>
      <c r="P11" s="1328"/>
    </row>
    <row r="12" spans="1:19" ht="15.75" customHeight="1">
      <c r="A12" s="1360" t="s">
        <v>182</v>
      </c>
      <c r="B12" s="1361" t="s">
        <v>206</v>
      </c>
      <c r="C12" s="1339">
        <f t="shared" ref="C12:H12" si="0">C9</f>
        <v>12.13</v>
      </c>
      <c r="D12" s="1339">
        <f t="shared" si="0"/>
        <v>10.785</v>
      </c>
      <c r="E12" s="1340">
        <f t="shared" si="0"/>
        <v>12.157</v>
      </c>
      <c r="F12" s="1340">
        <f t="shared" si="0"/>
        <v>8.4</v>
      </c>
      <c r="G12" s="1341">
        <f t="shared" si="0"/>
        <v>4.4989999999999997</v>
      </c>
      <c r="H12" s="1342">
        <f t="shared" si="0"/>
        <v>4.7039999999999997</v>
      </c>
      <c r="I12" s="1343">
        <f>G12+H12</f>
        <v>9.2029999999999994</v>
      </c>
      <c r="J12" s="718">
        <f>J8-J24</f>
        <v>0</v>
      </c>
      <c r="K12" s="492">
        <f>K8-K24</f>
        <v>0</v>
      </c>
      <c r="L12" s="492">
        <f>L8-L24</f>
        <v>0</v>
      </c>
      <c r="M12" s="502">
        <f>M8-M24</f>
        <v>0</v>
      </c>
      <c r="N12" s="716"/>
      <c r="O12" s="1328"/>
      <c r="P12" s="1328"/>
    </row>
    <row r="13" spans="1:19" ht="15.75" customHeight="1">
      <c r="A13" s="1360" t="s">
        <v>132</v>
      </c>
      <c r="B13" s="1361" t="s">
        <v>207</v>
      </c>
      <c r="C13" s="1339">
        <v>0.37</v>
      </c>
      <c r="D13" s="1339">
        <v>0.108</v>
      </c>
      <c r="E13" s="1340">
        <v>0.372</v>
      </c>
      <c r="F13" s="1340">
        <v>0.35</v>
      </c>
      <c r="G13" s="1341">
        <v>3.7999999999999999E-2</v>
      </c>
      <c r="H13" s="1342">
        <v>3.7999999999999999E-2</v>
      </c>
      <c r="I13" s="1343">
        <f>G13+H13</f>
        <v>7.5999999999999998E-2</v>
      </c>
      <c r="J13" s="718" t="e">
        <f>(#REF!-#REF!+J11)*(J14/100)</f>
        <v>#REF!</v>
      </c>
      <c r="K13" s="492" t="e">
        <f>(#REF!-#REF!+K11)*(K14/100)</f>
        <v>#REF!</v>
      </c>
      <c r="L13" s="492" t="e">
        <f>(#REF!-#REF!+L11)*(L14/100)</f>
        <v>#REF!</v>
      </c>
      <c r="M13" s="502" t="e">
        <f>(#REF!-#REF!+M11)*(M14/100)</f>
        <v>#REF!</v>
      </c>
      <c r="N13" s="716"/>
      <c r="O13" s="1328"/>
      <c r="P13" s="1328"/>
      <c r="S13" s="459" t="s">
        <v>384</v>
      </c>
    </row>
    <row r="14" spans="1:19" ht="15.75" customHeight="1">
      <c r="A14" s="1360"/>
      <c r="B14" s="1362" t="s">
        <v>208</v>
      </c>
      <c r="C14" s="1344">
        <f>C13/C12*100</f>
        <v>3.0502885408079141</v>
      </c>
      <c r="D14" s="1344">
        <f>D13/D12*100</f>
        <v>1.0013908205841446</v>
      </c>
      <c r="E14" s="1345">
        <f>E13/E12*100</f>
        <v>3.0599654520029613</v>
      </c>
      <c r="F14" s="1345">
        <f>F13/F12*100</f>
        <v>4.1666666666666661</v>
      </c>
      <c r="G14" s="1346">
        <f>(G13/G12*100)</f>
        <v>0.84463214047566137</v>
      </c>
      <c r="H14" s="1346">
        <f>(H13/H12*100)</f>
        <v>0.80782312925170074</v>
      </c>
      <c r="I14" s="1349">
        <f>(I13/I12*100)</f>
        <v>0.82581766815168978</v>
      </c>
      <c r="J14" s="719">
        <v>9.23</v>
      </c>
      <c r="K14" s="493">
        <v>9.23</v>
      </c>
      <c r="L14" s="493">
        <v>9.23</v>
      </c>
      <c r="M14" s="503">
        <v>9.23</v>
      </c>
      <c r="N14" s="717"/>
      <c r="O14" s="1328"/>
      <c r="P14" s="1328"/>
    </row>
    <row r="15" spans="1:19" ht="26.4">
      <c r="A15" s="1360" t="s">
        <v>133</v>
      </c>
      <c r="B15" s="1363" t="s">
        <v>209</v>
      </c>
      <c r="C15" s="1344"/>
      <c r="D15" s="1344"/>
      <c r="E15" s="1345"/>
      <c r="F15" s="1345"/>
      <c r="G15" s="1346"/>
      <c r="H15" s="1347"/>
      <c r="I15" s="1348"/>
      <c r="J15" s="491"/>
      <c r="K15" s="491"/>
      <c r="L15" s="491"/>
      <c r="M15" s="491"/>
      <c r="N15" s="715"/>
      <c r="O15" s="1328"/>
      <c r="P15" s="1328"/>
    </row>
    <row r="16" spans="1:19" ht="26.4">
      <c r="A16" s="1360"/>
      <c r="B16" s="1361" t="s">
        <v>210</v>
      </c>
      <c r="C16" s="1344"/>
      <c r="D16" s="1344"/>
      <c r="E16" s="1345"/>
      <c r="F16" s="1345"/>
      <c r="G16" s="1346"/>
      <c r="H16" s="1347"/>
      <c r="I16" s="1348"/>
      <c r="J16" s="491"/>
      <c r="K16" s="491"/>
      <c r="L16" s="491"/>
      <c r="M16" s="491"/>
      <c r="N16" s="715"/>
      <c r="O16" s="1328"/>
      <c r="P16" s="1328"/>
    </row>
    <row r="17" spans="1:16" ht="15.75" customHeight="1">
      <c r="A17" s="1360"/>
      <c r="B17" s="1361" t="s">
        <v>211</v>
      </c>
      <c r="C17" s="1344"/>
      <c r="D17" s="1344"/>
      <c r="E17" s="1345"/>
      <c r="F17" s="1345"/>
      <c r="G17" s="1346"/>
      <c r="H17" s="1347"/>
      <c r="I17" s="1348"/>
      <c r="J17" s="491"/>
      <c r="K17" s="491"/>
      <c r="L17" s="491"/>
      <c r="M17" s="491"/>
      <c r="N17" s="715"/>
      <c r="O17" s="1328"/>
      <c r="P17" s="1328"/>
    </row>
    <row r="18" spans="1:16" ht="15.75" customHeight="1">
      <c r="A18" s="1360"/>
      <c r="B18" s="1361" t="s">
        <v>212</v>
      </c>
      <c r="C18" s="1344"/>
      <c r="D18" s="1344"/>
      <c r="E18" s="1345"/>
      <c r="F18" s="1345"/>
      <c r="G18" s="1346"/>
      <c r="H18" s="1347"/>
      <c r="I18" s="1348"/>
      <c r="J18" s="491"/>
      <c r="K18" s="491"/>
      <c r="L18" s="491"/>
      <c r="M18" s="491"/>
      <c r="N18" s="715"/>
      <c r="O18" s="1328"/>
      <c r="P18" s="1328"/>
    </row>
    <row r="19" spans="1:16" ht="15.75" customHeight="1">
      <c r="A19" s="1360"/>
      <c r="B19" s="1361" t="s">
        <v>213</v>
      </c>
      <c r="C19" s="1344"/>
      <c r="D19" s="1344"/>
      <c r="E19" s="1345"/>
      <c r="F19" s="1345"/>
      <c r="G19" s="1350"/>
      <c r="H19" s="1351"/>
      <c r="I19" s="1343"/>
      <c r="J19" s="491"/>
      <c r="K19" s="491"/>
      <c r="L19" s="491"/>
      <c r="M19" s="491"/>
      <c r="N19" s="715"/>
      <c r="O19" s="1328"/>
      <c r="P19" s="1328"/>
    </row>
    <row r="20" spans="1:16" ht="24.75" customHeight="1">
      <c r="A20" s="1360"/>
      <c r="B20" s="1361" t="s">
        <v>214</v>
      </c>
      <c r="C20" s="1344"/>
      <c r="D20" s="1344"/>
      <c r="E20" s="1345"/>
      <c r="F20" s="1345"/>
      <c r="G20" s="1346"/>
      <c r="H20" s="1347"/>
      <c r="I20" s="1348"/>
      <c r="J20" s="491"/>
      <c r="K20" s="491"/>
      <c r="L20" s="491"/>
      <c r="M20" s="491"/>
      <c r="N20" s="715"/>
      <c r="O20" s="1328"/>
      <c r="P20" s="1328"/>
    </row>
    <row r="21" spans="1:16" ht="15.75" customHeight="1">
      <c r="A21" s="1360" t="s">
        <v>141</v>
      </c>
      <c r="B21" s="1361" t="s">
        <v>215</v>
      </c>
      <c r="C21" s="1339">
        <f t="shared" ref="C21:I21" si="1">C23+C24</f>
        <v>11.76</v>
      </c>
      <c r="D21" s="1339">
        <f t="shared" si="1"/>
        <v>10.675000000000001</v>
      </c>
      <c r="E21" s="1340">
        <f t="shared" si="1"/>
        <v>11.785</v>
      </c>
      <c r="F21" s="1340">
        <f t="shared" si="1"/>
        <v>8.0500000000000007</v>
      </c>
      <c r="G21" s="1340">
        <f t="shared" si="1"/>
        <v>4.4610000000000003</v>
      </c>
      <c r="H21" s="1341">
        <f t="shared" si="1"/>
        <v>4.6660000000000004</v>
      </c>
      <c r="I21" s="1352">
        <f t="shared" si="1"/>
        <v>9.1269999999999989</v>
      </c>
      <c r="J21" s="491"/>
      <c r="K21" s="491"/>
      <c r="L21" s="491"/>
      <c r="M21" s="491"/>
      <c r="N21" s="715"/>
      <c r="O21" s="1328"/>
      <c r="P21" s="1328"/>
    </row>
    <row r="22" spans="1:16" ht="15.75" customHeight="1">
      <c r="A22" s="1360"/>
      <c r="B22" s="1361" t="s">
        <v>216</v>
      </c>
      <c r="C22" s="1344"/>
      <c r="D22" s="1344"/>
      <c r="E22" s="1345"/>
      <c r="F22" s="1345"/>
      <c r="G22" s="1346"/>
      <c r="H22" s="1347"/>
      <c r="I22" s="1348"/>
      <c r="J22" s="491"/>
      <c r="K22" s="491"/>
      <c r="L22" s="491"/>
      <c r="M22" s="491"/>
      <c r="N22" s="715"/>
      <c r="O22" s="1328"/>
      <c r="P22" s="1328"/>
    </row>
    <row r="23" spans="1:16" ht="15.75" customHeight="1">
      <c r="A23" s="1360" t="s">
        <v>184</v>
      </c>
      <c r="B23" s="1361" t="s">
        <v>418</v>
      </c>
      <c r="C23" s="1339">
        <v>5.593</v>
      </c>
      <c r="D23" s="1339">
        <v>7.9390000000000001</v>
      </c>
      <c r="E23" s="1340">
        <v>6.9850000000000003</v>
      </c>
      <c r="F23" s="1340">
        <v>5.05</v>
      </c>
      <c r="G23" s="1341">
        <v>2.5209999999999999</v>
      </c>
      <c r="H23" s="1342">
        <v>2.6859999999999999</v>
      </c>
      <c r="I23" s="1352">
        <f>G23+H23</f>
        <v>5.2069999999999999</v>
      </c>
      <c r="J23" s="491"/>
      <c r="K23" s="491"/>
      <c r="L23" s="491"/>
      <c r="M23" s="491"/>
      <c r="N23" s="715"/>
      <c r="O23" s="1328"/>
      <c r="P23" s="1328"/>
    </row>
    <row r="24" spans="1:16" ht="15.75" customHeight="1">
      <c r="A24" s="1360" t="s">
        <v>185</v>
      </c>
      <c r="B24" s="1361" t="s">
        <v>217</v>
      </c>
      <c r="C24" s="1339">
        <v>6.1669999999999998</v>
      </c>
      <c r="D24" s="1339">
        <v>2.7360000000000002</v>
      </c>
      <c r="E24" s="1340">
        <v>4.8</v>
      </c>
      <c r="F24" s="1340">
        <v>3</v>
      </c>
      <c r="G24" s="1341">
        <v>1.94</v>
      </c>
      <c r="H24" s="1342">
        <v>1.98</v>
      </c>
      <c r="I24" s="1343">
        <f>H24+G24</f>
        <v>3.92</v>
      </c>
      <c r="J24" s="720">
        <f>J21</f>
        <v>0</v>
      </c>
      <c r="K24" s="494">
        <f>K21</f>
        <v>0</v>
      </c>
      <c r="L24" s="494">
        <f>L21</f>
        <v>0</v>
      </c>
      <c r="M24" s="494">
        <f>M21</f>
        <v>0</v>
      </c>
      <c r="N24" s="1329"/>
      <c r="O24" s="1330"/>
      <c r="P24" s="1330"/>
    </row>
    <row r="25" spans="1:16" ht="15" customHeight="1" thickBot="1">
      <c r="A25" s="1364"/>
      <c r="B25" s="1365"/>
      <c r="C25" s="1353"/>
      <c r="D25" s="1353"/>
      <c r="E25" s="1354"/>
      <c r="F25" s="1354"/>
      <c r="G25" s="1355"/>
      <c r="H25" s="1356"/>
      <c r="I25" s="1357"/>
      <c r="J25" s="490"/>
      <c r="K25" s="490"/>
      <c r="L25" s="490"/>
      <c r="M25" s="490"/>
      <c r="N25" s="1331"/>
      <c r="O25" s="1332"/>
      <c r="P25" s="1332"/>
    </row>
    <row r="26" spans="1:16" ht="15.6">
      <c r="C26" s="495"/>
      <c r="D26" s="495"/>
      <c r="E26" s="495"/>
      <c r="F26" s="495"/>
      <c r="G26" s="495"/>
      <c r="H26" s="495"/>
      <c r="I26" s="495"/>
      <c r="O26" s="495"/>
      <c r="P26" s="496"/>
    </row>
    <row r="27" spans="1:16">
      <c r="B27" s="471" t="s">
        <v>381</v>
      </c>
    </row>
    <row r="28" spans="1:16" ht="18.75" customHeight="1">
      <c r="B28" s="472"/>
      <c r="C28" s="472"/>
      <c r="D28" s="459"/>
      <c r="E28" s="473"/>
      <c r="F28" s="473"/>
      <c r="G28" s="473"/>
      <c r="H28" s="473"/>
      <c r="I28" s="459"/>
      <c r="O28" s="459"/>
    </row>
    <row r="29" spans="1:16">
      <c r="B29" s="471"/>
    </row>
    <row r="30" spans="1:16">
      <c r="B30" s="471" t="s">
        <v>377</v>
      </c>
      <c r="C30" s="497"/>
      <c r="D30" s="497"/>
      <c r="E30" s="497"/>
      <c r="F30" s="497"/>
      <c r="G30" s="476" t="s">
        <v>436</v>
      </c>
      <c r="H30" s="497"/>
      <c r="I30" s="497"/>
      <c r="O30" s="497"/>
    </row>
    <row r="31" spans="1:16">
      <c r="B31" s="110" t="s">
        <v>378</v>
      </c>
    </row>
    <row r="32" spans="1:16" s="501" customFormat="1">
      <c r="A32" s="498"/>
      <c r="B32" s="110" t="s">
        <v>379</v>
      </c>
      <c r="C32" s="476"/>
      <c r="D32" s="499"/>
      <c r="E32" s="500"/>
      <c r="F32" s="500"/>
      <c r="G32" s="476"/>
      <c r="H32" s="476"/>
    </row>
    <row r="33" spans="2:2">
      <c r="B33" s="471"/>
    </row>
    <row r="34" spans="2:2">
      <c r="B34" s="110"/>
    </row>
    <row r="35" spans="2:2">
      <c r="B35" s="110"/>
    </row>
  </sheetData>
  <mergeCells count="14">
    <mergeCell ref="O5:O6"/>
    <mergeCell ref="P5:P6"/>
    <mergeCell ref="N5:N6"/>
    <mergeCell ref="D5:D6"/>
    <mergeCell ref="E5:E6"/>
    <mergeCell ref="G5:G6"/>
    <mergeCell ref="H5:H6"/>
    <mergeCell ref="A1:I1"/>
    <mergeCell ref="A3:I3"/>
    <mergeCell ref="A5:A6"/>
    <mergeCell ref="B5:B6"/>
    <mergeCell ref="C5:C6"/>
    <mergeCell ref="I5:I6"/>
    <mergeCell ref="F5:F6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63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M40"/>
  <sheetViews>
    <sheetView workbookViewId="0">
      <selection activeCell="O22" sqref="O22"/>
    </sheetView>
  </sheetViews>
  <sheetFormatPr defaultRowHeight="13.2"/>
  <cols>
    <col min="1" max="1" width="5.109375" customWidth="1"/>
    <col min="2" max="2" width="32.109375" customWidth="1"/>
    <col min="4" max="4" width="8.109375" customWidth="1"/>
    <col min="5" max="6" width="10.6640625" customWidth="1"/>
    <col min="7" max="7" width="10.5546875" customWidth="1"/>
    <col min="8" max="8" width="10.6640625" customWidth="1"/>
    <col min="9" max="9" width="10.33203125" customWidth="1"/>
  </cols>
  <sheetData>
    <row r="1" spans="1:10" s="6" customFormat="1" ht="24.6">
      <c r="A1" s="426" t="s">
        <v>359</v>
      </c>
      <c r="B1" s="10"/>
      <c r="C1" s="37"/>
      <c r="D1" s="37"/>
      <c r="E1" s="37"/>
      <c r="F1" s="37"/>
      <c r="G1" s="37"/>
      <c r="H1" s="14" t="s">
        <v>144</v>
      </c>
    </row>
    <row r="2" spans="1:10" s="6" customFormat="1" ht="13.8">
      <c r="A2" s="5"/>
    </row>
    <row r="3" spans="1:10" s="6" customFormat="1">
      <c r="A3" s="1764" t="s">
        <v>145</v>
      </c>
      <c r="B3" s="1764"/>
      <c r="C3" s="1764"/>
      <c r="D3" s="1764"/>
      <c r="E3" s="1764"/>
      <c r="F3" s="1764"/>
      <c r="G3" s="1764"/>
      <c r="H3" s="1764"/>
      <c r="I3" s="1764"/>
    </row>
    <row r="4" spans="1:10" s="6" customFormat="1">
      <c r="A4" s="1764" t="s">
        <v>444</v>
      </c>
      <c r="B4" s="1764"/>
      <c r="C4" s="1764"/>
      <c r="D4" s="1764"/>
      <c r="E4" s="1764"/>
      <c r="F4" s="1764"/>
      <c r="G4" s="1764"/>
      <c r="H4" s="1764"/>
      <c r="I4" s="1764"/>
    </row>
    <row r="5" spans="1:10" s="6" customFormat="1" ht="13.8">
      <c r="A5" s="1765"/>
      <c r="B5" s="1765"/>
      <c r="C5" s="1765"/>
      <c r="D5" s="1765"/>
      <c r="E5" s="1765"/>
      <c r="F5" s="1765"/>
      <c r="G5" s="1765"/>
      <c r="H5" s="1765"/>
      <c r="I5" s="1765"/>
    </row>
    <row r="6" spans="1:10" s="6" customFormat="1" ht="13.8" thickBot="1">
      <c r="B6" s="132"/>
      <c r="C6" s="132"/>
      <c r="D6" s="132"/>
      <c r="E6" s="132"/>
      <c r="F6" s="132"/>
      <c r="G6" s="132"/>
      <c r="H6" s="132" t="s">
        <v>95</v>
      </c>
      <c r="I6" s="132"/>
    </row>
    <row r="7" spans="1:10" ht="41.4" thickBot="1">
      <c r="A7" s="727" t="s">
        <v>1</v>
      </c>
      <c r="B7" s="727" t="s">
        <v>146</v>
      </c>
      <c r="C7" s="732" t="s">
        <v>466</v>
      </c>
      <c r="D7" s="732" t="s">
        <v>450</v>
      </c>
      <c r="E7" s="732" t="s">
        <v>468</v>
      </c>
      <c r="F7" s="732" t="s">
        <v>485</v>
      </c>
      <c r="G7" s="732" t="s">
        <v>486</v>
      </c>
      <c r="H7" s="732" t="s">
        <v>487</v>
      </c>
      <c r="I7" s="732" t="s">
        <v>455</v>
      </c>
      <c r="J7" s="955" t="s">
        <v>470</v>
      </c>
    </row>
    <row r="8" spans="1:10" ht="13.8" thickBot="1">
      <c r="A8" s="1217">
        <v>1</v>
      </c>
      <c r="B8" s="1217">
        <v>2</v>
      </c>
      <c r="C8" s="1217">
        <v>4</v>
      </c>
      <c r="D8" s="1223">
        <v>5</v>
      </c>
      <c r="E8" s="1223">
        <v>6</v>
      </c>
      <c r="F8" s="1223">
        <v>7</v>
      </c>
      <c r="G8" s="1223">
        <v>8</v>
      </c>
      <c r="H8" s="1223">
        <v>9</v>
      </c>
      <c r="I8" s="1223">
        <v>10</v>
      </c>
      <c r="J8" s="1216">
        <v>11</v>
      </c>
    </row>
    <row r="9" spans="1:10">
      <c r="A9" s="1766" t="s">
        <v>3</v>
      </c>
      <c r="B9" s="1218" t="s">
        <v>147</v>
      </c>
      <c r="C9" s="1220"/>
      <c r="D9" s="1220"/>
      <c r="E9" s="1220"/>
      <c r="F9" s="1220"/>
      <c r="G9" s="1220"/>
      <c r="H9" s="1220"/>
      <c r="I9" s="1220"/>
      <c r="J9" s="1215"/>
    </row>
    <row r="10" spans="1:10">
      <c r="A10" s="1762"/>
      <c r="B10" s="1219" t="s">
        <v>148</v>
      </c>
      <c r="C10" s="1221"/>
      <c r="D10" s="1221"/>
      <c r="E10" s="1221"/>
      <c r="F10" s="1221"/>
      <c r="G10" s="1221"/>
      <c r="H10" s="1221"/>
      <c r="I10" s="1221"/>
      <c r="J10" s="956"/>
    </row>
    <row r="11" spans="1:10">
      <c r="A11" s="1762"/>
      <c r="B11" s="1219" t="s">
        <v>149</v>
      </c>
      <c r="C11" s="1221"/>
      <c r="D11" s="1221"/>
      <c r="E11" s="1221"/>
      <c r="F11" s="1221"/>
      <c r="G11" s="1221"/>
      <c r="H11" s="1221"/>
      <c r="I11" s="1221"/>
      <c r="J11" s="956"/>
    </row>
    <row r="12" spans="1:10">
      <c r="A12" s="1246" t="s">
        <v>5</v>
      </c>
      <c r="B12" s="1219" t="s">
        <v>150</v>
      </c>
      <c r="C12" s="1221">
        <v>1.57</v>
      </c>
      <c r="D12" s="1221">
        <f>'1.16сбыт'!I46</f>
        <v>2.5000000000000004</v>
      </c>
      <c r="E12" s="1222">
        <v>0</v>
      </c>
      <c r="F12" s="1221">
        <f>'1.16передача и сбыт'!L46*0.05</f>
        <v>3</v>
      </c>
      <c r="G12" s="1221">
        <f>'1.16передача и сбыт'!M46*0.05</f>
        <v>0.64980000000000004</v>
      </c>
      <c r="H12" s="1221">
        <f>'1.16передача и сбыт'!N46*0.05</f>
        <v>0.64980000000000004</v>
      </c>
      <c r="I12" s="1221">
        <f>'1.16передача и сбыт'!R46*0.05</f>
        <v>1.2988008000000004</v>
      </c>
      <c r="J12" s="956"/>
    </row>
    <row r="13" spans="1:10">
      <c r="A13" s="1246"/>
      <c r="B13" s="1219" t="s">
        <v>148</v>
      </c>
      <c r="C13" s="1221"/>
      <c r="D13" s="1221"/>
      <c r="E13" s="1221"/>
      <c r="F13" s="1221"/>
      <c r="G13" s="1221"/>
      <c r="H13" s="1221"/>
      <c r="I13" s="1221"/>
      <c r="J13" s="956"/>
    </row>
    <row r="14" spans="1:10">
      <c r="A14" s="1246"/>
      <c r="B14" s="1219" t="s">
        <v>149</v>
      </c>
      <c r="C14" s="1221"/>
      <c r="D14" s="1221"/>
      <c r="E14" s="1221"/>
      <c r="F14" s="1221"/>
      <c r="G14" s="1221"/>
      <c r="H14" s="1221"/>
      <c r="I14" s="1221"/>
      <c r="J14" s="956"/>
    </row>
    <row r="15" spans="1:10">
      <c r="A15" s="1246" t="s">
        <v>8</v>
      </c>
      <c r="B15" s="1219" t="s">
        <v>151</v>
      </c>
      <c r="C15" s="1221"/>
      <c r="D15" s="1221"/>
      <c r="E15" s="1221"/>
      <c r="F15" s="1221"/>
      <c r="G15" s="1221"/>
      <c r="H15" s="1221"/>
      <c r="I15" s="1221"/>
      <c r="J15" s="956"/>
    </row>
    <row r="16" spans="1:10">
      <c r="A16" s="1246" t="s">
        <v>9</v>
      </c>
      <c r="B16" s="1219" t="s">
        <v>152</v>
      </c>
      <c r="C16" s="1221"/>
      <c r="D16" s="1221"/>
      <c r="E16" s="1221"/>
      <c r="F16" s="1221"/>
      <c r="G16" s="1221"/>
      <c r="H16" s="1221"/>
      <c r="I16" s="1221"/>
      <c r="J16" s="956"/>
    </row>
    <row r="17" spans="1:10">
      <c r="A17" s="1246" t="s">
        <v>10</v>
      </c>
      <c r="B17" s="1219" t="s">
        <v>153</v>
      </c>
      <c r="C17" s="1221"/>
      <c r="D17" s="1221"/>
      <c r="E17" s="1221"/>
      <c r="F17" s="1221"/>
      <c r="G17" s="1221"/>
      <c r="H17" s="1221"/>
      <c r="I17" s="1221"/>
      <c r="J17" s="956"/>
    </row>
    <row r="18" spans="1:10">
      <c r="A18" s="1246"/>
      <c r="B18" s="1219" t="s">
        <v>154</v>
      </c>
      <c r="C18" s="1221"/>
      <c r="D18" s="1221"/>
      <c r="E18" s="1221"/>
      <c r="F18" s="1221"/>
      <c r="G18" s="1221"/>
      <c r="H18" s="1221"/>
      <c r="I18" s="1221"/>
      <c r="J18" s="956"/>
    </row>
    <row r="19" spans="1:10">
      <c r="A19" s="1246"/>
      <c r="B19" s="1219" t="s">
        <v>155</v>
      </c>
      <c r="C19" s="1221"/>
      <c r="D19" s="1221"/>
      <c r="E19" s="1221"/>
      <c r="F19" s="1221"/>
      <c r="G19" s="1221"/>
      <c r="H19" s="1221"/>
      <c r="I19" s="1221"/>
      <c r="J19" s="956"/>
    </row>
    <row r="20" spans="1:10">
      <c r="A20" s="1246"/>
      <c r="B20" s="1219" t="s">
        <v>156</v>
      </c>
      <c r="C20" s="1221"/>
      <c r="D20" s="1221"/>
      <c r="E20" s="1221"/>
      <c r="F20" s="1221"/>
      <c r="G20" s="1221"/>
      <c r="H20" s="1221"/>
      <c r="I20" s="1221"/>
      <c r="J20" s="956"/>
    </row>
    <row r="21" spans="1:10">
      <c r="A21" s="1246" t="s">
        <v>14</v>
      </c>
      <c r="B21" s="1219" t="s">
        <v>157</v>
      </c>
      <c r="C21" s="1221">
        <f t="shared" ref="C21:I21" si="0">C12/0.8</f>
        <v>1.9624999999999999</v>
      </c>
      <c r="D21" s="1221">
        <f t="shared" si="0"/>
        <v>3.1250000000000004</v>
      </c>
      <c r="E21" s="1266">
        <v>0</v>
      </c>
      <c r="F21" s="1221">
        <f t="shared" si="0"/>
        <v>3.75</v>
      </c>
      <c r="G21" s="1221">
        <f t="shared" si="0"/>
        <v>0.81225000000000003</v>
      </c>
      <c r="H21" s="1221">
        <f t="shared" si="0"/>
        <v>0.81225000000000003</v>
      </c>
      <c r="I21" s="1221">
        <f t="shared" si="0"/>
        <v>1.6235010000000005</v>
      </c>
      <c r="J21" s="956"/>
    </row>
    <row r="22" spans="1:10">
      <c r="A22" s="1246" t="s">
        <v>16</v>
      </c>
      <c r="B22" s="1219" t="s">
        <v>158</v>
      </c>
      <c r="C22" s="1221"/>
      <c r="D22" s="1221"/>
      <c r="E22" s="1221"/>
      <c r="F22" s="1221"/>
      <c r="G22" s="1221"/>
      <c r="H22" s="1221"/>
      <c r="I22" s="1221"/>
      <c r="J22" s="956"/>
    </row>
    <row r="23" spans="1:10">
      <c r="A23" s="1246"/>
      <c r="B23" s="1219" t="s">
        <v>159</v>
      </c>
      <c r="C23" s="1221"/>
      <c r="D23" s="1221"/>
      <c r="E23" s="1221"/>
      <c r="F23" s="1221"/>
      <c r="G23" s="1221"/>
      <c r="H23" s="1221"/>
      <c r="I23" s="1221"/>
      <c r="J23" s="956"/>
    </row>
    <row r="24" spans="1:10">
      <c r="A24" s="1246"/>
      <c r="B24" s="1219" t="s">
        <v>160</v>
      </c>
      <c r="C24" s="1221">
        <v>0.31</v>
      </c>
      <c r="D24" s="1221">
        <f t="shared" ref="D24:I24" si="1">D21*0.2</f>
        <v>0.62500000000000011</v>
      </c>
      <c r="E24" s="1266">
        <f t="shared" si="1"/>
        <v>0</v>
      </c>
      <c r="F24" s="1221">
        <f t="shared" si="1"/>
        <v>0.75</v>
      </c>
      <c r="G24" s="1221">
        <f t="shared" si="1"/>
        <v>0.16245000000000001</v>
      </c>
      <c r="H24" s="1221">
        <f t="shared" si="1"/>
        <v>0.16245000000000001</v>
      </c>
      <c r="I24" s="1221">
        <f t="shared" si="1"/>
        <v>0.32470020000000011</v>
      </c>
      <c r="J24" s="956"/>
    </row>
    <row r="25" spans="1:10">
      <c r="A25" s="1246"/>
      <c r="B25" s="1219" t="s">
        <v>161</v>
      </c>
      <c r="C25" s="1221"/>
      <c r="D25" s="1221"/>
      <c r="E25" s="1221"/>
      <c r="F25" s="1221"/>
      <c r="G25" s="1221"/>
      <c r="H25" s="1221"/>
      <c r="I25" s="1221"/>
      <c r="J25" s="956"/>
    </row>
    <row r="26" spans="1:10">
      <c r="A26" s="1762"/>
      <c r="B26" s="1219" t="s">
        <v>162</v>
      </c>
      <c r="C26" s="1221"/>
      <c r="D26" s="1221"/>
      <c r="E26" s="1221"/>
      <c r="F26" s="1221"/>
      <c r="G26" s="1221"/>
      <c r="H26" s="1221"/>
      <c r="I26" s="1221"/>
      <c r="J26" s="956"/>
    </row>
    <row r="27" spans="1:10" ht="21" thickBot="1">
      <c r="A27" s="1763"/>
      <c r="B27" s="1247" t="s">
        <v>163</v>
      </c>
      <c r="C27" s="1248"/>
      <c r="D27" s="1248"/>
      <c r="E27" s="1248"/>
      <c r="F27" s="1248"/>
      <c r="G27" s="1248"/>
      <c r="H27" s="1248"/>
      <c r="I27" s="1248"/>
      <c r="J27" s="1249"/>
    </row>
    <row r="28" spans="1:10" s="110" customFormat="1" ht="13.8" thickBot="1">
      <c r="A28" s="1250" t="s">
        <v>18</v>
      </c>
      <c r="B28" s="1250" t="s">
        <v>164</v>
      </c>
      <c r="C28" s="1685">
        <f t="shared" ref="C28:I28" si="2">C12+C24</f>
        <v>1.8800000000000001</v>
      </c>
      <c r="D28" s="1685">
        <f t="shared" si="2"/>
        <v>3.1250000000000004</v>
      </c>
      <c r="E28" s="1267">
        <v>0</v>
      </c>
      <c r="F28" s="1685">
        <f t="shared" si="2"/>
        <v>3.75</v>
      </c>
      <c r="G28" s="1685">
        <f t="shared" si="2"/>
        <v>0.81225000000000003</v>
      </c>
      <c r="H28" s="1685">
        <f t="shared" si="2"/>
        <v>0.81225000000000003</v>
      </c>
      <c r="I28" s="1685">
        <f t="shared" si="2"/>
        <v>1.6235010000000005</v>
      </c>
      <c r="J28" s="1252"/>
    </row>
    <row r="29" spans="1:10" hidden="1">
      <c r="A29" s="952" t="s">
        <v>165</v>
      </c>
      <c r="B29" s="953" t="s">
        <v>166</v>
      </c>
      <c r="C29" s="954"/>
      <c r="D29" s="954"/>
      <c r="E29" s="954"/>
      <c r="F29" s="954"/>
      <c r="G29" s="954"/>
      <c r="H29" s="954"/>
      <c r="I29" s="131"/>
      <c r="J29" s="7"/>
    </row>
    <row r="30" spans="1:10" hidden="1">
      <c r="A30" s="8" t="s">
        <v>167</v>
      </c>
      <c r="B30" s="9" t="s">
        <v>168</v>
      </c>
      <c r="C30" s="36"/>
      <c r="D30" s="36"/>
      <c r="E30" s="36"/>
      <c r="F30" s="36"/>
      <c r="G30" s="36"/>
      <c r="H30" s="36"/>
      <c r="I30" s="131"/>
      <c r="J30" s="7"/>
    </row>
    <row r="31" spans="1:10" hidden="1">
      <c r="A31" s="8" t="s">
        <v>169</v>
      </c>
      <c r="B31" s="9" t="s">
        <v>170</v>
      </c>
      <c r="C31" s="36"/>
      <c r="D31" s="36"/>
      <c r="E31" s="36"/>
      <c r="F31" s="36"/>
      <c r="G31" s="36"/>
      <c r="H31" s="36"/>
      <c r="I31" s="131"/>
      <c r="J31" s="7"/>
    </row>
    <row r="32" spans="1:10" hidden="1">
      <c r="A32" s="8" t="s">
        <v>171</v>
      </c>
      <c r="B32" s="9" t="s">
        <v>172</v>
      </c>
      <c r="C32" s="36"/>
      <c r="D32" s="36"/>
      <c r="E32" s="36"/>
      <c r="F32" s="36"/>
      <c r="G32" s="36"/>
      <c r="H32" s="36"/>
      <c r="I32" s="131"/>
      <c r="J32" s="7"/>
    </row>
    <row r="33" spans="1:13" hidden="1">
      <c r="A33" s="8" t="s">
        <v>173</v>
      </c>
      <c r="B33" s="9" t="s">
        <v>174</v>
      </c>
      <c r="C33" s="36"/>
      <c r="D33" s="36"/>
      <c r="E33" s="36"/>
      <c r="F33" s="36"/>
      <c r="G33" s="36"/>
      <c r="H33" s="36"/>
      <c r="I33" s="131"/>
      <c r="J33" s="7"/>
    </row>
    <row r="34" spans="1:13" hidden="1">
      <c r="A34" s="8" t="s">
        <v>175</v>
      </c>
      <c r="B34" s="9" t="s">
        <v>176</v>
      </c>
      <c r="C34" s="36"/>
      <c r="D34" s="36"/>
      <c r="E34" s="36"/>
      <c r="F34" s="36"/>
      <c r="G34" s="36"/>
      <c r="H34" s="36"/>
      <c r="I34" s="131"/>
      <c r="J34" s="7"/>
    </row>
    <row r="36" spans="1:13" ht="17.25" customHeight="1">
      <c r="C36" s="16"/>
      <c r="D36" s="16"/>
      <c r="E36" s="16"/>
      <c r="F36" s="16"/>
      <c r="G36" s="16"/>
      <c r="H36" s="17"/>
      <c r="J36" s="16"/>
      <c r="L36" s="15"/>
      <c r="M36" s="15"/>
    </row>
    <row r="38" spans="1:13">
      <c r="B38" s="1313" t="s">
        <v>377</v>
      </c>
      <c r="G38" s="725" t="s">
        <v>436</v>
      </c>
    </row>
    <row r="39" spans="1:13">
      <c r="B39" s="1313" t="s">
        <v>378</v>
      </c>
    </row>
    <row r="40" spans="1:13">
      <c r="B40" s="1313" t="s">
        <v>379</v>
      </c>
    </row>
  </sheetData>
  <mergeCells count="5">
    <mergeCell ref="A26:A27"/>
    <mergeCell ref="A3:I3"/>
    <mergeCell ref="A4:I4"/>
    <mergeCell ref="A5:I5"/>
    <mergeCell ref="A9:A11"/>
  </mergeCells>
  <phoneticPr fontId="4" type="noConversion"/>
  <pageMargins left="0.78740157480314965" right="0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BA112"/>
  <sheetViews>
    <sheetView zoomScale="70" zoomScaleNormal="70" zoomScaleSheetLayoutView="8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A32" sqref="A32"/>
    </sheetView>
  </sheetViews>
  <sheetFormatPr defaultColWidth="9.109375" defaultRowHeight="13.2"/>
  <cols>
    <col min="1" max="1" width="5.44140625" style="19" customWidth="1"/>
    <col min="2" max="2" width="46.44140625" style="27" customWidth="1"/>
    <col min="3" max="3" width="15.88671875" style="21" customWidth="1"/>
    <col min="4" max="4" width="7.33203125" style="22" customWidth="1"/>
    <col min="5" max="5" width="6.109375" style="22" customWidth="1"/>
    <col min="6" max="6" width="8.88671875" style="22" customWidth="1"/>
    <col min="7" max="8" width="7.6640625" style="22" customWidth="1"/>
    <col min="9" max="9" width="7" style="22" customWidth="1"/>
    <col min="10" max="10" width="5.33203125" style="22" customWidth="1"/>
    <col min="11" max="12" width="7.6640625" style="22" customWidth="1"/>
    <col min="13" max="13" width="8.88671875" style="22" customWidth="1"/>
    <col min="14" max="14" width="7.109375" style="22" bestFit="1" customWidth="1"/>
    <col min="15" max="15" width="6.109375" style="22" customWidth="1"/>
    <col min="16" max="23" width="7.6640625" style="22" customWidth="1"/>
    <col min="24" max="24" width="6.44140625" style="22" customWidth="1"/>
    <col min="25" max="25" width="6.109375" style="22" customWidth="1"/>
    <col min="26" max="26" width="10" style="22" customWidth="1"/>
    <col min="27" max="27" width="7.6640625" style="22" customWidth="1"/>
    <col min="28" max="43" width="8.6640625" style="22" customWidth="1"/>
    <col min="44" max="44" width="5.33203125" style="22" customWidth="1"/>
    <col min="45" max="45" width="6.109375" style="22" customWidth="1"/>
    <col min="46" max="48" width="7.6640625" style="22" customWidth="1"/>
    <col min="49" max="16384" width="9.109375" style="22"/>
  </cols>
  <sheetData>
    <row r="1" spans="1:53" s="134" customFormat="1" ht="15.6">
      <c r="B1" s="1707" t="s">
        <v>383</v>
      </c>
      <c r="C1" s="1707"/>
      <c r="D1" s="1707"/>
      <c r="E1" s="1707"/>
      <c r="F1" s="1707"/>
      <c r="G1" s="1707"/>
      <c r="H1" s="1707"/>
      <c r="I1" s="1707"/>
      <c r="AJ1" s="539"/>
      <c r="AK1" s="623" t="s">
        <v>248</v>
      </c>
      <c r="AT1" s="539"/>
      <c r="AU1" s="539"/>
      <c r="AV1" s="623" t="s">
        <v>248</v>
      </c>
    </row>
    <row r="2" spans="1:53" ht="20.399999999999999">
      <c r="B2" s="20"/>
    </row>
    <row r="3" spans="1:53" ht="18.75" customHeight="1">
      <c r="A3" s="23"/>
      <c r="B3" s="538" t="s">
        <v>288</v>
      </c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</row>
    <row r="4" spans="1:53" ht="13.8" thickBot="1"/>
    <row r="5" spans="1:53" s="28" customFormat="1" ht="32.25" customHeight="1" thickBot="1">
      <c r="A5" s="1406" t="s">
        <v>196</v>
      </c>
      <c r="B5" s="1714" t="s">
        <v>197</v>
      </c>
      <c r="C5" s="1716" t="s">
        <v>249</v>
      </c>
      <c r="D5" s="1708" t="str">
        <f>'1.2.2'!C5:C6</f>
        <v>Утверждено РСТ КК на 2015 г.</v>
      </c>
      <c r="E5" s="1709"/>
      <c r="F5" s="1709"/>
      <c r="G5" s="1709"/>
      <c r="H5" s="1710"/>
      <c r="I5" s="1708" t="str">
        <f>'1.2.2'!D5:D6</f>
        <v>Факт 2015 г.</v>
      </c>
      <c r="J5" s="1709"/>
      <c r="K5" s="1709"/>
      <c r="L5" s="1709"/>
      <c r="M5" s="1710"/>
      <c r="N5" s="1708" t="str">
        <f>'1.2.2'!E5:E6</f>
        <v>Утверждено РСТ КК на 2016 г.</v>
      </c>
      <c r="O5" s="1709"/>
      <c r="P5" s="1709"/>
      <c r="Q5" s="1709"/>
      <c r="R5" s="1710"/>
      <c r="S5" s="1708" t="str">
        <f>'1.2.2'!F5:F6</f>
        <v>Ожидаемый факт 2016 г.</v>
      </c>
      <c r="T5" s="1709"/>
      <c r="U5" s="1709"/>
      <c r="V5" s="1709"/>
      <c r="W5" s="1710"/>
      <c r="X5" s="1708" t="str">
        <f>'1.2.2'!G5:G6</f>
        <v>Предложения на 1-е полугодие 2017 г</v>
      </c>
      <c r="Y5" s="1709"/>
      <c r="Z5" s="1709"/>
      <c r="AA5" s="1709"/>
      <c r="AB5" s="1710"/>
      <c r="AC5" s="1708" t="str">
        <f>'1.2.2'!H5:H6</f>
        <v>Предложения на 2-е полугодие 2017 г</v>
      </c>
      <c r="AD5" s="1709"/>
      <c r="AE5" s="1709"/>
      <c r="AF5" s="1709"/>
      <c r="AG5" s="1710"/>
      <c r="AH5" s="1708" t="str">
        <f>'1.2.2'!I5:I6</f>
        <v>Предложения на  2017 г</v>
      </c>
      <c r="AI5" s="1709"/>
      <c r="AJ5" s="1709"/>
      <c r="AK5" s="1709"/>
      <c r="AL5" s="1710"/>
      <c r="AM5" s="1711" t="str">
        <f>'1.2.2'!N5:N6</f>
        <v>Утвержденона 1-е  РСТ на 2017 г.</v>
      </c>
      <c r="AN5" s="1712"/>
      <c r="AO5" s="1712"/>
      <c r="AP5" s="1712"/>
      <c r="AQ5" s="1713"/>
      <c r="AR5" s="1711" t="str">
        <f>'1.2.2'!O5:O6</f>
        <v>Утвержденона 2-е  РСТ на 2017 г.</v>
      </c>
      <c r="AS5" s="1712"/>
      <c r="AT5" s="1712"/>
      <c r="AU5" s="1712"/>
      <c r="AV5" s="1713"/>
      <c r="AW5" s="1711" t="str">
        <f>'1.2.2'!P5:P6</f>
        <v>Утверждено РСТ на 2017 г.</v>
      </c>
      <c r="AX5" s="1712"/>
      <c r="AY5" s="1712"/>
      <c r="AZ5" s="1712"/>
      <c r="BA5" s="1713"/>
    </row>
    <row r="6" spans="1:53" ht="27" customHeight="1" thickBot="1">
      <c r="A6" s="1407"/>
      <c r="B6" s="1715"/>
      <c r="C6" s="1717"/>
      <c r="D6" s="505" t="s">
        <v>135</v>
      </c>
      <c r="E6" s="506" t="s">
        <v>136</v>
      </c>
      <c r="F6" s="506" t="s">
        <v>293</v>
      </c>
      <c r="G6" s="506" t="s">
        <v>138</v>
      </c>
      <c r="H6" s="507" t="s">
        <v>250</v>
      </c>
      <c r="I6" s="508" t="s">
        <v>135</v>
      </c>
      <c r="J6" s="506" t="s">
        <v>136</v>
      </c>
      <c r="K6" s="506" t="s">
        <v>293</v>
      </c>
      <c r="L6" s="509" t="s">
        <v>138</v>
      </c>
      <c r="M6" s="510" t="s">
        <v>250</v>
      </c>
      <c r="N6" s="511" t="s">
        <v>135</v>
      </c>
      <c r="O6" s="512" t="s">
        <v>136</v>
      </c>
      <c r="P6" s="507" t="s">
        <v>293</v>
      </c>
      <c r="Q6" s="507" t="s">
        <v>138</v>
      </c>
      <c r="R6" s="513" t="s">
        <v>250</v>
      </c>
      <c r="S6" s="511" t="s">
        <v>135</v>
      </c>
      <c r="T6" s="512" t="s">
        <v>136</v>
      </c>
      <c r="U6" s="507" t="s">
        <v>293</v>
      </c>
      <c r="V6" s="507" t="s">
        <v>138</v>
      </c>
      <c r="W6" s="513" t="s">
        <v>250</v>
      </c>
      <c r="X6" s="504" t="s">
        <v>135</v>
      </c>
      <c r="Y6" s="507" t="s">
        <v>136</v>
      </c>
      <c r="Z6" s="507" t="s">
        <v>293</v>
      </c>
      <c r="AA6" s="507" t="s">
        <v>138</v>
      </c>
      <c r="AB6" s="513" t="s">
        <v>250</v>
      </c>
      <c r="AC6" s="508" t="s">
        <v>135</v>
      </c>
      <c r="AD6" s="506" t="s">
        <v>136</v>
      </c>
      <c r="AE6" s="506" t="s">
        <v>293</v>
      </c>
      <c r="AF6" s="506" t="s">
        <v>138</v>
      </c>
      <c r="AG6" s="507" t="s">
        <v>250</v>
      </c>
      <c r="AH6" s="914" t="s">
        <v>135</v>
      </c>
      <c r="AI6" s="915" t="s">
        <v>136</v>
      </c>
      <c r="AJ6" s="915" t="s">
        <v>293</v>
      </c>
      <c r="AK6" s="915" t="s">
        <v>138</v>
      </c>
      <c r="AL6" s="913" t="s">
        <v>250</v>
      </c>
      <c r="AM6" s="533" t="s">
        <v>135</v>
      </c>
      <c r="AN6" s="534" t="s">
        <v>136</v>
      </c>
      <c r="AO6" s="534" t="s">
        <v>293</v>
      </c>
      <c r="AP6" s="534" t="s">
        <v>138</v>
      </c>
      <c r="AQ6" s="532" t="s">
        <v>250</v>
      </c>
      <c r="AR6" s="533" t="s">
        <v>135</v>
      </c>
      <c r="AS6" s="534" t="s">
        <v>136</v>
      </c>
      <c r="AT6" s="534" t="s">
        <v>293</v>
      </c>
      <c r="AU6" s="534" t="s">
        <v>138</v>
      </c>
      <c r="AV6" s="532" t="s">
        <v>250</v>
      </c>
      <c r="AW6" s="533" t="s">
        <v>135</v>
      </c>
      <c r="AX6" s="534" t="s">
        <v>136</v>
      </c>
      <c r="AY6" s="534" t="s">
        <v>293</v>
      </c>
      <c r="AZ6" s="534" t="s">
        <v>138</v>
      </c>
      <c r="BA6" s="532" t="s">
        <v>250</v>
      </c>
    </row>
    <row r="7" spans="1:53" ht="13.8" thickBot="1">
      <c r="A7" s="1408">
        <v>1</v>
      </c>
      <c r="B7" s="1409">
        <f>+A7+1</f>
        <v>2</v>
      </c>
      <c r="C7" s="1410">
        <f>+B7+1</f>
        <v>3</v>
      </c>
      <c r="D7" s="514">
        <v>4</v>
      </c>
      <c r="E7" s="515">
        <v>5</v>
      </c>
      <c r="F7" s="515">
        <v>6</v>
      </c>
      <c r="G7" s="515">
        <v>7</v>
      </c>
      <c r="H7" s="516">
        <v>8</v>
      </c>
      <c r="I7" s="521">
        <v>9</v>
      </c>
      <c r="J7" s="515">
        <v>10</v>
      </c>
      <c r="K7" s="515">
        <v>11</v>
      </c>
      <c r="L7" s="516">
        <v>12</v>
      </c>
      <c r="M7" s="982">
        <v>13</v>
      </c>
      <c r="N7" s="517">
        <v>14</v>
      </c>
      <c r="O7" s="518">
        <v>15</v>
      </c>
      <c r="P7" s="516">
        <v>16</v>
      </c>
      <c r="Q7" s="516">
        <v>17</v>
      </c>
      <c r="R7" s="519">
        <v>18</v>
      </c>
      <c r="S7" s="517">
        <v>19</v>
      </c>
      <c r="T7" s="981">
        <v>20</v>
      </c>
      <c r="U7" s="981">
        <v>21</v>
      </c>
      <c r="V7" s="981">
        <v>22</v>
      </c>
      <c r="W7" s="518">
        <v>23</v>
      </c>
      <c r="X7" s="520">
        <v>24</v>
      </c>
      <c r="Y7" s="516">
        <v>25</v>
      </c>
      <c r="Z7" s="516">
        <v>26</v>
      </c>
      <c r="AA7" s="516">
        <v>27</v>
      </c>
      <c r="AB7" s="519">
        <v>28</v>
      </c>
      <c r="AC7" s="521">
        <v>29</v>
      </c>
      <c r="AD7" s="515">
        <v>30</v>
      </c>
      <c r="AE7" s="515">
        <v>31</v>
      </c>
      <c r="AF7" s="515">
        <v>32</v>
      </c>
      <c r="AG7" s="516">
        <v>33</v>
      </c>
      <c r="AH7" s="916">
        <v>34</v>
      </c>
      <c r="AI7" s="917">
        <v>35</v>
      </c>
      <c r="AJ7" s="917">
        <v>36</v>
      </c>
      <c r="AK7" s="917">
        <v>37</v>
      </c>
      <c r="AL7" s="918">
        <v>38</v>
      </c>
      <c r="AM7" s="535"/>
      <c r="AN7" s="536"/>
      <c r="AO7" s="536"/>
      <c r="AP7" s="536"/>
      <c r="AQ7" s="537"/>
      <c r="AR7" s="535"/>
      <c r="AS7" s="536"/>
      <c r="AT7" s="536"/>
      <c r="AU7" s="536"/>
      <c r="AV7" s="537"/>
      <c r="AW7" s="535"/>
      <c r="AX7" s="536"/>
      <c r="AY7" s="536"/>
      <c r="AZ7" s="536"/>
      <c r="BA7" s="537"/>
    </row>
    <row r="8" spans="1:53" ht="15" customHeight="1">
      <c r="A8" s="1411" t="s">
        <v>130</v>
      </c>
      <c r="B8" s="1412" t="s">
        <v>251</v>
      </c>
      <c r="C8" s="1413" t="s">
        <v>200</v>
      </c>
      <c r="D8" s="1383"/>
      <c r="E8" s="1384"/>
      <c r="F8" s="1385">
        <v>0.315</v>
      </c>
      <c r="G8" s="1385">
        <f>G9</f>
        <v>5.6000000000000001E-2</v>
      </c>
      <c r="H8" s="1386">
        <f>G8+F8</f>
        <v>0.371</v>
      </c>
      <c r="I8" s="1387"/>
      <c r="J8" s="1385"/>
      <c r="K8" s="1385">
        <v>4.2999999999999997E-2</v>
      </c>
      <c r="L8" s="1385">
        <f>L9</f>
        <v>6.5000000000000002E-2</v>
      </c>
      <c r="M8" s="1385">
        <f>K8+L8</f>
        <v>0.108</v>
      </c>
      <c r="N8" s="1383"/>
      <c r="O8" s="1384"/>
      <c r="P8" s="1385">
        <v>0.11700000000000001</v>
      </c>
      <c r="Q8" s="1385">
        <f>Q9</f>
        <v>0.255</v>
      </c>
      <c r="R8" s="1385">
        <f>P8+R9</f>
        <v>0.372</v>
      </c>
      <c r="S8" s="1383"/>
      <c r="T8" s="1384"/>
      <c r="U8" s="1385">
        <v>0.14000000000000001</v>
      </c>
      <c r="V8" s="1385">
        <f>V9</f>
        <v>0.21</v>
      </c>
      <c r="W8" s="1386">
        <f>V8+U8</f>
        <v>0.35</v>
      </c>
      <c r="X8" s="1387"/>
      <c r="Y8" s="1385"/>
      <c r="Z8" s="1385">
        <v>1.6E-2</v>
      </c>
      <c r="AA8" s="1385">
        <v>2.1999999999999999E-2</v>
      </c>
      <c r="AB8" s="1386">
        <f>AA8+Z8</f>
        <v>3.7999999999999999E-2</v>
      </c>
      <c r="AC8" s="1387"/>
      <c r="AD8" s="1384"/>
      <c r="AE8" s="1384">
        <v>1.6E-2</v>
      </c>
      <c r="AF8" s="1384">
        <v>2.1999999999999999E-2</v>
      </c>
      <c r="AG8" s="1396">
        <f>AF8+AE8</f>
        <v>3.7999999999999999E-2</v>
      </c>
      <c r="AH8" s="1383"/>
      <c r="AI8" s="1402"/>
      <c r="AJ8" s="1402">
        <f>Z8+AE8</f>
        <v>3.2000000000000001E-2</v>
      </c>
      <c r="AK8" s="1402">
        <f>AK9</f>
        <v>4.3999999999999997E-2</v>
      </c>
      <c r="AL8" s="1396">
        <f>AB8+AG8</f>
        <v>7.5999999999999998E-2</v>
      </c>
      <c r="AM8" s="522"/>
      <c r="AN8" s="523"/>
      <c r="AO8" s="523"/>
      <c r="AP8" s="523"/>
      <c r="AQ8" s="529"/>
      <c r="AR8" s="522"/>
      <c r="AS8" s="523"/>
      <c r="AT8" s="523"/>
      <c r="AU8" s="523"/>
      <c r="AV8" s="721"/>
      <c r="AW8" s="522"/>
      <c r="AX8" s="523"/>
      <c r="AY8" s="523"/>
      <c r="AZ8" s="523"/>
      <c r="BA8" s="721"/>
    </row>
    <row r="9" spans="1:53" ht="33" customHeight="1">
      <c r="A9" s="1414" t="s">
        <v>177</v>
      </c>
      <c r="B9" s="1415" t="s">
        <v>252</v>
      </c>
      <c r="C9" s="1416" t="s">
        <v>200</v>
      </c>
      <c r="D9" s="1387"/>
      <c r="E9" s="1292"/>
      <c r="F9" s="1292"/>
      <c r="G9" s="1292">
        <v>5.6000000000000001E-2</v>
      </c>
      <c r="H9" s="1386"/>
      <c r="I9" s="1293"/>
      <c r="J9" s="1292"/>
      <c r="K9" s="1292"/>
      <c r="L9" s="1292">
        <v>6.5000000000000002E-2</v>
      </c>
      <c r="M9" s="1386"/>
      <c r="N9" s="1387"/>
      <c r="O9" s="1292"/>
      <c r="P9" s="1292"/>
      <c r="Q9" s="1292">
        <v>0.255</v>
      </c>
      <c r="R9" s="1386">
        <f>P9+Q9</f>
        <v>0.255</v>
      </c>
      <c r="S9" s="1387"/>
      <c r="T9" s="1292"/>
      <c r="U9" s="1292"/>
      <c r="V9" s="1292">
        <v>0.21</v>
      </c>
      <c r="W9" s="1386"/>
      <c r="X9" s="1293"/>
      <c r="Y9" s="1292"/>
      <c r="Z9" s="1292"/>
      <c r="AA9" s="1292">
        <v>2.1999999999999999E-2</v>
      </c>
      <c r="AB9" s="1388"/>
      <c r="AC9" s="1293"/>
      <c r="AD9" s="1397"/>
      <c r="AE9" s="1397"/>
      <c r="AF9" s="1397">
        <v>2.1999999999999999E-2</v>
      </c>
      <c r="AG9" s="1398"/>
      <c r="AH9" s="1403"/>
      <c r="AI9" s="1404"/>
      <c r="AJ9" s="1404"/>
      <c r="AK9" s="1404">
        <f>AA9+AF9</f>
        <v>4.3999999999999997E-2</v>
      </c>
      <c r="AL9" s="1398">
        <f>AK9</f>
        <v>4.3999999999999997E-2</v>
      </c>
      <c r="AM9" s="524"/>
      <c r="AN9" s="525"/>
      <c r="AO9" s="525"/>
      <c r="AP9" s="525"/>
      <c r="AQ9" s="530"/>
      <c r="AR9" s="524"/>
      <c r="AS9" s="525"/>
      <c r="AT9" s="525"/>
      <c r="AU9" s="525"/>
      <c r="AV9" s="722"/>
      <c r="AW9" s="524"/>
      <c r="AX9" s="525"/>
      <c r="AY9" s="525"/>
      <c r="AZ9" s="525"/>
      <c r="BA9" s="722"/>
    </row>
    <row r="10" spans="1:53" ht="15" customHeight="1">
      <c r="A10" s="1414" t="s">
        <v>253</v>
      </c>
      <c r="B10" s="1415" t="s">
        <v>254</v>
      </c>
      <c r="C10" s="1416" t="s">
        <v>255</v>
      </c>
      <c r="D10" s="1293"/>
      <c r="E10" s="1292"/>
      <c r="F10" s="1292"/>
      <c r="G10" s="1292"/>
      <c r="H10" s="1388"/>
      <c r="I10" s="1293"/>
      <c r="J10" s="1292"/>
      <c r="K10" s="1292"/>
      <c r="L10" s="1292"/>
      <c r="M10" s="1388"/>
      <c r="N10" s="1293"/>
      <c r="O10" s="1292"/>
      <c r="P10" s="1292"/>
      <c r="Q10" s="1292"/>
      <c r="R10" s="1388"/>
      <c r="S10" s="1293"/>
      <c r="T10" s="1292"/>
      <c r="U10" s="1292"/>
      <c r="V10" s="1292"/>
      <c r="W10" s="1388"/>
      <c r="X10" s="1293"/>
      <c r="Y10" s="1292"/>
      <c r="Z10" s="1292"/>
      <c r="AA10" s="1292"/>
      <c r="AB10" s="1388"/>
      <c r="AC10" s="1293"/>
      <c r="AD10" s="1397"/>
      <c r="AE10" s="1397"/>
      <c r="AF10" s="1397"/>
      <c r="AG10" s="1398"/>
      <c r="AH10" s="1403"/>
      <c r="AI10" s="1404"/>
      <c r="AJ10" s="1404"/>
      <c r="AK10" s="1404"/>
      <c r="AL10" s="1398"/>
      <c r="AM10" s="524"/>
      <c r="AN10" s="525"/>
      <c r="AO10" s="525"/>
      <c r="AP10" s="525"/>
      <c r="AQ10" s="530"/>
      <c r="AR10" s="524"/>
      <c r="AS10" s="525"/>
      <c r="AT10" s="525"/>
      <c r="AU10" s="525"/>
      <c r="AV10" s="722"/>
      <c r="AW10" s="524"/>
      <c r="AX10" s="525"/>
      <c r="AY10" s="525"/>
      <c r="AZ10" s="525"/>
      <c r="BA10" s="722"/>
    </row>
    <row r="11" spans="1:53" ht="15" customHeight="1">
      <c r="A11" s="1414" t="s">
        <v>256</v>
      </c>
      <c r="B11" s="1415" t="s">
        <v>257</v>
      </c>
      <c r="C11" s="1416" t="s">
        <v>258</v>
      </c>
      <c r="D11" s="1294"/>
      <c r="E11" s="1292"/>
      <c r="F11" s="1292"/>
      <c r="G11" s="1292"/>
      <c r="H11" s="1295">
        <v>14.8</v>
      </c>
      <c r="I11" s="1294"/>
      <c r="J11" s="1292"/>
      <c r="K11" s="1292"/>
      <c r="L11" s="1292"/>
      <c r="M11" s="1392">
        <v>14.72</v>
      </c>
      <c r="N11" s="1294"/>
      <c r="O11" s="1292"/>
      <c r="P11" s="1292"/>
      <c r="Q11" s="1292"/>
      <c r="R11" s="1295">
        <v>14.09</v>
      </c>
      <c r="S11" s="1294"/>
      <c r="T11" s="1292"/>
      <c r="U11" s="1292"/>
      <c r="V11" s="1292"/>
      <c r="W11" s="1295">
        <v>14.72</v>
      </c>
      <c r="X11" s="1293"/>
      <c r="Y11" s="1292"/>
      <c r="Z11" s="1292"/>
      <c r="AA11" s="1292"/>
      <c r="AB11" s="1295">
        <v>14.72</v>
      </c>
      <c r="AC11" s="1293"/>
      <c r="AD11" s="1397"/>
      <c r="AE11" s="1397"/>
      <c r="AF11" s="1397"/>
      <c r="AG11" s="1399">
        <v>14.72</v>
      </c>
      <c r="AH11" s="1403"/>
      <c r="AI11" s="1404"/>
      <c r="AJ11" s="1404"/>
      <c r="AK11" s="1404"/>
      <c r="AL11" s="1399">
        <v>14.72</v>
      </c>
      <c r="AM11" s="524"/>
      <c r="AN11" s="525"/>
      <c r="AO11" s="525"/>
      <c r="AP11" s="525"/>
      <c r="AQ11" s="530"/>
      <c r="AR11" s="524"/>
      <c r="AS11" s="525"/>
      <c r="AT11" s="525"/>
      <c r="AU11" s="525"/>
      <c r="AV11" s="722"/>
      <c r="AW11" s="524"/>
      <c r="AX11" s="525"/>
      <c r="AY11" s="525"/>
      <c r="AZ11" s="525"/>
      <c r="BA11" s="722"/>
    </row>
    <row r="12" spans="1:53" ht="15" customHeight="1">
      <c r="A12" s="1414" t="s">
        <v>259</v>
      </c>
      <c r="B12" s="1415" t="s">
        <v>260</v>
      </c>
      <c r="C12" s="1416" t="s">
        <v>261</v>
      </c>
      <c r="D12" s="1296"/>
      <c r="E12" s="1292"/>
      <c r="F12" s="1297"/>
      <c r="G12" s="1292"/>
      <c r="H12" s="1389">
        <v>5750</v>
      </c>
      <c r="I12" s="1296"/>
      <c r="J12" s="1292"/>
      <c r="K12" s="1297"/>
      <c r="L12" s="1292"/>
      <c r="M12" s="1393">
        <v>5750</v>
      </c>
      <c r="N12" s="1296"/>
      <c r="O12" s="1292"/>
      <c r="P12" s="1297"/>
      <c r="Q12" s="1292"/>
      <c r="R12" s="1389">
        <v>5750</v>
      </c>
      <c r="S12" s="1296"/>
      <c r="T12" s="1292"/>
      <c r="U12" s="1297"/>
      <c r="V12" s="1292"/>
      <c r="W12" s="1389">
        <v>5750</v>
      </c>
      <c r="X12" s="1296"/>
      <c r="Y12" s="1292"/>
      <c r="Z12" s="1297"/>
      <c r="AA12" s="1292"/>
      <c r="AB12" s="1389">
        <v>2875</v>
      </c>
      <c r="AC12" s="1296"/>
      <c r="AD12" s="1397"/>
      <c r="AE12" s="1400"/>
      <c r="AF12" s="1397"/>
      <c r="AG12" s="1401">
        <v>2875</v>
      </c>
      <c r="AH12" s="1403"/>
      <c r="AI12" s="1404"/>
      <c r="AJ12" s="1405"/>
      <c r="AK12" s="1404"/>
      <c r="AL12" s="1401">
        <f>AB12+AG12</f>
        <v>5750</v>
      </c>
      <c r="AM12" s="524"/>
      <c r="AN12" s="525"/>
      <c r="AO12" s="525"/>
      <c r="AP12" s="525"/>
      <c r="AQ12" s="530"/>
      <c r="AR12" s="524"/>
      <c r="AS12" s="525"/>
      <c r="AT12" s="525"/>
      <c r="AU12" s="525"/>
      <c r="AV12" s="722"/>
      <c r="AW12" s="524"/>
      <c r="AX12" s="525"/>
      <c r="AY12" s="525"/>
      <c r="AZ12" s="525"/>
      <c r="BA12" s="722"/>
    </row>
    <row r="13" spans="1:53" ht="15" customHeight="1">
      <c r="A13" s="1414" t="s">
        <v>178</v>
      </c>
      <c r="B13" s="1415" t="s">
        <v>262</v>
      </c>
      <c r="C13" s="1416" t="s">
        <v>200</v>
      </c>
      <c r="D13" s="1293"/>
      <c r="E13" s="1292"/>
      <c r="F13" s="1292"/>
      <c r="G13" s="1292"/>
      <c r="H13" s="1388"/>
      <c r="I13" s="1394"/>
      <c r="J13" s="1297"/>
      <c r="K13" s="1297"/>
      <c r="L13" s="1297"/>
      <c r="M13" s="1388"/>
      <c r="N13" s="1293"/>
      <c r="O13" s="1292"/>
      <c r="P13" s="1292"/>
      <c r="Q13" s="1292"/>
      <c r="R13" s="1388"/>
      <c r="S13" s="1293"/>
      <c r="T13" s="1292"/>
      <c r="U13" s="1292"/>
      <c r="V13" s="1292"/>
      <c r="W13" s="1388"/>
      <c r="X13" s="1293"/>
      <c r="Y13" s="1292"/>
      <c r="Z13" s="1292"/>
      <c r="AA13" s="1292"/>
      <c r="AB13" s="1388"/>
      <c r="AC13" s="1293"/>
      <c r="AD13" s="1397"/>
      <c r="AE13" s="1397"/>
      <c r="AF13" s="1397"/>
      <c r="AG13" s="1398"/>
      <c r="AH13" s="1403"/>
      <c r="AI13" s="1404"/>
      <c r="AJ13" s="1404"/>
      <c r="AK13" s="1404"/>
      <c r="AL13" s="1398"/>
      <c r="AM13" s="524"/>
      <c r="AN13" s="525"/>
      <c r="AO13" s="525"/>
      <c r="AP13" s="525"/>
      <c r="AQ13" s="530"/>
      <c r="AR13" s="524"/>
      <c r="AS13" s="525"/>
      <c r="AT13" s="525"/>
      <c r="AU13" s="525"/>
      <c r="AV13" s="722"/>
      <c r="AW13" s="524"/>
      <c r="AX13" s="525"/>
      <c r="AY13" s="525"/>
      <c r="AZ13" s="525"/>
      <c r="BA13" s="722"/>
    </row>
    <row r="14" spans="1:53" ht="26.4">
      <c r="A14" s="1414" t="s">
        <v>253</v>
      </c>
      <c r="B14" s="1415" t="s">
        <v>254</v>
      </c>
      <c r="C14" s="1416" t="s">
        <v>263</v>
      </c>
      <c r="D14" s="1293"/>
      <c r="E14" s="1292"/>
      <c r="F14" s="1292"/>
      <c r="G14" s="1292"/>
      <c r="H14" s="1388"/>
      <c r="I14" s="1394"/>
      <c r="J14" s="1297"/>
      <c r="K14" s="1297"/>
      <c r="L14" s="1297"/>
      <c r="M14" s="1388"/>
      <c r="N14" s="1293"/>
      <c r="O14" s="1292"/>
      <c r="P14" s="1292"/>
      <c r="Q14" s="1292"/>
      <c r="R14" s="1388"/>
      <c r="S14" s="1293"/>
      <c r="T14" s="1292"/>
      <c r="U14" s="1292"/>
      <c r="V14" s="1292"/>
      <c r="W14" s="1388"/>
      <c r="X14" s="1293"/>
      <c r="Y14" s="1292"/>
      <c r="Z14" s="1292"/>
      <c r="AA14" s="1292"/>
      <c r="AB14" s="1388"/>
      <c r="AC14" s="1293"/>
      <c r="AD14" s="1397"/>
      <c r="AE14" s="1397"/>
      <c r="AF14" s="1397"/>
      <c r="AG14" s="1398"/>
      <c r="AH14" s="1403"/>
      <c r="AI14" s="1404"/>
      <c r="AJ14" s="1404"/>
      <c r="AK14" s="1404"/>
      <c r="AL14" s="1398"/>
      <c r="AM14" s="524"/>
      <c r="AN14" s="525"/>
      <c r="AO14" s="525"/>
      <c r="AP14" s="525"/>
      <c r="AQ14" s="530"/>
      <c r="AR14" s="524"/>
      <c r="AS14" s="525"/>
      <c r="AT14" s="525"/>
      <c r="AU14" s="525"/>
      <c r="AV14" s="722"/>
      <c r="AW14" s="524"/>
      <c r="AX14" s="525"/>
      <c r="AY14" s="525"/>
      <c r="AZ14" s="525"/>
      <c r="BA14" s="722"/>
    </row>
    <row r="15" spans="1:53" ht="15" customHeight="1">
      <c r="A15" s="1414" t="s">
        <v>256</v>
      </c>
      <c r="B15" s="1415" t="s">
        <v>264</v>
      </c>
      <c r="C15" s="1416" t="s">
        <v>265</v>
      </c>
      <c r="D15" s="1293"/>
      <c r="E15" s="1292"/>
      <c r="F15" s="1292"/>
      <c r="G15" s="1292"/>
      <c r="H15" s="1388"/>
      <c r="I15" s="1394"/>
      <c r="J15" s="1297"/>
      <c r="K15" s="1297"/>
      <c r="L15" s="1297"/>
      <c r="M15" s="1388"/>
      <c r="N15" s="1293"/>
      <c r="O15" s="1292"/>
      <c r="P15" s="1292"/>
      <c r="Q15" s="1292"/>
      <c r="R15" s="1388"/>
      <c r="S15" s="1293"/>
      <c r="T15" s="1292"/>
      <c r="U15" s="1292"/>
      <c r="V15" s="1292"/>
      <c r="W15" s="1388"/>
      <c r="X15" s="1293"/>
      <c r="Y15" s="1292"/>
      <c r="Z15" s="1292"/>
      <c r="AA15" s="1292"/>
      <c r="AB15" s="1388"/>
      <c r="AC15" s="1293"/>
      <c r="AD15" s="1397"/>
      <c r="AE15" s="1397"/>
      <c r="AF15" s="1397"/>
      <c r="AG15" s="1398"/>
      <c r="AH15" s="1403"/>
      <c r="AI15" s="1404"/>
      <c r="AJ15" s="1404"/>
      <c r="AK15" s="1404"/>
      <c r="AL15" s="1398"/>
      <c r="AM15" s="524"/>
      <c r="AN15" s="525"/>
      <c r="AO15" s="525"/>
      <c r="AP15" s="525"/>
      <c r="AQ15" s="530"/>
      <c r="AR15" s="524"/>
      <c r="AS15" s="525"/>
      <c r="AT15" s="525"/>
      <c r="AU15" s="525"/>
      <c r="AV15" s="722"/>
      <c r="AW15" s="524"/>
      <c r="AX15" s="525"/>
      <c r="AY15" s="525"/>
      <c r="AZ15" s="525"/>
      <c r="BA15" s="722"/>
    </row>
    <row r="16" spans="1:53" ht="15" customHeight="1">
      <c r="A16" s="1414" t="s">
        <v>180</v>
      </c>
      <c r="B16" s="1415" t="s">
        <v>266</v>
      </c>
      <c r="C16" s="1416" t="s">
        <v>200</v>
      </c>
      <c r="D16" s="1293"/>
      <c r="E16" s="1292"/>
      <c r="F16" s="1292"/>
      <c r="G16" s="1292"/>
      <c r="H16" s="1388"/>
      <c r="I16" s="1394"/>
      <c r="J16" s="1297"/>
      <c r="K16" s="1297"/>
      <c r="L16" s="1297"/>
      <c r="M16" s="1388"/>
      <c r="N16" s="1293"/>
      <c r="O16" s="1292"/>
      <c r="P16" s="1292"/>
      <c r="Q16" s="1292"/>
      <c r="R16" s="1388"/>
      <c r="S16" s="1293"/>
      <c r="T16" s="1292"/>
      <c r="U16" s="1292"/>
      <c r="V16" s="1292"/>
      <c r="W16" s="1388"/>
      <c r="X16" s="1293"/>
      <c r="Y16" s="1292"/>
      <c r="Z16" s="1292"/>
      <c r="AA16" s="1292"/>
      <c r="AB16" s="1388"/>
      <c r="AC16" s="1293"/>
      <c r="AD16" s="1397"/>
      <c r="AE16" s="1397"/>
      <c r="AF16" s="1397"/>
      <c r="AG16" s="1398"/>
      <c r="AH16" s="1403"/>
      <c r="AI16" s="1404"/>
      <c r="AJ16" s="1404"/>
      <c r="AK16" s="1404"/>
      <c r="AL16" s="1398"/>
      <c r="AM16" s="524"/>
      <c r="AN16" s="525"/>
      <c r="AO16" s="525"/>
      <c r="AP16" s="525"/>
      <c r="AQ16" s="530"/>
      <c r="AR16" s="524"/>
      <c r="AS16" s="525"/>
      <c r="AT16" s="525"/>
      <c r="AU16" s="525"/>
      <c r="AV16" s="722"/>
      <c r="AW16" s="524"/>
      <c r="AX16" s="525"/>
      <c r="AY16" s="525"/>
      <c r="AZ16" s="525"/>
      <c r="BA16" s="722"/>
    </row>
    <row r="17" spans="1:53" ht="26.4">
      <c r="A17" s="1414" t="s">
        <v>253</v>
      </c>
      <c r="B17" s="1415" t="s">
        <v>254</v>
      </c>
      <c r="C17" s="1416" t="s">
        <v>263</v>
      </c>
      <c r="D17" s="1293"/>
      <c r="E17" s="1292"/>
      <c r="F17" s="1292"/>
      <c r="G17" s="1292"/>
      <c r="H17" s="1388"/>
      <c r="I17" s="1394"/>
      <c r="J17" s="1297"/>
      <c r="K17" s="1297"/>
      <c r="L17" s="1297"/>
      <c r="M17" s="1388"/>
      <c r="N17" s="1293"/>
      <c r="O17" s="1292"/>
      <c r="P17" s="1292"/>
      <c r="Q17" s="1292"/>
      <c r="R17" s="1388"/>
      <c r="S17" s="1293"/>
      <c r="T17" s="1292"/>
      <c r="U17" s="1292"/>
      <c r="V17" s="1292"/>
      <c r="W17" s="1388"/>
      <c r="X17" s="1293"/>
      <c r="Y17" s="1292"/>
      <c r="Z17" s="1292"/>
      <c r="AA17" s="1292"/>
      <c r="AB17" s="1388"/>
      <c r="AC17" s="1293"/>
      <c r="AD17" s="1397"/>
      <c r="AE17" s="1397"/>
      <c r="AF17" s="1397"/>
      <c r="AG17" s="1398"/>
      <c r="AH17" s="1403"/>
      <c r="AI17" s="1404"/>
      <c r="AJ17" s="1404"/>
      <c r="AK17" s="1404"/>
      <c r="AL17" s="1398"/>
      <c r="AM17" s="524"/>
      <c r="AN17" s="525"/>
      <c r="AO17" s="525"/>
      <c r="AP17" s="525"/>
      <c r="AQ17" s="530"/>
      <c r="AR17" s="524"/>
      <c r="AS17" s="525"/>
      <c r="AT17" s="525"/>
      <c r="AU17" s="525"/>
      <c r="AV17" s="722"/>
      <c r="AW17" s="524"/>
      <c r="AX17" s="525"/>
      <c r="AY17" s="525"/>
      <c r="AZ17" s="525"/>
      <c r="BA17" s="722"/>
    </row>
    <row r="18" spans="1:53" ht="15" customHeight="1">
      <c r="A18" s="1414" t="s">
        <v>256</v>
      </c>
      <c r="B18" s="1415" t="s">
        <v>264</v>
      </c>
      <c r="C18" s="1416" t="s">
        <v>265</v>
      </c>
      <c r="D18" s="1293"/>
      <c r="E18" s="1292"/>
      <c r="F18" s="1292"/>
      <c r="G18" s="1292"/>
      <c r="H18" s="1388"/>
      <c r="I18" s="1394"/>
      <c r="J18" s="1297"/>
      <c r="K18" s="1297"/>
      <c r="L18" s="1297"/>
      <c r="M18" s="1388"/>
      <c r="N18" s="1293"/>
      <c r="O18" s="1292"/>
      <c r="P18" s="1292"/>
      <c r="Q18" s="1292"/>
      <c r="R18" s="1388"/>
      <c r="S18" s="1293"/>
      <c r="T18" s="1292"/>
      <c r="U18" s="1292"/>
      <c r="V18" s="1292"/>
      <c r="W18" s="1388"/>
      <c r="X18" s="1293"/>
      <c r="Y18" s="1292"/>
      <c r="Z18" s="1292"/>
      <c r="AA18" s="1292"/>
      <c r="AB18" s="1388"/>
      <c r="AC18" s="1293"/>
      <c r="AD18" s="1397"/>
      <c r="AE18" s="1397"/>
      <c r="AF18" s="1397"/>
      <c r="AG18" s="1398"/>
      <c r="AH18" s="1403"/>
      <c r="AI18" s="1404"/>
      <c r="AJ18" s="1404"/>
      <c r="AK18" s="1404"/>
      <c r="AL18" s="1398"/>
      <c r="AM18" s="524"/>
      <c r="AN18" s="525"/>
      <c r="AO18" s="525"/>
      <c r="AP18" s="525"/>
      <c r="AQ18" s="530"/>
      <c r="AR18" s="524"/>
      <c r="AS18" s="525"/>
      <c r="AT18" s="525"/>
      <c r="AU18" s="525"/>
      <c r="AV18" s="722"/>
      <c r="AW18" s="524"/>
      <c r="AX18" s="525"/>
      <c r="AY18" s="525"/>
      <c r="AZ18" s="525"/>
      <c r="BA18" s="722"/>
    </row>
    <row r="19" spans="1:53" ht="15" customHeight="1">
      <c r="A19" s="1414" t="s">
        <v>226</v>
      </c>
      <c r="B19" s="1415" t="s">
        <v>267</v>
      </c>
      <c r="C19" s="1416" t="s">
        <v>200</v>
      </c>
      <c r="D19" s="1293"/>
      <c r="E19" s="1292"/>
      <c r="F19" s="1292"/>
      <c r="G19" s="1292"/>
      <c r="H19" s="1388"/>
      <c r="I19" s="1394"/>
      <c r="J19" s="1297"/>
      <c r="K19" s="1297"/>
      <c r="L19" s="1297"/>
      <c r="M19" s="1388"/>
      <c r="N19" s="1293"/>
      <c r="O19" s="1292"/>
      <c r="P19" s="1292"/>
      <c r="Q19" s="1292"/>
      <c r="R19" s="1388"/>
      <c r="S19" s="1293"/>
      <c r="T19" s="1292"/>
      <c r="U19" s="1292"/>
      <c r="V19" s="1292"/>
      <c r="W19" s="1388"/>
      <c r="X19" s="1293"/>
      <c r="Y19" s="1292"/>
      <c r="Z19" s="1292"/>
      <c r="AA19" s="1292"/>
      <c r="AB19" s="1388"/>
      <c r="AC19" s="1293"/>
      <c r="AD19" s="1397"/>
      <c r="AE19" s="1397"/>
      <c r="AF19" s="1397"/>
      <c r="AG19" s="1398"/>
      <c r="AH19" s="1403"/>
      <c r="AI19" s="1404"/>
      <c r="AJ19" s="1404"/>
      <c r="AK19" s="1404"/>
      <c r="AL19" s="1398"/>
      <c r="AM19" s="524"/>
      <c r="AN19" s="525"/>
      <c r="AO19" s="525"/>
      <c r="AP19" s="525"/>
      <c r="AQ19" s="530"/>
      <c r="AR19" s="524"/>
      <c r="AS19" s="525"/>
      <c r="AT19" s="525"/>
      <c r="AU19" s="525"/>
      <c r="AV19" s="722"/>
      <c r="AW19" s="524"/>
      <c r="AX19" s="525"/>
      <c r="AY19" s="525"/>
      <c r="AZ19" s="525"/>
      <c r="BA19" s="722"/>
    </row>
    <row r="20" spans="1:53" ht="26.4">
      <c r="A20" s="1414" t="s">
        <v>253</v>
      </c>
      <c r="B20" s="1415" t="s">
        <v>254</v>
      </c>
      <c r="C20" s="1416" t="s">
        <v>268</v>
      </c>
      <c r="D20" s="1293"/>
      <c r="E20" s="1292"/>
      <c r="F20" s="1292"/>
      <c r="G20" s="1292"/>
      <c r="H20" s="1388"/>
      <c r="I20" s="1394"/>
      <c r="J20" s="1297"/>
      <c r="K20" s="1297"/>
      <c r="L20" s="1297"/>
      <c r="M20" s="1388"/>
      <c r="N20" s="1293"/>
      <c r="O20" s="1292"/>
      <c r="P20" s="1292"/>
      <c r="Q20" s="1292"/>
      <c r="R20" s="1388"/>
      <c r="S20" s="1293"/>
      <c r="T20" s="1292"/>
      <c r="U20" s="1292"/>
      <c r="V20" s="1292"/>
      <c r="W20" s="1388"/>
      <c r="X20" s="1293"/>
      <c r="Y20" s="1292"/>
      <c r="Z20" s="1292"/>
      <c r="AA20" s="1292"/>
      <c r="AB20" s="1388"/>
      <c r="AC20" s="1293"/>
      <c r="AD20" s="1397"/>
      <c r="AE20" s="1397"/>
      <c r="AF20" s="1397"/>
      <c r="AG20" s="1398"/>
      <c r="AH20" s="1403"/>
      <c r="AI20" s="1404"/>
      <c r="AJ20" s="1404"/>
      <c r="AK20" s="1404"/>
      <c r="AL20" s="1398"/>
      <c r="AM20" s="524"/>
      <c r="AN20" s="525"/>
      <c r="AO20" s="525"/>
      <c r="AP20" s="525"/>
      <c r="AQ20" s="530"/>
      <c r="AR20" s="524"/>
      <c r="AS20" s="525"/>
      <c r="AT20" s="525"/>
      <c r="AU20" s="525"/>
      <c r="AV20" s="722"/>
      <c r="AW20" s="524"/>
      <c r="AX20" s="525"/>
      <c r="AY20" s="525"/>
      <c r="AZ20" s="525"/>
      <c r="BA20" s="722"/>
    </row>
    <row r="21" spans="1:53" ht="15" customHeight="1">
      <c r="A21" s="1414" t="s">
        <v>256</v>
      </c>
      <c r="B21" s="1415" t="s">
        <v>264</v>
      </c>
      <c r="C21" s="1416" t="s">
        <v>269</v>
      </c>
      <c r="D21" s="1293"/>
      <c r="E21" s="1292"/>
      <c r="F21" s="1292"/>
      <c r="G21" s="1292"/>
      <c r="H21" s="1388"/>
      <c r="I21" s="1394"/>
      <c r="J21" s="1297"/>
      <c r="K21" s="1297"/>
      <c r="L21" s="1297"/>
      <c r="M21" s="1388"/>
      <c r="N21" s="1293"/>
      <c r="O21" s="1292"/>
      <c r="P21" s="1292"/>
      <c r="Q21" s="1292"/>
      <c r="R21" s="1388"/>
      <c r="S21" s="1293"/>
      <c r="T21" s="1292"/>
      <c r="U21" s="1292"/>
      <c r="V21" s="1292"/>
      <c r="W21" s="1388"/>
      <c r="X21" s="1293"/>
      <c r="Y21" s="1292"/>
      <c r="Z21" s="1292"/>
      <c r="AA21" s="1292"/>
      <c r="AB21" s="1388"/>
      <c r="AC21" s="1293"/>
      <c r="AD21" s="1397"/>
      <c r="AE21" s="1397"/>
      <c r="AF21" s="1397"/>
      <c r="AG21" s="1398"/>
      <c r="AH21" s="1403"/>
      <c r="AI21" s="1404"/>
      <c r="AJ21" s="1404"/>
      <c r="AK21" s="1404"/>
      <c r="AL21" s="1398"/>
      <c r="AM21" s="524"/>
      <c r="AN21" s="525"/>
      <c r="AO21" s="525"/>
      <c r="AP21" s="525"/>
      <c r="AQ21" s="530"/>
      <c r="AR21" s="524"/>
      <c r="AS21" s="525"/>
      <c r="AT21" s="525"/>
      <c r="AU21" s="525"/>
      <c r="AV21" s="722"/>
      <c r="AW21" s="524"/>
      <c r="AX21" s="525"/>
      <c r="AY21" s="525"/>
      <c r="AZ21" s="525"/>
      <c r="BA21" s="722"/>
    </row>
    <row r="22" spans="1:53" ht="15" customHeight="1">
      <c r="A22" s="1414" t="s">
        <v>270</v>
      </c>
      <c r="B22" s="1415" t="s">
        <v>271</v>
      </c>
      <c r="C22" s="1416" t="s">
        <v>200</v>
      </c>
      <c r="D22" s="1293"/>
      <c r="E22" s="1292"/>
      <c r="F22" s="1292"/>
      <c r="G22" s="1292"/>
      <c r="H22" s="1388"/>
      <c r="I22" s="1394"/>
      <c r="J22" s="1297"/>
      <c r="K22" s="1297"/>
      <c r="L22" s="1297"/>
      <c r="M22" s="1388"/>
      <c r="N22" s="1293"/>
      <c r="O22" s="1292"/>
      <c r="P22" s="1292"/>
      <c r="Q22" s="1292"/>
      <c r="R22" s="1388"/>
      <c r="S22" s="1293"/>
      <c r="T22" s="1292"/>
      <c r="U22" s="1292"/>
      <c r="V22" s="1292"/>
      <c r="W22" s="1388"/>
      <c r="X22" s="1293"/>
      <c r="Y22" s="1292"/>
      <c r="Z22" s="1292"/>
      <c r="AA22" s="1292"/>
      <c r="AB22" s="1388"/>
      <c r="AC22" s="1293"/>
      <c r="AD22" s="1397"/>
      <c r="AE22" s="1397"/>
      <c r="AF22" s="1397"/>
      <c r="AG22" s="1398"/>
      <c r="AH22" s="1403"/>
      <c r="AI22" s="1404"/>
      <c r="AJ22" s="1404"/>
      <c r="AK22" s="1404"/>
      <c r="AL22" s="1398"/>
      <c r="AM22" s="524"/>
      <c r="AN22" s="525"/>
      <c r="AO22" s="525"/>
      <c r="AP22" s="525"/>
      <c r="AQ22" s="530"/>
      <c r="AR22" s="524"/>
      <c r="AS22" s="525"/>
      <c r="AT22" s="525"/>
      <c r="AU22" s="525"/>
      <c r="AV22" s="722"/>
      <c r="AW22" s="524"/>
      <c r="AX22" s="525"/>
      <c r="AY22" s="525"/>
      <c r="AZ22" s="525"/>
      <c r="BA22" s="722"/>
    </row>
    <row r="23" spans="1:53" ht="24.75" customHeight="1">
      <c r="A23" s="1414" t="s">
        <v>272</v>
      </c>
      <c r="B23" s="1415" t="s">
        <v>273</v>
      </c>
      <c r="C23" s="1416" t="s">
        <v>200</v>
      </c>
      <c r="D23" s="1293"/>
      <c r="E23" s="1292"/>
      <c r="F23" s="1292"/>
      <c r="G23" s="1292"/>
      <c r="H23" s="1388"/>
      <c r="I23" s="1394"/>
      <c r="J23" s="1297"/>
      <c r="K23" s="1297"/>
      <c r="L23" s="1297"/>
      <c r="M23" s="1388"/>
      <c r="N23" s="1293"/>
      <c r="O23" s="1292"/>
      <c r="P23" s="1292"/>
      <c r="Q23" s="1292"/>
      <c r="R23" s="1388"/>
      <c r="S23" s="1293"/>
      <c r="T23" s="1292"/>
      <c r="U23" s="1292"/>
      <c r="V23" s="1292"/>
      <c r="W23" s="1388"/>
      <c r="X23" s="1293"/>
      <c r="Y23" s="1292"/>
      <c r="Z23" s="1292"/>
      <c r="AA23" s="1292"/>
      <c r="AB23" s="1388"/>
      <c r="AC23" s="1293"/>
      <c r="AD23" s="1397"/>
      <c r="AE23" s="1397"/>
      <c r="AF23" s="1397"/>
      <c r="AG23" s="1398"/>
      <c r="AH23" s="1403"/>
      <c r="AI23" s="1404"/>
      <c r="AJ23" s="1404"/>
      <c r="AK23" s="1404"/>
      <c r="AL23" s="1398"/>
      <c r="AM23" s="524"/>
      <c r="AN23" s="525"/>
      <c r="AO23" s="525"/>
      <c r="AP23" s="525"/>
      <c r="AQ23" s="530"/>
      <c r="AR23" s="524"/>
      <c r="AS23" s="525"/>
      <c r="AT23" s="525"/>
      <c r="AU23" s="525"/>
      <c r="AV23" s="722"/>
      <c r="AW23" s="524"/>
      <c r="AX23" s="525"/>
      <c r="AY23" s="525"/>
      <c r="AZ23" s="525"/>
      <c r="BA23" s="722"/>
    </row>
    <row r="24" spans="1:53" ht="26.25" customHeight="1">
      <c r="A24" s="1414" t="s">
        <v>253</v>
      </c>
      <c r="B24" s="1415" t="s">
        <v>254</v>
      </c>
      <c r="C24" s="1416" t="s">
        <v>274</v>
      </c>
      <c r="D24" s="1293"/>
      <c r="E24" s="1292"/>
      <c r="F24" s="1292"/>
      <c r="G24" s="1292"/>
      <c r="H24" s="1388"/>
      <c r="I24" s="1394"/>
      <c r="J24" s="1297"/>
      <c r="K24" s="1297"/>
      <c r="L24" s="1297"/>
      <c r="M24" s="1388"/>
      <c r="N24" s="1293"/>
      <c r="O24" s="1292"/>
      <c r="P24" s="1292"/>
      <c r="Q24" s="1292"/>
      <c r="R24" s="1388"/>
      <c r="S24" s="1293"/>
      <c r="T24" s="1292"/>
      <c r="U24" s="1292"/>
      <c r="V24" s="1292"/>
      <c r="W24" s="1388"/>
      <c r="X24" s="1293"/>
      <c r="Y24" s="1292"/>
      <c r="Z24" s="1292"/>
      <c r="AA24" s="1292"/>
      <c r="AB24" s="1388"/>
      <c r="AC24" s="1293"/>
      <c r="AD24" s="1397"/>
      <c r="AE24" s="1397"/>
      <c r="AF24" s="1397"/>
      <c r="AG24" s="1398"/>
      <c r="AH24" s="1403"/>
      <c r="AI24" s="1404"/>
      <c r="AJ24" s="1404"/>
      <c r="AK24" s="1404"/>
      <c r="AL24" s="1398"/>
      <c r="AM24" s="524"/>
      <c r="AN24" s="525"/>
      <c r="AO24" s="525"/>
      <c r="AP24" s="525"/>
      <c r="AQ24" s="530"/>
      <c r="AR24" s="524"/>
      <c r="AS24" s="525"/>
      <c r="AT24" s="525"/>
      <c r="AU24" s="525"/>
      <c r="AV24" s="722"/>
      <c r="AW24" s="524"/>
      <c r="AX24" s="525"/>
      <c r="AY24" s="525"/>
      <c r="AZ24" s="525"/>
      <c r="BA24" s="722"/>
    </row>
    <row r="25" spans="1:53" ht="15" customHeight="1">
      <c r="A25" s="1414" t="s">
        <v>256</v>
      </c>
      <c r="B25" s="1415" t="s">
        <v>275</v>
      </c>
      <c r="C25" s="1416" t="s">
        <v>269</v>
      </c>
      <c r="D25" s="1293"/>
      <c r="E25" s="1292"/>
      <c r="F25" s="1292"/>
      <c r="G25" s="1292"/>
      <c r="H25" s="1388"/>
      <c r="I25" s="1394"/>
      <c r="J25" s="1297"/>
      <c r="K25" s="1297"/>
      <c r="L25" s="1297"/>
      <c r="M25" s="1388"/>
      <c r="N25" s="1293"/>
      <c r="O25" s="1292"/>
      <c r="P25" s="1292"/>
      <c r="Q25" s="1292"/>
      <c r="R25" s="1388"/>
      <c r="S25" s="1293"/>
      <c r="T25" s="1292"/>
      <c r="U25" s="1292"/>
      <c r="V25" s="1292"/>
      <c r="W25" s="1388"/>
      <c r="X25" s="1293"/>
      <c r="Y25" s="1292"/>
      <c r="Z25" s="1292"/>
      <c r="AA25" s="1292"/>
      <c r="AB25" s="1388"/>
      <c r="AC25" s="1293"/>
      <c r="AD25" s="1397"/>
      <c r="AE25" s="1397"/>
      <c r="AF25" s="1397"/>
      <c r="AG25" s="1398"/>
      <c r="AH25" s="1403"/>
      <c r="AI25" s="1404"/>
      <c r="AJ25" s="1404"/>
      <c r="AK25" s="1404"/>
      <c r="AL25" s="1398"/>
      <c r="AM25" s="524"/>
      <c r="AN25" s="525"/>
      <c r="AO25" s="525"/>
      <c r="AP25" s="525"/>
      <c r="AQ25" s="530"/>
      <c r="AR25" s="524"/>
      <c r="AS25" s="525"/>
      <c r="AT25" s="525"/>
      <c r="AU25" s="525"/>
      <c r="AV25" s="722"/>
      <c r="AW25" s="524"/>
      <c r="AX25" s="525"/>
      <c r="AY25" s="525"/>
      <c r="AZ25" s="525"/>
      <c r="BA25" s="722"/>
    </row>
    <row r="26" spans="1:53" ht="15" customHeight="1">
      <c r="A26" s="1414" t="s">
        <v>276</v>
      </c>
      <c r="B26" s="1415" t="s">
        <v>277</v>
      </c>
      <c r="C26" s="1416"/>
      <c r="D26" s="1293"/>
      <c r="E26" s="1292"/>
      <c r="F26" s="1292"/>
      <c r="G26" s="1292"/>
      <c r="H26" s="1388"/>
      <c r="I26" s="1293"/>
      <c r="J26" s="1292"/>
      <c r="K26" s="1292"/>
      <c r="L26" s="1292"/>
      <c r="M26" s="1388"/>
      <c r="N26" s="1293"/>
      <c r="O26" s="1292"/>
      <c r="P26" s="1292"/>
      <c r="Q26" s="1292"/>
      <c r="R26" s="1388"/>
      <c r="S26" s="1293"/>
      <c r="T26" s="1292"/>
      <c r="U26" s="1292"/>
      <c r="V26" s="1292"/>
      <c r="W26" s="1388"/>
      <c r="X26" s="1293"/>
      <c r="Y26" s="1292"/>
      <c r="Z26" s="1292"/>
      <c r="AA26" s="1292"/>
      <c r="AB26" s="1388"/>
      <c r="AC26" s="1293"/>
      <c r="AD26" s="1397"/>
      <c r="AE26" s="1397"/>
      <c r="AF26" s="1397"/>
      <c r="AG26" s="1398"/>
      <c r="AH26" s="1403"/>
      <c r="AI26" s="1404"/>
      <c r="AJ26" s="1404"/>
      <c r="AK26" s="1404"/>
      <c r="AL26" s="1398"/>
      <c r="AM26" s="524"/>
      <c r="AN26" s="525"/>
      <c r="AO26" s="525"/>
      <c r="AP26" s="525"/>
      <c r="AQ26" s="530"/>
      <c r="AR26" s="524"/>
      <c r="AS26" s="525"/>
      <c r="AT26" s="525"/>
      <c r="AU26" s="525"/>
      <c r="AV26" s="722"/>
      <c r="AW26" s="524"/>
      <c r="AX26" s="525"/>
      <c r="AY26" s="525"/>
      <c r="AZ26" s="525"/>
      <c r="BA26" s="722"/>
    </row>
    <row r="27" spans="1:53" ht="24" customHeight="1">
      <c r="A27" s="1414" t="s">
        <v>278</v>
      </c>
      <c r="B27" s="1415" t="s">
        <v>279</v>
      </c>
      <c r="C27" s="1416"/>
      <c r="D27" s="1293"/>
      <c r="E27" s="1292"/>
      <c r="F27" s="1292"/>
      <c r="G27" s="1292"/>
      <c r="H27" s="1388"/>
      <c r="I27" s="1293"/>
      <c r="J27" s="1292"/>
      <c r="K27" s="1292"/>
      <c r="L27" s="1292"/>
      <c r="M27" s="1388"/>
      <c r="N27" s="1293"/>
      <c r="O27" s="1292"/>
      <c r="P27" s="1292"/>
      <c r="Q27" s="1292"/>
      <c r="R27" s="1388"/>
      <c r="S27" s="1293"/>
      <c r="T27" s="1292"/>
      <c r="U27" s="1292"/>
      <c r="V27" s="1292"/>
      <c r="W27" s="1388"/>
      <c r="X27" s="1293"/>
      <c r="Y27" s="1292"/>
      <c r="Z27" s="1292"/>
      <c r="AA27" s="1292"/>
      <c r="AB27" s="1388"/>
      <c r="AC27" s="1293"/>
      <c r="AD27" s="1397"/>
      <c r="AE27" s="1397"/>
      <c r="AF27" s="1397"/>
      <c r="AG27" s="1398"/>
      <c r="AH27" s="1403"/>
      <c r="AI27" s="1404"/>
      <c r="AJ27" s="1404"/>
      <c r="AK27" s="1404"/>
      <c r="AL27" s="1398"/>
      <c r="AM27" s="524"/>
      <c r="AN27" s="525"/>
      <c r="AO27" s="525"/>
      <c r="AP27" s="525"/>
      <c r="AQ27" s="530"/>
      <c r="AR27" s="524"/>
      <c r="AS27" s="525"/>
      <c r="AT27" s="525"/>
      <c r="AU27" s="525"/>
      <c r="AV27" s="722"/>
      <c r="AW27" s="524"/>
      <c r="AX27" s="525"/>
      <c r="AY27" s="525"/>
      <c r="AZ27" s="525"/>
      <c r="BA27" s="722"/>
    </row>
    <row r="28" spans="1:53" ht="15" customHeight="1">
      <c r="A28" s="1414" t="s">
        <v>253</v>
      </c>
      <c r="B28" s="1415" t="s">
        <v>254</v>
      </c>
      <c r="C28" s="1416" t="s">
        <v>183</v>
      </c>
      <c r="D28" s="1293"/>
      <c r="E28" s="1292"/>
      <c r="F28" s="1292"/>
      <c r="G28" s="1292"/>
      <c r="H28" s="1388"/>
      <c r="I28" s="1293"/>
      <c r="J28" s="1292"/>
      <c r="K28" s="1292"/>
      <c r="L28" s="1292"/>
      <c r="M28" s="1388"/>
      <c r="N28" s="1293"/>
      <c r="O28" s="1292"/>
      <c r="P28" s="1292"/>
      <c r="Q28" s="1292"/>
      <c r="R28" s="1388"/>
      <c r="S28" s="1293"/>
      <c r="T28" s="1292"/>
      <c r="U28" s="1292"/>
      <c r="V28" s="1292"/>
      <c r="W28" s="1388"/>
      <c r="X28" s="1293"/>
      <c r="Y28" s="1292"/>
      <c r="Z28" s="1292"/>
      <c r="AA28" s="1292"/>
      <c r="AB28" s="1388"/>
      <c r="AC28" s="1293"/>
      <c r="AD28" s="1397"/>
      <c r="AE28" s="1397"/>
      <c r="AF28" s="1397"/>
      <c r="AG28" s="1398"/>
      <c r="AH28" s="1403"/>
      <c r="AI28" s="1404"/>
      <c r="AJ28" s="1404"/>
      <c r="AK28" s="1404"/>
      <c r="AL28" s="1398"/>
      <c r="AM28" s="524"/>
      <c r="AN28" s="525"/>
      <c r="AO28" s="525"/>
      <c r="AP28" s="525"/>
      <c r="AQ28" s="530"/>
      <c r="AR28" s="524"/>
      <c r="AS28" s="525"/>
      <c r="AT28" s="525"/>
      <c r="AU28" s="525"/>
      <c r="AV28" s="722"/>
      <c r="AW28" s="524"/>
      <c r="AX28" s="525"/>
      <c r="AY28" s="525"/>
      <c r="AZ28" s="525"/>
      <c r="BA28" s="722"/>
    </row>
    <row r="29" spans="1:53" ht="15" customHeight="1">
      <c r="A29" s="1414" t="s">
        <v>256</v>
      </c>
      <c r="B29" s="1415" t="s">
        <v>280</v>
      </c>
      <c r="C29" s="1416"/>
      <c r="D29" s="1293"/>
      <c r="E29" s="1292"/>
      <c r="F29" s="1292"/>
      <c r="G29" s="1292"/>
      <c r="H29" s="1388"/>
      <c r="I29" s="1293"/>
      <c r="J29" s="1292"/>
      <c r="K29" s="1292"/>
      <c r="L29" s="1292"/>
      <c r="M29" s="1388"/>
      <c r="N29" s="1293"/>
      <c r="O29" s="1292"/>
      <c r="P29" s="1292"/>
      <c r="Q29" s="1292"/>
      <c r="R29" s="1388"/>
      <c r="S29" s="1293"/>
      <c r="T29" s="1292"/>
      <c r="U29" s="1292"/>
      <c r="V29" s="1292"/>
      <c r="W29" s="1388"/>
      <c r="X29" s="1293"/>
      <c r="Y29" s="1292"/>
      <c r="Z29" s="1292"/>
      <c r="AA29" s="1292"/>
      <c r="AB29" s="1388"/>
      <c r="AC29" s="1293"/>
      <c r="AD29" s="1397"/>
      <c r="AE29" s="1397"/>
      <c r="AF29" s="1397"/>
      <c r="AG29" s="1398"/>
      <c r="AH29" s="1403"/>
      <c r="AI29" s="1404"/>
      <c r="AJ29" s="1404"/>
      <c r="AK29" s="1404"/>
      <c r="AL29" s="1398"/>
      <c r="AM29" s="524"/>
      <c r="AN29" s="525"/>
      <c r="AO29" s="525"/>
      <c r="AP29" s="525"/>
      <c r="AQ29" s="530"/>
      <c r="AR29" s="524"/>
      <c r="AS29" s="525"/>
      <c r="AT29" s="525"/>
      <c r="AU29" s="525"/>
      <c r="AV29" s="722"/>
      <c r="AW29" s="524"/>
      <c r="AX29" s="525"/>
      <c r="AY29" s="525"/>
      <c r="AZ29" s="525"/>
      <c r="BA29" s="722"/>
    </row>
    <row r="30" spans="1:53" ht="15" customHeight="1">
      <c r="A30" s="1414" t="s">
        <v>259</v>
      </c>
      <c r="B30" s="1415" t="s">
        <v>281</v>
      </c>
      <c r="C30" s="1416" t="s">
        <v>200</v>
      </c>
      <c r="D30" s="1293">
        <v>12.13</v>
      </c>
      <c r="E30" s="1292"/>
      <c r="F30" s="1292">
        <f>D30-F8</f>
        <v>11.815000000000001</v>
      </c>
      <c r="G30" s="1292">
        <f>F30-G9</f>
        <v>11.759000000000002</v>
      </c>
      <c r="H30" s="1388">
        <f>G30</f>
        <v>11.759000000000002</v>
      </c>
      <c r="I30" s="1293">
        <v>10.785</v>
      </c>
      <c r="J30" s="1292"/>
      <c r="K30" s="1292">
        <f>I30-K8</f>
        <v>10.742000000000001</v>
      </c>
      <c r="L30" s="1292">
        <f>K30-L8</f>
        <v>10.677000000000001</v>
      </c>
      <c r="M30" s="1388">
        <f>L30</f>
        <v>10.677000000000001</v>
      </c>
      <c r="N30" s="1293">
        <v>12.057</v>
      </c>
      <c r="O30" s="1292"/>
      <c r="P30" s="1292">
        <f>N30-P8</f>
        <v>11.94</v>
      </c>
      <c r="Q30" s="1292">
        <f>P30-Q8</f>
        <v>11.684999999999999</v>
      </c>
      <c r="R30" s="1388">
        <f>Q30</f>
        <v>11.684999999999999</v>
      </c>
      <c r="S30" s="1293">
        <v>8.4</v>
      </c>
      <c r="T30" s="1292"/>
      <c r="U30" s="1292">
        <f>S30-U8</f>
        <v>8.26</v>
      </c>
      <c r="V30" s="1292">
        <f>U30-V8</f>
        <v>8.0499999999999989</v>
      </c>
      <c r="W30" s="1388">
        <f>V30</f>
        <v>8.0499999999999989</v>
      </c>
      <c r="X30" s="1293">
        <f>'1.2.2'!G9</f>
        <v>4.4989999999999997</v>
      </c>
      <c r="Y30" s="1292"/>
      <c r="Z30" s="1292">
        <f>X30-Z8</f>
        <v>4.4829999999999997</v>
      </c>
      <c r="AA30" s="1292">
        <f>Z30-AA9</f>
        <v>4.4609999999999994</v>
      </c>
      <c r="AB30" s="1388">
        <f>AA30</f>
        <v>4.4609999999999994</v>
      </c>
      <c r="AC30" s="1293">
        <f>'1.2.2'!H9</f>
        <v>4.7039999999999997</v>
      </c>
      <c r="AD30" s="1397"/>
      <c r="AE30" s="1397">
        <f>AC30-AE8</f>
        <v>4.6879999999999997</v>
      </c>
      <c r="AF30" s="1397">
        <f>AE30-AF9</f>
        <v>4.6659999999999995</v>
      </c>
      <c r="AG30" s="1398">
        <f>AF30</f>
        <v>4.6659999999999995</v>
      </c>
      <c r="AH30" s="1403">
        <f>X30+AC30</f>
        <v>9.2029999999999994</v>
      </c>
      <c r="AI30" s="1404"/>
      <c r="AJ30" s="1404">
        <f>Z30+AE30</f>
        <v>9.1709999999999994</v>
      </c>
      <c r="AK30" s="1404">
        <f>AA30+AF30</f>
        <v>9.1269999999999989</v>
      </c>
      <c r="AL30" s="1398">
        <f>AB30+AG30</f>
        <v>9.1269999999999989</v>
      </c>
      <c r="AM30" s="524"/>
      <c r="AN30" s="525"/>
      <c r="AO30" s="525"/>
      <c r="AP30" s="525"/>
      <c r="AQ30" s="530"/>
      <c r="AR30" s="524"/>
      <c r="AS30" s="525"/>
      <c r="AT30" s="525"/>
      <c r="AU30" s="525"/>
      <c r="AV30" s="722"/>
      <c r="AW30" s="524"/>
      <c r="AX30" s="525"/>
      <c r="AY30" s="525"/>
      <c r="AZ30" s="525"/>
      <c r="BA30" s="722"/>
    </row>
    <row r="31" spans="1:53" ht="15" customHeight="1">
      <c r="A31" s="1414" t="s">
        <v>282</v>
      </c>
      <c r="B31" s="1415" t="s">
        <v>283</v>
      </c>
      <c r="C31" s="1416" t="s">
        <v>200</v>
      </c>
      <c r="D31" s="1293"/>
      <c r="E31" s="1292"/>
      <c r="F31" s="1292"/>
      <c r="G31" s="1292"/>
      <c r="H31" s="1388"/>
      <c r="I31" s="1293"/>
      <c r="J31" s="1292"/>
      <c r="K31" s="1292"/>
      <c r="L31" s="1292"/>
      <c r="M31" s="1388"/>
      <c r="N31" s="1293"/>
      <c r="O31" s="1292"/>
      <c r="P31" s="1292"/>
      <c r="Q31" s="1292"/>
      <c r="R31" s="1388"/>
      <c r="S31" s="1293"/>
      <c r="T31" s="1292"/>
      <c r="U31" s="1292"/>
      <c r="V31" s="1292"/>
      <c r="W31" s="1388"/>
      <c r="X31" s="1293"/>
      <c r="Y31" s="1292"/>
      <c r="Z31" s="1292"/>
      <c r="AA31" s="1292"/>
      <c r="AB31" s="1388"/>
      <c r="AC31" s="1293"/>
      <c r="AD31" s="1397"/>
      <c r="AE31" s="1397"/>
      <c r="AF31" s="1397"/>
      <c r="AG31" s="1398"/>
      <c r="AH31" s="1403"/>
      <c r="AI31" s="1404"/>
      <c r="AJ31" s="1404"/>
      <c r="AK31" s="1404"/>
      <c r="AL31" s="1398"/>
      <c r="AM31" s="524"/>
      <c r="AN31" s="525"/>
      <c r="AO31" s="525"/>
      <c r="AP31" s="525"/>
      <c r="AQ31" s="530"/>
      <c r="AR31" s="524"/>
      <c r="AS31" s="525"/>
      <c r="AT31" s="525"/>
      <c r="AU31" s="525"/>
      <c r="AV31" s="722"/>
      <c r="AW31" s="524"/>
      <c r="AX31" s="525"/>
      <c r="AY31" s="525"/>
      <c r="AZ31" s="525"/>
      <c r="BA31" s="722"/>
    </row>
    <row r="32" spans="1:53" ht="26.4">
      <c r="A32" s="1414" t="s">
        <v>253</v>
      </c>
      <c r="B32" s="1415" t="s">
        <v>254</v>
      </c>
      <c r="C32" s="1416" t="s">
        <v>274</v>
      </c>
      <c r="D32" s="1293"/>
      <c r="E32" s="1292"/>
      <c r="F32" s="1292"/>
      <c r="G32" s="1292"/>
      <c r="H32" s="1388"/>
      <c r="I32" s="1293"/>
      <c r="J32" s="1292"/>
      <c r="K32" s="1292"/>
      <c r="L32" s="1292"/>
      <c r="M32" s="1388"/>
      <c r="N32" s="1293"/>
      <c r="O32" s="1292"/>
      <c r="P32" s="1292"/>
      <c r="Q32" s="1292"/>
      <c r="R32" s="1388"/>
      <c r="S32" s="1293"/>
      <c r="T32" s="1292"/>
      <c r="U32" s="1292"/>
      <c r="V32" s="1292"/>
      <c r="W32" s="1388"/>
      <c r="X32" s="1293"/>
      <c r="Y32" s="1292"/>
      <c r="Z32" s="1292"/>
      <c r="AA32" s="1292"/>
      <c r="AB32" s="1388"/>
      <c r="AC32" s="1293"/>
      <c r="AD32" s="1397"/>
      <c r="AE32" s="1397"/>
      <c r="AF32" s="1397"/>
      <c r="AG32" s="1398"/>
      <c r="AH32" s="1403"/>
      <c r="AI32" s="1404"/>
      <c r="AJ32" s="1404"/>
      <c r="AK32" s="1404"/>
      <c r="AL32" s="1398"/>
      <c r="AM32" s="524"/>
      <c r="AN32" s="525"/>
      <c r="AO32" s="525"/>
      <c r="AP32" s="525"/>
      <c r="AQ32" s="530"/>
      <c r="AR32" s="524"/>
      <c r="AS32" s="525"/>
      <c r="AT32" s="525"/>
      <c r="AU32" s="525"/>
      <c r="AV32" s="722"/>
      <c r="AW32" s="524"/>
      <c r="AX32" s="525"/>
      <c r="AY32" s="525"/>
      <c r="AZ32" s="525"/>
      <c r="BA32" s="722"/>
    </row>
    <row r="33" spans="1:53" ht="15" customHeight="1">
      <c r="A33" s="1414" t="s">
        <v>256</v>
      </c>
      <c r="B33" s="1415" t="s">
        <v>284</v>
      </c>
      <c r="C33" s="1416" t="s">
        <v>269</v>
      </c>
      <c r="D33" s="1293"/>
      <c r="E33" s="1292"/>
      <c r="F33" s="1292"/>
      <c r="G33" s="1292"/>
      <c r="H33" s="1388"/>
      <c r="I33" s="1293"/>
      <c r="J33" s="1292"/>
      <c r="K33" s="1292"/>
      <c r="L33" s="1292"/>
      <c r="M33" s="1388"/>
      <c r="N33" s="1293"/>
      <c r="O33" s="1292"/>
      <c r="P33" s="1292"/>
      <c r="Q33" s="1292"/>
      <c r="R33" s="1388"/>
      <c r="S33" s="1293"/>
      <c r="T33" s="1292"/>
      <c r="U33" s="1292"/>
      <c r="V33" s="1292"/>
      <c r="W33" s="1388"/>
      <c r="X33" s="1293"/>
      <c r="Y33" s="1292"/>
      <c r="Z33" s="1292"/>
      <c r="AA33" s="1292"/>
      <c r="AB33" s="1388"/>
      <c r="AC33" s="1293"/>
      <c r="AD33" s="1397"/>
      <c r="AE33" s="1397"/>
      <c r="AF33" s="1397"/>
      <c r="AG33" s="1398"/>
      <c r="AH33" s="1403"/>
      <c r="AI33" s="1404"/>
      <c r="AJ33" s="1404"/>
      <c r="AK33" s="1404"/>
      <c r="AL33" s="1398"/>
      <c r="AM33" s="524"/>
      <c r="AN33" s="525"/>
      <c r="AO33" s="525"/>
      <c r="AP33" s="525"/>
      <c r="AQ33" s="530"/>
      <c r="AR33" s="524"/>
      <c r="AS33" s="525"/>
      <c r="AT33" s="525"/>
      <c r="AU33" s="525"/>
      <c r="AV33" s="722"/>
      <c r="AW33" s="524"/>
      <c r="AX33" s="525"/>
      <c r="AY33" s="525"/>
      <c r="AZ33" s="525"/>
      <c r="BA33" s="722"/>
    </row>
    <row r="34" spans="1:53" ht="29.85" customHeight="1">
      <c r="A34" s="1414" t="s">
        <v>131</v>
      </c>
      <c r="B34" s="1415" t="s">
        <v>285</v>
      </c>
      <c r="C34" s="1416" t="s">
        <v>200</v>
      </c>
      <c r="D34" s="1293"/>
      <c r="E34" s="1292"/>
      <c r="F34" s="1292"/>
      <c r="G34" s="1292"/>
      <c r="H34" s="1388"/>
      <c r="I34" s="1293"/>
      <c r="J34" s="1292"/>
      <c r="K34" s="1292"/>
      <c r="L34" s="1292"/>
      <c r="M34" s="1388"/>
      <c r="N34" s="1293"/>
      <c r="O34" s="1292"/>
      <c r="P34" s="1292"/>
      <c r="Q34" s="1292"/>
      <c r="R34" s="1388"/>
      <c r="S34" s="1293"/>
      <c r="T34" s="1292"/>
      <c r="U34" s="1292"/>
      <c r="V34" s="1292"/>
      <c r="W34" s="1388"/>
      <c r="X34" s="1293"/>
      <c r="Y34" s="1292"/>
      <c r="Z34" s="1292"/>
      <c r="AA34" s="1292"/>
      <c r="AB34" s="1388"/>
      <c r="AC34" s="1293"/>
      <c r="AD34" s="1397"/>
      <c r="AE34" s="1397"/>
      <c r="AF34" s="1397"/>
      <c r="AG34" s="1398"/>
      <c r="AH34" s="1403"/>
      <c r="AI34" s="1404"/>
      <c r="AJ34" s="1404"/>
      <c r="AK34" s="1404"/>
      <c r="AL34" s="1398"/>
      <c r="AM34" s="524"/>
      <c r="AN34" s="525"/>
      <c r="AO34" s="525"/>
      <c r="AP34" s="525"/>
      <c r="AQ34" s="530"/>
      <c r="AR34" s="524"/>
      <c r="AS34" s="525"/>
      <c r="AT34" s="525"/>
      <c r="AU34" s="525"/>
      <c r="AV34" s="722"/>
      <c r="AW34" s="524"/>
      <c r="AX34" s="525"/>
      <c r="AY34" s="525"/>
      <c r="AZ34" s="525"/>
      <c r="BA34" s="722"/>
    </row>
    <row r="35" spans="1:53" ht="24" customHeight="1">
      <c r="A35" s="1414" t="s">
        <v>132</v>
      </c>
      <c r="B35" s="1415" t="s">
        <v>286</v>
      </c>
      <c r="C35" s="1416" t="s">
        <v>200</v>
      </c>
      <c r="D35" s="1293"/>
      <c r="E35" s="1292"/>
      <c r="F35" s="1292"/>
      <c r="G35" s="1292"/>
      <c r="H35" s="1388"/>
      <c r="I35" s="1394"/>
      <c r="J35" s="1297"/>
      <c r="K35" s="1297"/>
      <c r="L35" s="1297"/>
      <c r="M35" s="1388"/>
      <c r="N35" s="1293"/>
      <c r="O35" s="1292"/>
      <c r="P35" s="1292"/>
      <c r="Q35" s="1292"/>
      <c r="R35" s="1388"/>
      <c r="S35" s="1293"/>
      <c r="T35" s="1292"/>
      <c r="U35" s="1292"/>
      <c r="V35" s="1292"/>
      <c r="W35" s="1388"/>
      <c r="X35" s="1293"/>
      <c r="Y35" s="1292"/>
      <c r="Z35" s="1292"/>
      <c r="AA35" s="1292"/>
      <c r="AB35" s="1388"/>
      <c r="AC35" s="1293"/>
      <c r="AD35" s="1397"/>
      <c r="AE35" s="1397"/>
      <c r="AF35" s="1397"/>
      <c r="AG35" s="1398"/>
      <c r="AH35" s="1403"/>
      <c r="AI35" s="1404"/>
      <c r="AJ35" s="1404"/>
      <c r="AK35" s="1404"/>
      <c r="AL35" s="1398"/>
      <c r="AM35" s="524"/>
      <c r="AN35" s="525"/>
      <c r="AO35" s="525"/>
      <c r="AP35" s="525"/>
      <c r="AQ35" s="530"/>
      <c r="AR35" s="524"/>
      <c r="AS35" s="525"/>
      <c r="AT35" s="525"/>
      <c r="AU35" s="525"/>
      <c r="AV35" s="722"/>
      <c r="AW35" s="524"/>
      <c r="AX35" s="525"/>
      <c r="AY35" s="525"/>
      <c r="AZ35" s="525"/>
      <c r="BA35" s="722"/>
    </row>
    <row r="36" spans="1:53" s="93" customFormat="1" ht="24" customHeight="1" thickBot="1">
      <c r="A36" s="1417" t="s">
        <v>133</v>
      </c>
      <c r="B36" s="1418" t="s">
        <v>287</v>
      </c>
      <c r="C36" s="1419" t="s">
        <v>200</v>
      </c>
      <c r="D36" s="1390"/>
      <c r="E36" s="1391"/>
      <c r="F36" s="1391">
        <f>F8</f>
        <v>0.315</v>
      </c>
      <c r="G36" s="1391">
        <f>G8</f>
        <v>5.6000000000000001E-2</v>
      </c>
      <c r="H36" s="1391">
        <f>H8</f>
        <v>0.371</v>
      </c>
      <c r="I36" s="1390"/>
      <c r="J36" s="1391"/>
      <c r="K36" s="1391">
        <f>K8</f>
        <v>4.2999999999999997E-2</v>
      </c>
      <c r="L36" s="1391">
        <f>L9</f>
        <v>6.5000000000000002E-2</v>
      </c>
      <c r="M36" s="1395">
        <f>L36+K36</f>
        <v>0.108</v>
      </c>
      <c r="N36" s="1390"/>
      <c r="O36" s="1391"/>
      <c r="P36" s="1391">
        <f>P8</f>
        <v>0.11700000000000001</v>
      </c>
      <c r="Q36" s="1391">
        <f>Q8</f>
        <v>0.255</v>
      </c>
      <c r="R36" s="1391">
        <f>R8</f>
        <v>0.372</v>
      </c>
      <c r="S36" s="1390"/>
      <c r="T36" s="1391"/>
      <c r="U36" s="1391">
        <f>U8</f>
        <v>0.14000000000000001</v>
      </c>
      <c r="V36" s="1391">
        <f>V8</f>
        <v>0.21</v>
      </c>
      <c r="W36" s="1395">
        <f>V36+U36</f>
        <v>0.35</v>
      </c>
      <c r="X36" s="1390"/>
      <c r="Y36" s="1391"/>
      <c r="Z36" s="1391">
        <f>Z8</f>
        <v>1.6E-2</v>
      </c>
      <c r="AA36" s="1391">
        <f>AA9</f>
        <v>2.1999999999999999E-2</v>
      </c>
      <c r="AB36" s="1395">
        <f>AA36+Z36</f>
        <v>3.7999999999999999E-2</v>
      </c>
      <c r="AC36" s="1390"/>
      <c r="AD36" s="1391"/>
      <c r="AE36" s="1391">
        <f>AE8</f>
        <v>1.6E-2</v>
      </c>
      <c r="AF36" s="1391">
        <f>AF9</f>
        <v>2.1999999999999999E-2</v>
      </c>
      <c r="AG36" s="1395">
        <f>AE36+AF36</f>
        <v>3.7999999999999999E-2</v>
      </c>
      <c r="AH36" s="1390"/>
      <c r="AI36" s="1391"/>
      <c r="AJ36" s="1391">
        <f>AJ8</f>
        <v>3.2000000000000001E-2</v>
      </c>
      <c r="AK36" s="1391">
        <f>AK9</f>
        <v>4.3999999999999997E-2</v>
      </c>
      <c r="AL36" s="1395">
        <f>AJ36+AK36</f>
        <v>7.5999999999999998E-2</v>
      </c>
      <c r="AM36" s="526"/>
      <c r="AN36" s="527"/>
      <c r="AO36" s="527"/>
      <c r="AP36" s="528"/>
      <c r="AQ36" s="531"/>
      <c r="AR36" s="526"/>
      <c r="AS36" s="527"/>
      <c r="AT36" s="527"/>
      <c r="AU36" s="528"/>
      <c r="AV36" s="723"/>
      <c r="AW36" s="526"/>
      <c r="AX36" s="527"/>
      <c r="AY36" s="527"/>
      <c r="AZ36" s="528"/>
      <c r="BA36" s="723"/>
    </row>
    <row r="37" spans="1:53">
      <c r="C37" s="19"/>
    </row>
    <row r="38" spans="1:53" ht="20.25" customHeight="1">
      <c r="B38" s="471" t="s">
        <v>381</v>
      </c>
      <c r="C38" s="19"/>
    </row>
    <row r="39" spans="1:53" s="97" customFormat="1" ht="15.75" customHeight="1">
      <c r="A39" s="94"/>
      <c r="B39" s="95"/>
      <c r="C39" s="96"/>
      <c r="D39" s="95"/>
      <c r="E39" s="95"/>
      <c r="F39" s="1718"/>
      <c r="G39" s="1718"/>
      <c r="H39" s="1718"/>
      <c r="I39" s="1718"/>
      <c r="J39" s="1718"/>
      <c r="K39" s="1718"/>
      <c r="L39" s="1718"/>
      <c r="M39" s="1718"/>
      <c r="N39" s="1718"/>
      <c r="O39" s="1718"/>
      <c r="P39" s="1718"/>
      <c r="Q39" s="1718"/>
      <c r="R39" s="1718"/>
      <c r="S39" s="121"/>
      <c r="T39" s="121"/>
      <c r="U39" s="121"/>
      <c r="V39" s="121"/>
      <c r="W39" s="121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</row>
    <row r="40" spans="1:53" ht="18.75" customHeight="1">
      <c r="A40" s="94"/>
      <c r="B40" s="471" t="s">
        <v>377</v>
      </c>
      <c r="C40" s="497"/>
      <c r="D40" s="497"/>
      <c r="E40" s="497"/>
      <c r="F40" s="476" t="s">
        <v>436</v>
      </c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V40" s="242"/>
    </row>
    <row r="41" spans="1:53">
      <c r="B41" s="110" t="s">
        <v>378</v>
      </c>
      <c r="C41" s="464"/>
      <c r="D41" s="464"/>
      <c r="E41" s="464"/>
      <c r="F41" s="464"/>
    </row>
    <row r="42" spans="1:53" ht="15.6">
      <c r="B42" s="110" t="s">
        <v>379</v>
      </c>
      <c r="C42" s="476"/>
      <c r="D42" s="499"/>
      <c r="E42" s="500"/>
      <c r="F42" s="476"/>
      <c r="G42" s="99"/>
    </row>
    <row r="43" spans="1:53">
      <c r="C43" s="19"/>
      <c r="AV43" s="242"/>
    </row>
    <row r="44" spans="1:53">
      <c r="C44" s="19"/>
    </row>
    <row r="45" spans="1:53">
      <c r="C45" s="19"/>
    </row>
    <row r="46" spans="1:53">
      <c r="C46" s="19"/>
    </row>
    <row r="47" spans="1:53">
      <c r="C47" s="19"/>
    </row>
    <row r="48" spans="1:53">
      <c r="C48" s="19"/>
    </row>
    <row r="49" spans="3:3">
      <c r="C49" s="19"/>
    </row>
    <row r="50" spans="3:3">
      <c r="C50" s="19"/>
    </row>
    <row r="51" spans="3:3">
      <c r="C51" s="19"/>
    </row>
    <row r="52" spans="3:3">
      <c r="C52" s="19"/>
    </row>
    <row r="53" spans="3:3">
      <c r="C53" s="19"/>
    </row>
    <row r="54" spans="3:3">
      <c r="C54" s="19"/>
    </row>
    <row r="55" spans="3:3">
      <c r="C55" s="19"/>
    </row>
    <row r="56" spans="3:3">
      <c r="C56" s="19"/>
    </row>
    <row r="57" spans="3:3">
      <c r="C57" s="19"/>
    </row>
    <row r="58" spans="3:3">
      <c r="C58" s="19"/>
    </row>
    <row r="59" spans="3:3">
      <c r="C59" s="19"/>
    </row>
    <row r="60" spans="3:3">
      <c r="C60" s="19"/>
    </row>
    <row r="61" spans="3:3">
      <c r="C61" s="19"/>
    </row>
    <row r="62" spans="3:3">
      <c r="C62" s="19"/>
    </row>
    <row r="63" spans="3:3">
      <c r="C63" s="19"/>
    </row>
    <row r="64" spans="3:3">
      <c r="C64" s="19"/>
    </row>
    <row r="65" spans="3:3">
      <c r="C65" s="19"/>
    </row>
    <row r="66" spans="3:3">
      <c r="C66" s="19"/>
    </row>
    <row r="67" spans="3:3">
      <c r="C67" s="19"/>
    </row>
    <row r="68" spans="3:3">
      <c r="C68" s="19"/>
    </row>
    <row r="69" spans="3:3">
      <c r="C69" s="19"/>
    </row>
    <row r="70" spans="3:3">
      <c r="C70" s="19"/>
    </row>
    <row r="71" spans="3:3">
      <c r="C71" s="19"/>
    </row>
    <row r="72" spans="3:3">
      <c r="C72" s="19"/>
    </row>
    <row r="73" spans="3:3">
      <c r="C73" s="19"/>
    </row>
    <row r="74" spans="3:3">
      <c r="C74" s="19"/>
    </row>
    <row r="75" spans="3:3">
      <c r="C75" s="19"/>
    </row>
    <row r="76" spans="3:3">
      <c r="C76" s="19"/>
    </row>
    <row r="77" spans="3:3">
      <c r="C77" s="19"/>
    </row>
    <row r="78" spans="3:3">
      <c r="C78" s="19"/>
    </row>
    <row r="79" spans="3:3">
      <c r="C79" s="19"/>
    </row>
    <row r="80" spans="3:3">
      <c r="C80" s="19"/>
    </row>
    <row r="81" spans="3:3">
      <c r="C81" s="19"/>
    </row>
    <row r="82" spans="3:3">
      <c r="C82" s="19"/>
    </row>
    <row r="83" spans="3:3">
      <c r="C83" s="19"/>
    </row>
    <row r="84" spans="3:3">
      <c r="C84" s="19"/>
    </row>
    <row r="85" spans="3:3">
      <c r="C85" s="19"/>
    </row>
    <row r="86" spans="3:3">
      <c r="C86" s="19"/>
    </row>
    <row r="87" spans="3:3">
      <c r="C87" s="19"/>
    </row>
    <row r="88" spans="3:3">
      <c r="C88" s="19"/>
    </row>
    <row r="89" spans="3:3">
      <c r="C89" s="19"/>
    </row>
    <row r="90" spans="3:3">
      <c r="C90" s="19"/>
    </row>
    <row r="91" spans="3:3">
      <c r="C91" s="19"/>
    </row>
    <row r="92" spans="3:3">
      <c r="C92" s="19"/>
    </row>
    <row r="93" spans="3:3">
      <c r="C93" s="19"/>
    </row>
    <row r="94" spans="3:3">
      <c r="C94" s="19"/>
    </row>
    <row r="95" spans="3:3">
      <c r="C95" s="19"/>
    </row>
    <row r="96" spans="3:3">
      <c r="C96" s="19"/>
    </row>
    <row r="97" spans="3:3">
      <c r="C97" s="19"/>
    </row>
    <row r="98" spans="3:3">
      <c r="C98" s="19"/>
    </row>
    <row r="99" spans="3:3">
      <c r="C99" s="19"/>
    </row>
    <row r="100" spans="3:3">
      <c r="C100" s="19"/>
    </row>
    <row r="101" spans="3:3">
      <c r="C101" s="19"/>
    </row>
    <row r="102" spans="3:3">
      <c r="C102" s="19"/>
    </row>
    <row r="103" spans="3:3">
      <c r="C103" s="19"/>
    </row>
    <row r="104" spans="3:3">
      <c r="C104" s="19"/>
    </row>
    <row r="105" spans="3:3">
      <c r="C105" s="19"/>
    </row>
    <row r="106" spans="3:3">
      <c r="C106" s="19"/>
    </row>
    <row r="107" spans="3:3">
      <c r="C107" s="19"/>
    </row>
    <row r="108" spans="3:3">
      <c r="C108" s="19"/>
    </row>
    <row r="109" spans="3:3">
      <c r="C109" s="19"/>
    </row>
    <row r="110" spans="3:3">
      <c r="C110" s="19"/>
    </row>
    <row r="111" spans="3:3">
      <c r="C111" s="19"/>
    </row>
    <row r="112" spans="3:3">
      <c r="C112" s="19"/>
    </row>
  </sheetData>
  <mergeCells count="14">
    <mergeCell ref="AW5:BA5"/>
    <mergeCell ref="F39:R39"/>
    <mergeCell ref="N5:R5"/>
    <mergeCell ref="X5:AB5"/>
    <mergeCell ref="AR5:AV5"/>
    <mergeCell ref="B1:I1"/>
    <mergeCell ref="AC5:AG5"/>
    <mergeCell ref="AH5:AL5"/>
    <mergeCell ref="AM5:AQ5"/>
    <mergeCell ref="B5:B6"/>
    <mergeCell ref="C5:C6"/>
    <mergeCell ref="D5:H5"/>
    <mergeCell ref="I5:M5"/>
    <mergeCell ref="S5:W5"/>
  </mergeCells>
  <phoneticPr fontId="4" type="noConversion"/>
  <pageMargins left="0" right="0" top="0.74803149606299213" bottom="0.74803149606299213" header="0.31496062992125984" footer="0.31496062992125984"/>
  <pageSetup paperSize="8" scale="3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BE45"/>
  <sheetViews>
    <sheetView zoomScaleNormal="70" zoomScaleSheetLayoutView="80" workbookViewId="0">
      <pane xSplit="2" ySplit="6" topLeftCell="H30" activePane="bottomRight" state="frozen"/>
      <selection pane="topRight" activeCell="C1" sqref="C1"/>
      <selection pane="bottomLeft" activeCell="A7" sqref="A7"/>
      <selection pane="bottomRight" activeCell="A44" sqref="A44"/>
    </sheetView>
  </sheetViews>
  <sheetFormatPr defaultColWidth="9.33203125" defaultRowHeight="13.2"/>
  <cols>
    <col min="1" max="1" width="5.44140625" style="29" customWidth="1"/>
    <col min="2" max="2" width="48.44140625" style="620" customWidth="1"/>
    <col min="3" max="7" width="0" style="29" hidden="1" customWidth="1"/>
    <col min="8" max="8" width="7" style="29" customWidth="1"/>
    <col min="9" max="9" width="6.33203125" style="29" customWidth="1"/>
    <col min="10" max="10" width="5.109375" style="29" customWidth="1"/>
    <col min="11" max="11" width="8.109375" style="29" customWidth="1"/>
    <col min="12" max="12" width="9.33203125" style="29"/>
    <col min="13" max="13" width="7.6640625" style="29" customWidth="1"/>
    <col min="14" max="14" width="6" style="29" customWidth="1"/>
    <col min="15" max="15" width="5" style="29" bestFit="1" customWidth="1"/>
    <col min="16" max="16" width="6" style="29" customWidth="1"/>
    <col min="17" max="17" width="7" style="29" customWidth="1"/>
    <col min="18" max="18" width="6.6640625" style="29" customWidth="1"/>
    <col min="19" max="19" width="6.44140625" style="29" customWidth="1"/>
    <col min="20" max="20" width="5.33203125" style="29" customWidth="1"/>
    <col min="21" max="21" width="6.21875" style="29" customWidth="1"/>
    <col min="22" max="27" width="6.33203125" style="29" customWidth="1"/>
    <col min="28" max="28" width="6.6640625" style="29" customWidth="1"/>
    <col min="29" max="29" width="6.109375" style="29" customWidth="1"/>
    <col min="30" max="30" width="5.33203125" style="29" customWidth="1"/>
    <col min="31" max="31" width="7" style="29" customWidth="1"/>
    <col min="32" max="32" width="6.33203125" style="29" customWidth="1"/>
    <col min="33" max="33" width="6.6640625" style="29" customWidth="1"/>
    <col min="34" max="34" width="6.109375" style="29" customWidth="1"/>
    <col min="35" max="36" width="5.33203125" style="29" customWidth="1"/>
    <col min="37" max="37" width="6.33203125" style="29" customWidth="1"/>
    <col min="38" max="38" width="6.77734375" style="29" customWidth="1"/>
    <col min="39" max="52" width="6.6640625" style="29" customWidth="1"/>
    <col min="53" max="16384" width="9.33203125" style="29"/>
  </cols>
  <sheetData>
    <row r="1" spans="1:57" s="542" customFormat="1" ht="15.6">
      <c r="A1" s="540"/>
      <c r="B1" s="621" t="s">
        <v>380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  <c r="AM1" s="624" t="s">
        <v>386</v>
      </c>
    </row>
    <row r="2" spans="1:57" ht="17.399999999999999">
      <c r="A2" s="541"/>
      <c r="B2" s="543"/>
      <c r="C2" s="540"/>
      <c r="D2" s="540"/>
      <c r="E2" s="540"/>
      <c r="F2" s="540"/>
      <c r="G2" s="540"/>
      <c r="L2" s="540"/>
      <c r="AM2" s="540"/>
      <c r="AN2" s="540"/>
      <c r="AO2" s="540"/>
      <c r="AP2" s="544"/>
      <c r="AR2" s="540"/>
      <c r="AS2" s="540"/>
      <c r="AT2" s="540"/>
      <c r="AU2" s="544"/>
      <c r="AW2" s="540"/>
      <c r="AX2" s="540"/>
      <c r="AY2" s="540"/>
      <c r="AZ2" s="624" t="s">
        <v>386</v>
      </c>
    </row>
    <row r="3" spans="1:57" s="542" customFormat="1" ht="16.8">
      <c r="A3" s="35"/>
      <c r="B3" s="622" t="s">
        <v>289</v>
      </c>
      <c r="C3" s="35"/>
      <c r="D3" s="35"/>
      <c r="E3" s="35"/>
      <c r="F3" s="35"/>
      <c r="G3" s="35"/>
      <c r="L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M3" s="35"/>
      <c r="AN3" s="35"/>
      <c r="AP3" s="35"/>
      <c r="AR3" s="35"/>
      <c r="AS3" s="35"/>
      <c r="AU3" s="35"/>
      <c r="AW3" s="35"/>
      <c r="AX3" s="35"/>
      <c r="AZ3" s="35"/>
    </row>
    <row r="4" spans="1:57" ht="15.6" thickBot="1">
      <c r="A4" s="545"/>
      <c r="B4" s="546"/>
      <c r="C4" s="547"/>
      <c r="D4" s="547"/>
      <c r="E4" s="547"/>
      <c r="F4" s="547"/>
      <c r="G4" s="547"/>
      <c r="H4" s="547"/>
      <c r="I4" s="547"/>
      <c r="J4" s="547"/>
      <c r="K4" s="547"/>
      <c r="L4" s="547"/>
      <c r="AP4" s="548"/>
      <c r="AU4" s="548"/>
      <c r="AZ4" s="548" t="s">
        <v>347</v>
      </c>
    </row>
    <row r="5" spans="1:57" ht="42.75" customHeight="1" thickBot="1">
      <c r="A5" s="549" t="s">
        <v>196</v>
      </c>
      <c r="B5" s="550" t="s">
        <v>197</v>
      </c>
      <c r="C5" s="551" t="s">
        <v>387</v>
      </c>
      <c r="D5" s="552"/>
      <c r="E5" s="552"/>
      <c r="F5" s="552"/>
      <c r="G5" s="553"/>
      <c r="H5" s="1708" t="str">
        <f>'1.2.2'!C5:C6</f>
        <v>Утверждено РСТ КК на 2015 г.</v>
      </c>
      <c r="I5" s="1709"/>
      <c r="J5" s="1709"/>
      <c r="K5" s="1709"/>
      <c r="L5" s="1710"/>
      <c r="M5" s="1708" t="str">
        <f>'1.2.2'!D5:D6</f>
        <v>Факт 2015 г.</v>
      </c>
      <c r="N5" s="1709"/>
      <c r="O5" s="1709"/>
      <c r="P5" s="1709"/>
      <c r="Q5" s="1710"/>
      <c r="R5" s="1708" t="str">
        <f>'1.2.2'!E5:E6</f>
        <v>Утверждено РСТ КК на 2016 г.</v>
      </c>
      <c r="S5" s="1709"/>
      <c r="T5" s="1709"/>
      <c r="U5" s="1709"/>
      <c r="V5" s="1710"/>
      <c r="W5" s="1708" t="str">
        <f>'1.2.2'!F5:F6</f>
        <v>Ожидаемый факт 2016 г.</v>
      </c>
      <c r="X5" s="1709"/>
      <c r="Y5" s="1709"/>
      <c r="Z5" s="1709"/>
      <c r="AA5" s="1710"/>
      <c r="AB5" s="1719" t="str">
        <f>'1.2.2'!G5:G6</f>
        <v>Предложения на 1-е полугодие 2017 г</v>
      </c>
      <c r="AC5" s="1720" t="s">
        <v>385</v>
      </c>
      <c r="AD5" s="1720" t="s">
        <v>385</v>
      </c>
      <c r="AE5" s="1720" t="s">
        <v>385</v>
      </c>
      <c r="AF5" s="1721" t="s">
        <v>385</v>
      </c>
      <c r="AG5" s="1719" t="str">
        <f>'1.2.2'!H5:H6</f>
        <v>Предложения на 2-е полугодие 2017 г</v>
      </c>
      <c r="AH5" s="1720" t="s">
        <v>385</v>
      </c>
      <c r="AI5" s="1720" t="s">
        <v>385</v>
      </c>
      <c r="AJ5" s="1720" t="s">
        <v>385</v>
      </c>
      <c r="AK5" s="1721" t="s">
        <v>385</v>
      </c>
      <c r="AL5" s="1719" t="str">
        <f>'1.2.2'!I5:I6</f>
        <v>Предложения на  2017 г</v>
      </c>
      <c r="AM5" s="1720" t="s">
        <v>385</v>
      </c>
      <c r="AN5" s="1720" t="s">
        <v>385</v>
      </c>
      <c r="AO5" s="1720" t="s">
        <v>385</v>
      </c>
      <c r="AP5" s="1721" t="s">
        <v>385</v>
      </c>
      <c r="AQ5" s="1711" t="str">
        <f>'1.2.2'!N5:N6</f>
        <v>Утвержденона 1-е  РСТ на 2017 г.</v>
      </c>
      <c r="AR5" s="1712"/>
      <c r="AS5" s="1712"/>
      <c r="AT5" s="1712"/>
      <c r="AU5" s="1713"/>
      <c r="AV5" s="1711" t="str">
        <f>'1.2.2'!O5:O6</f>
        <v>Утвержденона 2-е  РСТ на 2017 г.</v>
      </c>
      <c r="AW5" s="1712"/>
      <c r="AX5" s="1712"/>
      <c r="AY5" s="1712"/>
      <c r="AZ5" s="1713"/>
      <c r="BA5" s="1711" t="str">
        <f>'1.2.2'!P5:P6</f>
        <v>Утверждено РСТ на 2017 г.</v>
      </c>
      <c r="BB5" s="1712"/>
      <c r="BC5" s="1712"/>
      <c r="BD5" s="1712"/>
      <c r="BE5" s="1713"/>
    </row>
    <row r="6" spans="1:57" ht="20.25" customHeight="1" thickBot="1">
      <c r="A6" s="554"/>
      <c r="B6" s="135"/>
      <c r="C6" s="555" t="s">
        <v>250</v>
      </c>
      <c r="D6" s="556" t="s">
        <v>135</v>
      </c>
      <c r="E6" s="556" t="s">
        <v>136</v>
      </c>
      <c r="F6" s="556" t="s">
        <v>137</v>
      </c>
      <c r="G6" s="557" t="s">
        <v>138</v>
      </c>
      <c r="H6" s="1442" t="s">
        <v>250</v>
      </c>
      <c r="I6" s="1443" t="s">
        <v>135</v>
      </c>
      <c r="J6" s="1443" t="s">
        <v>136</v>
      </c>
      <c r="K6" s="1443" t="s">
        <v>293</v>
      </c>
      <c r="L6" s="1444" t="s">
        <v>138</v>
      </c>
      <c r="M6" s="1442" t="s">
        <v>250</v>
      </c>
      <c r="N6" s="1443" t="s">
        <v>135</v>
      </c>
      <c r="O6" s="1443" t="s">
        <v>136</v>
      </c>
      <c r="P6" s="1443" t="s">
        <v>293</v>
      </c>
      <c r="Q6" s="1445" t="s">
        <v>138</v>
      </c>
      <c r="R6" s="1446" t="s">
        <v>250</v>
      </c>
      <c r="S6" s="1447" t="s">
        <v>135</v>
      </c>
      <c r="T6" s="1447" t="s">
        <v>136</v>
      </c>
      <c r="U6" s="1447" t="s">
        <v>293</v>
      </c>
      <c r="V6" s="1448" t="s">
        <v>138</v>
      </c>
      <c r="W6" s="1442" t="s">
        <v>250</v>
      </c>
      <c r="X6" s="1443" t="s">
        <v>135</v>
      </c>
      <c r="Y6" s="1443" t="s">
        <v>136</v>
      </c>
      <c r="Z6" s="1443" t="s">
        <v>293</v>
      </c>
      <c r="AA6" s="1445" t="s">
        <v>138</v>
      </c>
      <c r="AB6" s="1446" t="s">
        <v>250</v>
      </c>
      <c r="AC6" s="1447" t="s">
        <v>135</v>
      </c>
      <c r="AD6" s="1447" t="s">
        <v>136</v>
      </c>
      <c r="AE6" s="1447" t="s">
        <v>293</v>
      </c>
      <c r="AF6" s="1448" t="s">
        <v>138</v>
      </c>
      <c r="AG6" s="1449" t="s">
        <v>250</v>
      </c>
      <c r="AH6" s="1450" t="s">
        <v>135</v>
      </c>
      <c r="AI6" s="1450" t="s">
        <v>136</v>
      </c>
      <c r="AJ6" s="1450" t="s">
        <v>293</v>
      </c>
      <c r="AK6" s="1451" t="s">
        <v>138</v>
      </c>
      <c r="AL6" s="1452" t="s">
        <v>250</v>
      </c>
      <c r="AM6" s="1453" t="s">
        <v>135</v>
      </c>
      <c r="AN6" s="1453" t="s">
        <v>136</v>
      </c>
      <c r="AO6" s="1453" t="s">
        <v>293</v>
      </c>
      <c r="AP6" s="1454" t="s">
        <v>138</v>
      </c>
      <c r="AQ6" s="1455" t="s">
        <v>250</v>
      </c>
      <c r="AR6" s="1456" t="s">
        <v>135</v>
      </c>
      <c r="AS6" s="1456" t="s">
        <v>136</v>
      </c>
      <c r="AT6" s="1456" t="s">
        <v>293</v>
      </c>
      <c r="AU6" s="1457" t="s">
        <v>138</v>
      </c>
      <c r="AV6" s="1455" t="s">
        <v>250</v>
      </c>
      <c r="AW6" s="1456" t="s">
        <v>135</v>
      </c>
      <c r="AX6" s="1456" t="s">
        <v>136</v>
      </c>
      <c r="AY6" s="1456" t="s">
        <v>293</v>
      </c>
      <c r="AZ6" s="1457" t="s">
        <v>138</v>
      </c>
      <c r="BA6" s="1455" t="s">
        <v>250</v>
      </c>
      <c r="BB6" s="1456" t="s">
        <v>135</v>
      </c>
      <c r="BC6" s="1456" t="s">
        <v>136</v>
      </c>
      <c r="BD6" s="1456" t="s">
        <v>293</v>
      </c>
      <c r="BE6" s="1457" t="s">
        <v>138</v>
      </c>
    </row>
    <row r="7" spans="1:57" s="33" customFormat="1" ht="11.4">
      <c r="A7" s="558">
        <v>1</v>
      </c>
      <c r="B7" s="30">
        <v>2</v>
      </c>
      <c r="C7" s="559">
        <f>B7+1</f>
        <v>3</v>
      </c>
      <c r="D7" s="31">
        <f>C7+1</f>
        <v>4</v>
      </c>
      <c r="E7" s="31">
        <f>D7+1</f>
        <v>5</v>
      </c>
      <c r="F7" s="31">
        <f>E7+1</f>
        <v>6</v>
      </c>
      <c r="G7" s="32">
        <f>F7+1</f>
        <v>7</v>
      </c>
      <c r="H7" s="559">
        <v>3</v>
      </c>
      <c r="I7" s="31">
        <v>4</v>
      </c>
      <c r="J7" s="31">
        <f>I7+1</f>
        <v>5</v>
      </c>
      <c r="K7" s="31">
        <f>J7+1</f>
        <v>6</v>
      </c>
      <c r="L7" s="32">
        <f>K7+1</f>
        <v>7</v>
      </c>
      <c r="M7" s="558">
        <v>8</v>
      </c>
      <c r="N7" s="560">
        <f>M7+1</f>
        <v>9</v>
      </c>
      <c r="O7" s="560">
        <f>N7+1</f>
        <v>10</v>
      </c>
      <c r="P7" s="560">
        <f>O7+1</f>
        <v>11</v>
      </c>
      <c r="Q7" s="561">
        <f>P7+1</f>
        <v>12</v>
      </c>
      <c r="R7" s="562">
        <v>13</v>
      </c>
      <c r="S7" s="563">
        <v>14</v>
      </c>
      <c r="T7" s="560">
        <v>15</v>
      </c>
      <c r="U7" s="563">
        <v>16</v>
      </c>
      <c r="V7" s="564">
        <v>17</v>
      </c>
      <c r="W7" s="558">
        <v>18</v>
      </c>
      <c r="X7" s="560">
        <v>19</v>
      </c>
      <c r="Y7" s="560">
        <v>20</v>
      </c>
      <c r="Z7" s="560">
        <v>21</v>
      </c>
      <c r="AA7" s="561">
        <v>22</v>
      </c>
      <c r="AB7" s="565">
        <v>23</v>
      </c>
      <c r="AC7" s="560">
        <v>24</v>
      </c>
      <c r="AD7" s="563">
        <v>25</v>
      </c>
      <c r="AE7" s="560">
        <v>26</v>
      </c>
      <c r="AF7" s="564">
        <v>27</v>
      </c>
      <c r="AG7" s="562">
        <v>28</v>
      </c>
      <c r="AH7" s="563">
        <v>29</v>
      </c>
      <c r="AI7" s="560">
        <v>30</v>
      </c>
      <c r="AJ7" s="563">
        <v>31</v>
      </c>
      <c r="AK7" s="564">
        <v>32</v>
      </c>
      <c r="AL7" s="565">
        <v>33</v>
      </c>
      <c r="AM7" s="560">
        <v>34</v>
      </c>
      <c r="AN7" s="563">
        <v>35</v>
      </c>
      <c r="AO7" s="560">
        <v>36</v>
      </c>
      <c r="AP7" s="564">
        <v>37</v>
      </c>
      <c r="AQ7" s="625">
        <v>38</v>
      </c>
      <c r="AR7" s="626">
        <v>39</v>
      </c>
      <c r="AS7" s="627">
        <v>40</v>
      </c>
      <c r="AT7" s="626">
        <v>41</v>
      </c>
      <c r="AU7" s="628">
        <v>42</v>
      </c>
      <c r="AV7" s="625">
        <v>43</v>
      </c>
      <c r="AW7" s="626">
        <v>44</v>
      </c>
      <c r="AX7" s="627">
        <v>45</v>
      </c>
      <c r="AY7" s="626">
        <v>46</v>
      </c>
      <c r="AZ7" s="628">
        <v>47</v>
      </c>
      <c r="BA7" s="625">
        <v>43</v>
      </c>
      <c r="BB7" s="626">
        <v>44</v>
      </c>
      <c r="BC7" s="627">
        <v>45</v>
      </c>
      <c r="BD7" s="626">
        <v>46</v>
      </c>
      <c r="BE7" s="628">
        <v>47</v>
      </c>
    </row>
    <row r="8" spans="1:57" s="542" customFormat="1">
      <c r="A8" s="566" t="s">
        <v>130</v>
      </c>
      <c r="B8" s="567" t="s">
        <v>290</v>
      </c>
      <c r="C8" s="568"/>
      <c r="D8" s="569"/>
      <c r="E8" s="569"/>
      <c r="F8" s="569"/>
      <c r="G8" s="570" t="e">
        <f>F8-F17</f>
        <v>#REF!</v>
      </c>
      <c r="H8" s="1420">
        <f>H16</f>
        <v>12.13</v>
      </c>
      <c r="I8" s="1421">
        <f>I16</f>
        <v>13.416</v>
      </c>
      <c r="J8" s="1421"/>
      <c r="K8" s="1421">
        <v>14.231999999999999</v>
      </c>
      <c r="L8" s="1421">
        <f>K16</f>
        <v>13.917</v>
      </c>
      <c r="M8" s="1420">
        <f>M16</f>
        <v>10.785</v>
      </c>
      <c r="N8" s="1421">
        <v>9.7420000000000009</v>
      </c>
      <c r="O8" s="1421"/>
      <c r="P8" s="1431">
        <f>N16</f>
        <v>10.785</v>
      </c>
      <c r="Q8" s="1432">
        <f>P16</f>
        <v>10.742000000000001</v>
      </c>
      <c r="R8" s="1458">
        <f>R16</f>
        <v>12.157</v>
      </c>
      <c r="S8" s="1432">
        <f>S16</f>
        <v>12.157</v>
      </c>
      <c r="T8" s="1432"/>
      <c r="U8" s="1459">
        <f>S16</f>
        <v>12.157</v>
      </c>
      <c r="V8" s="1460">
        <f>U16</f>
        <v>12.04</v>
      </c>
      <c r="W8" s="1458">
        <f>W16</f>
        <v>8.4</v>
      </c>
      <c r="X8" s="1432">
        <f>X16</f>
        <v>8.4</v>
      </c>
      <c r="Y8" s="1432"/>
      <c r="Z8" s="1432">
        <f>X16</f>
        <v>8.4</v>
      </c>
      <c r="AA8" s="1460">
        <f>Z11</f>
        <v>8.26</v>
      </c>
      <c r="AB8" s="1458">
        <f>AC8</f>
        <v>4.4989999999999997</v>
      </c>
      <c r="AC8" s="1432">
        <f>AC16</f>
        <v>4.4989999999999997</v>
      </c>
      <c r="AD8" s="1432"/>
      <c r="AE8" s="1432">
        <f>AC16</f>
        <v>4.4989999999999997</v>
      </c>
      <c r="AF8" s="1460">
        <f>AE11</f>
        <v>4.4829999999999997</v>
      </c>
      <c r="AG8" s="1479">
        <f>AG16</f>
        <v>4.7039999999999997</v>
      </c>
      <c r="AH8" s="1421">
        <f>AH16</f>
        <v>4.7039999999999997</v>
      </c>
      <c r="AI8" s="1421"/>
      <c r="AJ8" s="1421">
        <f>AH16</f>
        <v>4.7039999999999997</v>
      </c>
      <c r="AK8" s="1460">
        <f>AJ11</f>
        <v>4.6879999999999997</v>
      </c>
      <c r="AL8" s="580">
        <f>AB8+AG8</f>
        <v>9.2029999999999994</v>
      </c>
      <c r="AM8" s="575">
        <f>AC8+AH8</f>
        <v>9.2029999999999994</v>
      </c>
      <c r="AN8" s="575"/>
      <c r="AO8" s="575">
        <f>AE8+AJ8</f>
        <v>9.2029999999999994</v>
      </c>
      <c r="AP8" s="579">
        <v>11.86</v>
      </c>
      <c r="AQ8" s="629"/>
      <c r="AR8" s="630"/>
      <c r="AS8" s="630"/>
      <c r="AT8" s="630"/>
      <c r="AU8" s="631"/>
      <c r="AV8" s="629"/>
      <c r="AW8" s="630"/>
      <c r="AX8" s="630"/>
      <c r="AY8" s="630"/>
      <c r="AZ8" s="631"/>
      <c r="BA8" s="629"/>
      <c r="BB8" s="630"/>
      <c r="BC8" s="630"/>
      <c r="BD8" s="630"/>
      <c r="BE8" s="631"/>
    </row>
    <row r="9" spans="1:57" s="542" customFormat="1">
      <c r="A9" s="566" t="s">
        <v>177</v>
      </c>
      <c r="B9" s="567" t="s">
        <v>291</v>
      </c>
      <c r="C9" s="568"/>
      <c r="D9" s="569"/>
      <c r="E9" s="569"/>
      <c r="F9" s="571">
        <f>F13</f>
        <v>0</v>
      </c>
      <c r="G9" s="570" t="e">
        <f>G8</f>
        <v>#REF!</v>
      </c>
      <c r="H9" s="573"/>
      <c r="I9" s="575"/>
      <c r="J9" s="575"/>
      <c r="K9" s="574"/>
      <c r="L9" s="576"/>
      <c r="M9" s="573"/>
      <c r="N9" s="575"/>
      <c r="O9" s="575"/>
      <c r="P9" s="574"/>
      <c r="Q9" s="577"/>
      <c r="R9" s="578"/>
      <c r="S9" s="577"/>
      <c r="T9" s="577"/>
      <c r="U9" s="577"/>
      <c r="V9" s="579"/>
      <c r="W9" s="578"/>
      <c r="X9" s="577"/>
      <c r="Y9" s="577"/>
      <c r="Z9" s="577"/>
      <c r="AA9" s="579"/>
      <c r="AB9" s="578"/>
      <c r="AC9" s="577"/>
      <c r="AD9" s="577"/>
      <c r="AE9" s="577"/>
      <c r="AF9" s="579"/>
      <c r="AG9" s="580"/>
      <c r="AH9" s="575"/>
      <c r="AI9" s="575"/>
      <c r="AJ9" s="575"/>
      <c r="AK9" s="579"/>
      <c r="AL9" s="580"/>
      <c r="AM9" s="575"/>
      <c r="AN9" s="575"/>
      <c r="AO9" s="575"/>
      <c r="AP9" s="579"/>
      <c r="AQ9" s="629"/>
      <c r="AR9" s="630"/>
      <c r="AS9" s="630"/>
      <c r="AT9" s="630"/>
      <c r="AU9" s="631"/>
      <c r="AV9" s="629"/>
      <c r="AW9" s="630"/>
      <c r="AX9" s="630"/>
      <c r="AY9" s="630"/>
      <c r="AZ9" s="631"/>
      <c r="BA9" s="629"/>
      <c r="BB9" s="630"/>
      <c r="BC9" s="630"/>
      <c r="BD9" s="630"/>
      <c r="BE9" s="631"/>
    </row>
    <row r="10" spans="1:57" s="542" customFormat="1">
      <c r="A10" s="566"/>
      <c r="B10" s="567" t="s">
        <v>292</v>
      </c>
      <c r="C10" s="568"/>
      <c r="D10" s="569"/>
      <c r="E10" s="569"/>
      <c r="F10" s="569"/>
      <c r="G10" s="570"/>
      <c r="H10" s="573"/>
      <c r="I10" s="575"/>
      <c r="J10" s="575"/>
      <c r="K10" s="575"/>
      <c r="L10" s="575"/>
      <c r="M10" s="573"/>
      <c r="N10" s="575"/>
      <c r="O10" s="575"/>
      <c r="P10" s="575"/>
      <c r="Q10" s="577"/>
      <c r="R10" s="578"/>
      <c r="S10" s="577"/>
      <c r="T10" s="577"/>
      <c r="U10" s="577"/>
      <c r="V10" s="579"/>
      <c r="W10" s="578"/>
      <c r="X10" s="577"/>
      <c r="Y10" s="577"/>
      <c r="Z10" s="577"/>
      <c r="AA10" s="579"/>
      <c r="AB10" s="578"/>
      <c r="AC10" s="577"/>
      <c r="AD10" s="577"/>
      <c r="AE10" s="577"/>
      <c r="AF10" s="579"/>
      <c r="AG10" s="580"/>
      <c r="AH10" s="575"/>
      <c r="AI10" s="575"/>
      <c r="AJ10" s="575"/>
      <c r="AK10" s="579"/>
      <c r="AL10" s="580"/>
      <c r="AM10" s="575"/>
      <c r="AN10" s="575"/>
      <c r="AO10" s="575"/>
      <c r="AP10" s="579"/>
      <c r="AQ10" s="629"/>
      <c r="AR10" s="630"/>
      <c r="AS10" s="630"/>
      <c r="AT10" s="630"/>
      <c r="AU10" s="631"/>
      <c r="AV10" s="629"/>
      <c r="AW10" s="630"/>
      <c r="AX10" s="630"/>
      <c r="AY10" s="630"/>
      <c r="AZ10" s="631"/>
      <c r="BA10" s="629"/>
      <c r="BB10" s="630"/>
      <c r="BC10" s="630"/>
      <c r="BD10" s="630"/>
      <c r="BE10" s="631"/>
    </row>
    <row r="11" spans="1:57" s="542" customFormat="1">
      <c r="A11" s="566"/>
      <c r="B11" s="567" t="s">
        <v>135</v>
      </c>
      <c r="C11" s="568"/>
      <c r="D11" s="569"/>
      <c r="E11" s="569"/>
      <c r="F11" s="571" t="e">
        <f>D22</f>
        <v>#REF!</v>
      </c>
      <c r="G11" s="572"/>
      <c r="H11" s="1422"/>
      <c r="I11" s="574"/>
      <c r="J11" s="574"/>
      <c r="K11" s="575">
        <f>K8-K17</f>
        <v>13.917</v>
      </c>
      <c r="L11" s="1423"/>
      <c r="M11" s="1422"/>
      <c r="N11" s="574"/>
      <c r="O11" s="574"/>
      <c r="P11" s="575">
        <f>P8-P17</f>
        <v>10.742000000000001</v>
      </c>
      <c r="Q11" s="1433"/>
      <c r="R11" s="1461"/>
      <c r="S11" s="1433"/>
      <c r="T11" s="1433"/>
      <c r="U11" s="577">
        <f>U8-U17</f>
        <v>12.04</v>
      </c>
      <c r="V11" s="1462"/>
      <c r="W11" s="1461"/>
      <c r="X11" s="1433"/>
      <c r="Y11" s="1433"/>
      <c r="Z11" s="577">
        <f>Z8-Z17</f>
        <v>8.26</v>
      </c>
      <c r="AA11" s="1462"/>
      <c r="AB11" s="1461"/>
      <c r="AC11" s="1433"/>
      <c r="AD11" s="1433"/>
      <c r="AE11" s="577">
        <f>AE8-AE17</f>
        <v>4.4829999999999997</v>
      </c>
      <c r="AF11" s="1462"/>
      <c r="AG11" s="1480"/>
      <c r="AH11" s="574"/>
      <c r="AI11" s="574"/>
      <c r="AJ11" s="575">
        <f>AJ8-AJ17</f>
        <v>4.6879999999999997</v>
      </c>
      <c r="AK11" s="1462"/>
      <c r="AL11" s="1480"/>
      <c r="AM11" s="574"/>
      <c r="AN11" s="574"/>
      <c r="AO11" s="575">
        <f>AE11+AJ11</f>
        <v>9.1709999999999994</v>
      </c>
      <c r="AP11" s="1462"/>
      <c r="AQ11" s="632"/>
      <c r="AR11" s="633"/>
      <c r="AS11" s="633"/>
      <c r="AT11" s="633"/>
      <c r="AU11" s="634"/>
      <c r="AV11" s="632"/>
      <c r="AW11" s="633"/>
      <c r="AX11" s="633"/>
      <c r="AY11" s="633"/>
      <c r="AZ11" s="634"/>
      <c r="BA11" s="632"/>
      <c r="BB11" s="633"/>
      <c r="BC11" s="633"/>
      <c r="BD11" s="633"/>
      <c r="BE11" s="634"/>
    </row>
    <row r="12" spans="1:57" s="542" customFormat="1">
      <c r="A12" s="566"/>
      <c r="B12" s="567" t="s">
        <v>136</v>
      </c>
      <c r="C12" s="568"/>
      <c r="D12" s="569"/>
      <c r="E12" s="569"/>
      <c r="F12" s="569"/>
      <c r="G12" s="570"/>
      <c r="H12" s="573"/>
      <c r="I12" s="575"/>
      <c r="J12" s="575"/>
      <c r="K12" s="575"/>
      <c r="L12" s="576"/>
      <c r="M12" s="573"/>
      <c r="N12" s="575"/>
      <c r="O12" s="575"/>
      <c r="P12" s="575"/>
      <c r="Q12" s="577"/>
      <c r="R12" s="578"/>
      <c r="S12" s="577"/>
      <c r="T12" s="577"/>
      <c r="U12" s="577"/>
      <c r="V12" s="579"/>
      <c r="W12" s="578"/>
      <c r="X12" s="577"/>
      <c r="Y12" s="577"/>
      <c r="Z12" s="577"/>
      <c r="AA12" s="579"/>
      <c r="AB12" s="578"/>
      <c r="AC12" s="577"/>
      <c r="AD12" s="577"/>
      <c r="AE12" s="577"/>
      <c r="AF12" s="579"/>
      <c r="AG12" s="580"/>
      <c r="AH12" s="575"/>
      <c r="AI12" s="575"/>
      <c r="AJ12" s="575"/>
      <c r="AK12" s="579"/>
      <c r="AL12" s="580"/>
      <c r="AM12" s="575"/>
      <c r="AN12" s="575"/>
      <c r="AO12" s="575"/>
      <c r="AP12" s="579"/>
      <c r="AQ12" s="629"/>
      <c r="AR12" s="630"/>
      <c r="AS12" s="630"/>
      <c r="AT12" s="630"/>
      <c r="AU12" s="631"/>
      <c r="AV12" s="629"/>
      <c r="AW12" s="630"/>
      <c r="AX12" s="630"/>
      <c r="AY12" s="630"/>
      <c r="AZ12" s="631"/>
      <c r="BA12" s="629"/>
      <c r="BB12" s="630"/>
      <c r="BC12" s="630"/>
      <c r="BD12" s="630"/>
      <c r="BE12" s="631"/>
    </row>
    <row r="13" spans="1:57" s="542" customFormat="1">
      <c r="A13" s="566"/>
      <c r="B13" s="567" t="s">
        <v>293</v>
      </c>
      <c r="C13" s="568"/>
      <c r="D13" s="569"/>
      <c r="E13" s="569"/>
      <c r="F13" s="569"/>
      <c r="G13" s="570"/>
      <c r="H13" s="573"/>
      <c r="I13" s="575"/>
      <c r="J13" s="575"/>
      <c r="K13" s="575"/>
      <c r="L13" s="576">
        <f>L8-L17</f>
        <v>13.861000000000001</v>
      </c>
      <c r="M13" s="573"/>
      <c r="N13" s="575"/>
      <c r="O13" s="575"/>
      <c r="P13" s="575"/>
      <c r="Q13" s="577">
        <f>Q8-Q17</f>
        <v>10.677000000000001</v>
      </c>
      <c r="R13" s="578"/>
      <c r="S13" s="577"/>
      <c r="T13" s="577"/>
      <c r="U13" s="577"/>
      <c r="V13" s="579">
        <f>V8-V17</f>
        <v>11.784999999999998</v>
      </c>
      <c r="W13" s="578"/>
      <c r="X13" s="577"/>
      <c r="Y13" s="577"/>
      <c r="Z13" s="577"/>
      <c r="AA13" s="579">
        <f>AA8-AA17</f>
        <v>8.0499999999999989</v>
      </c>
      <c r="AB13" s="578"/>
      <c r="AC13" s="577"/>
      <c r="AD13" s="577"/>
      <c r="AE13" s="577"/>
      <c r="AF13" s="579">
        <f>AF8-AF17</f>
        <v>4.4609999999999994</v>
      </c>
      <c r="AG13" s="580"/>
      <c r="AH13" s="575"/>
      <c r="AI13" s="575"/>
      <c r="AJ13" s="575"/>
      <c r="AK13" s="579">
        <f>AK8-AK17</f>
        <v>4.6659999999999995</v>
      </c>
      <c r="AL13" s="580"/>
      <c r="AM13" s="575"/>
      <c r="AN13" s="575"/>
      <c r="AO13" s="575"/>
      <c r="AP13" s="579">
        <f>AF13+AK13</f>
        <v>9.1269999999999989</v>
      </c>
      <c r="AQ13" s="629"/>
      <c r="AR13" s="630"/>
      <c r="AS13" s="630"/>
      <c r="AT13" s="630"/>
      <c r="AU13" s="631"/>
      <c r="AV13" s="629"/>
      <c r="AW13" s="630"/>
      <c r="AX13" s="630"/>
      <c r="AY13" s="630"/>
      <c r="AZ13" s="631"/>
      <c r="BA13" s="629"/>
      <c r="BB13" s="630"/>
      <c r="BC13" s="630"/>
      <c r="BD13" s="630"/>
      <c r="BE13" s="631"/>
    </row>
    <row r="14" spans="1:57" s="542" customFormat="1">
      <c r="A14" s="566" t="s">
        <v>178</v>
      </c>
      <c r="B14" s="567" t="s">
        <v>294</v>
      </c>
      <c r="C14" s="568"/>
      <c r="D14" s="569"/>
      <c r="E14" s="569"/>
      <c r="F14" s="569"/>
      <c r="G14" s="570"/>
      <c r="H14" s="573"/>
      <c r="I14" s="575"/>
      <c r="J14" s="575"/>
      <c r="K14" s="575"/>
      <c r="L14" s="576"/>
      <c r="M14" s="573"/>
      <c r="N14" s="575"/>
      <c r="O14" s="575"/>
      <c r="P14" s="575"/>
      <c r="Q14" s="577"/>
      <c r="R14" s="578"/>
      <c r="S14" s="577"/>
      <c r="T14" s="577"/>
      <c r="U14" s="577"/>
      <c r="V14" s="579"/>
      <c r="W14" s="578"/>
      <c r="X14" s="577"/>
      <c r="Y14" s="577"/>
      <c r="Z14" s="577"/>
      <c r="AA14" s="579"/>
      <c r="AB14" s="578"/>
      <c r="AC14" s="577"/>
      <c r="AD14" s="577"/>
      <c r="AE14" s="577"/>
      <c r="AF14" s="579"/>
      <c r="AG14" s="580"/>
      <c r="AH14" s="575"/>
      <c r="AI14" s="575"/>
      <c r="AJ14" s="575"/>
      <c r="AK14" s="579"/>
      <c r="AL14" s="580"/>
      <c r="AM14" s="575"/>
      <c r="AN14" s="575"/>
      <c r="AO14" s="575"/>
      <c r="AP14" s="579"/>
      <c r="AQ14" s="629"/>
      <c r="AR14" s="630"/>
      <c r="AS14" s="630"/>
      <c r="AT14" s="630"/>
      <c r="AU14" s="631"/>
      <c r="AV14" s="629"/>
      <c r="AW14" s="630"/>
      <c r="AX14" s="630"/>
      <c r="AY14" s="630"/>
      <c r="AZ14" s="631"/>
      <c r="BA14" s="629"/>
      <c r="BB14" s="630"/>
      <c r="BC14" s="630"/>
      <c r="BD14" s="630"/>
      <c r="BE14" s="631"/>
    </row>
    <row r="15" spans="1:57" s="542" customFormat="1">
      <c r="A15" s="566" t="s">
        <v>180</v>
      </c>
      <c r="B15" s="567" t="s">
        <v>295</v>
      </c>
      <c r="C15" s="568">
        <f>F15</f>
        <v>0</v>
      </c>
      <c r="D15" s="571">
        <v>0</v>
      </c>
      <c r="E15" s="571"/>
      <c r="F15" s="569"/>
      <c r="G15" s="572"/>
      <c r="H15" s="573"/>
      <c r="I15" s="574"/>
      <c r="J15" s="574"/>
      <c r="K15" s="575"/>
      <c r="L15" s="1423"/>
      <c r="M15" s="573"/>
      <c r="N15" s="574"/>
      <c r="O15" s="574"/>
      <c r="P15" s="575"/>
      <c r="Q15" s="1433"/>
      <c r="R15" s="1461"/>
      <c r="S15" s="1433"/>
      <c r="T15" s="1433"/>
      <c r="U15" s="1433"/>
      <c r="V15" s="1462"/>
      <c r="W15" s="1461"/>
      <c r="X15" s="1433"/>
      <c r="Y15" s="1433"/>
      <c r="Z15" s="1433"/>
      <c r="AA15" s="1462"/>
      <c r="AB15" s="1461"/>
      <c r="AC15" s="1433"/>
      <c r="AD15" s="1433"/>
      <c r="AE15" s="1433"/>
      <c r="AF15" s="1462"/>
      <c r="AG15" s="1480"/>
      <c r="AH15" s="574"/>
      <c r="AI15" s="574"/>
      <c r="AJ15" s="574"/>
      <c r="AK15" s="1462"/>
      <c r="AL15" s="1480"/>
      <c r="AM15" s="574"/>
      <c r="AN15" s="574"/>
      <c r="AO15" s="574"/>
      <c r="AP15" s="1462"/>
      <c r="AQ15" s="632"/>
      <c r="AR15" s="633"/>
      <c r="AS15" s="633"/>
      <c r="AT15" s="633"/>
      <c r="AU15" s="634"/>
      <c r="AV15" s="632"/>
      <c r="AW15" s="633"/>
      <c r="AX15" s="633"/>
      <c r="AY15" s="633"/>
      <c r="AZ15" s="634"/>
      <c r="BA15" s="632"/>
      <c r="BB15" s="633"/>
      <c r="BC15" s="633"/>
      <c r="BD15" s="633"/>
      <c r="BE15" s="634"/>
    </row>
    <row r="16" spans="1:57" s="542" customFormat="1">
      <c r="A16" s="566" t="s">
        <v>226</v>
      </c>
      <c r="B16" s="567" t="s">
        <v>296</v>
      </c>
      <c r="C16" s="568"/>
      <c r="D16" s="569"/>
      <c r="E16" s="569"/>
      <c r="F16" s="569"/>
      <c r="G16" s="570"/>
      <c r="H16" s="573">
        <f>'1.2.2'!C9</f>
        <v>12.13</v>
      </c>
      <c r="I16" s="575">
        <v>13.416</v>
      </c>
      <c r="J16" s="575"/>
      <c r="K16" s="575">
        <f>K11</f>
        <v>13.917</v>
      </c>
      <c r="L16" s="576">
        <f>L13</f>
        <v>13.861000000000001</v>
      </c>
      <c r="M16" s="573">
        <f>'1.2.2'!D9</f>
        <v>10.785</v>
      </c>
      <c r="N16" s="575">
        <f>'1.2.2'!D9</f>
        <v>10.785</v>
      </c>
      <c r="O16" s="575"/>
      <c r="P16" s="575">
        <f>P11</f>
        <v>10.742000000000001</v>
      </c>
      <c r="Q16" s="577">
        <f>Q13</f>
        <v>10.677000000000001</v>
      </c>
      <c r="R16" s="578">
        <f>'1.2.2'!E9</f>
        <v>12.157</v>
      </c>
      <c r="S16" s="577">
        <f>'1.2.2'!E9</f>
        <v>12.157</v>
      </c>
      <c r="T16" s="577"/>
      <c r="U16" s="577">
        <f>U11</f>
        <v>12.04</v>
      </c>
      <c r="V16" s="579">
        <f>V13</f>
        <v>11.784999999999998</v>
      </c>
      <c r="W16" s="578">
        <f>'1.2.2'!F9</f>
        <v>8.4</v>
      </c>
      <c r="X16" s="577">
        <f>'1.2.2'!F9</f>
        <v>8.4</v>
      </c>
      <c r="Y16" s="577"/>
      <c r="Z16" s="577">
        <f>Z11</f>
        <v>8.26</v>
      </c>
      <c r="AA16" s="579">
        <f>AA13</f>
        <v>8.0499999999999989</v>
      </c>
      <c r="AB16" s="578">
        <f>'1.2.2'!G9</f>
        <v>4.4989999999999997</v>
      </c>
      <c r="AC16" s="578">
        <f>'1.2.2'!G9</f>
        <v>4.4989999999999997</v>
      </c>
      <c r="AD16" s="577"/>
      <c r="AE16" s="577">
        <f>AE11</f>
        <v>4.4829999999999997</v>
      </c>
      <c r="AF16" s="579">
        <f>AF13</f>
        <v>4.4609999999999994</v>
      </c>
      <c r="AG16" s="580">
        <f>'1.2.2'!H9</f>
        <v>4.7039999999999997</v>
      </c>
      <c r="AH16" s="575">
        <f>'1.2.2'!H9</f>
        <v>4.7039999999999997</v>
      </c>
      <c r="AI16" s="575"/>
      <c r="AJ16" s="575">
        <f>AJ11</f>
        <v>4.6879999999999997</v>
      </c>
      <c r="AK16" s="579">
        <f>AK13</f>
        <v>4.6659999999999995</v>
      </c>
      <c r="AL16" s="580">
        <f>AB16+AG16</f>
        <v>9.2029999999999994</v>
      </c>
      <c r="AM16" s="575">
        <f>AC16+AH16</f>
        <v>9.2029999999999994</v>
      </c>
      <c r="AN16" s="575"/>
      <c r="AO16" s="575">
        <f>AO11</f>
        <v>9.1709999999999994</v>
      </c>
      <c r="AP16" s="579">
        <f>AP13</f>
        <v>9.1269999999999989</v>
      </c>
      <c r="AQ16" s="629"/>
      <c r="AR16" s="630"/>
      <c r="AS16" s="630"/>
      <c r="AT16" s="630"/>
      <c r="AU16" s="631"/>
      <c r="AV16" s="629"/>
      <c r="AW16" s="630"/>
      <c r="AX16" s="630"/>
      <c r="AY16" s="630"/>
      <c r="AZ16" s="631"/>
      <c r="BA16" s="629"/>
      <c r="BB16" s="630"/>
      <c r="BC16" s="630"/>
      <c r="BD16" s="630"/>
      <c r="BE16" s="631"/>
    </row>
    <row r="17" spans="1:57">
      <c r="A17" s="566" t="s">
        <v>131</v>
      </c>
      <c r="B17" s="567" t="s">
        <v>297</v>
      </c>
      <c r="C17" s="573" t="e">
        <f>D17+G17+F17</f>
        <v>#REF!</v>
      </c>
      <c r="D17" s="574" t="e">
        <f>'[1]1.3'!#REF!</f>
        <v>#REF!</v>
      </c>
      <c r="E17" s="575"/>
      <c r="F17" s="575" t="e">
        <f>'[1]1.3'!#REF!</f>
        <v>#REF!</v>
      </c>
      <c r="G17" s="576" t="e">
        <f>'[1]1.3'!#REF!</f>
        <v>#REF!</v>
      </c>
      <c r="H17" s="573">
        <f>K17+L17</f>
        <v>0.371</v>
      </c>
      <c r="I17" s="575"/>
      <c r="J17" s="575"/>
      <c r="K17" s="575">
        <f>'1.3'!F8</f>
        <v>0.315</v>
      </c>
      <c r="L17" s="575">
        <f>'1.3'!G8</f>
        <v>5.6000000000000001E-2</v>
      </c>
      <c r="M17" s="573">
        <f>P17+Q17</f>
        <v>0.108</v>
      </c>
      <c r="N17" s="575"/>
      <c r="O17" s="575"/>
      <c r="P17" s="575">
        <f>'1.3'!K8</f>
        <v>4.2999999999999997E-2</v>
      </c>
      <c r="Q17" s="575">
        <f>'1.3'!L8</f>
        <v>6.5000000000000002E-2</v>
      </c>
      <c r="R17" s="578">
        <f>U17+V17</f>
        <v>0.372</v>
      </c>
      <c r="S17" s="577"/>
      <c r="T17" s="577"/>
      <c r="U17" s="577">
        <f>'1.3'!P8</f>
        <v>0.11700000000000001</v>
      </c>
      <c r="V17" s="577">
        <f>'1.3'!Q8</f>
        <v>0.255</v>
      </c>
      <c r="W17" s="578">
        <v>0.45</v>
      </c>
      <c r="X17" s="577"/>
      <c r="Y17" s="577"/>
      <c r="Z17" s="577">
        <f>'1.3'!U8</f>
        <v>0.14000000000000001</v>
      </c>
      <c r="AA17" s="577">
        <f>'1.3'!V8</f>
        <v>0.21</v>
      </c>
      <c r="AB17" s="578">
        <f>AE17+AF17</f>
        <v>3.7999999999999999E-2</v>
      </c>
      <c r="AC17" s="577"/>
      <c r="AD17" s="577"/>
      <c r="AE17" s="577">
        <f>'1.3'!Z8</f>
        <v>1.6E-2</v>
      </c>
      <c r="AF17" s="577">
        <f>'1.3'!AA8</f>
        <v>2.1999999999999999E-2</v>
      </c>
      <c r="AG17" s="580">
        <f>AJ17+AK17</f>
        <v>3.7999999999999999E-2</v>
      </c>
      <c r="AH17" s="575"/>
      <c r="AI17" s="575"/>
      <c r="AJ17" s="575">
        <f>'1.3'!AE8</f>
        <v>1.6E-2</v>
      </c>
      <c r="AK17" s="575">
        <f>'1.3'!AF8</f>
        <v>2.1999999999999999E-2</v>
      </c>
      <c r="AL17" s="580">
        <f>AB17+AG17</f>
        <v>7.5999999999999998E-2</v>
      </c>
      <c r="AM17" s="575"/>
      <c r="AN17" s="575"/>
      <c r="AO17" s="1549">
        <f>AE17+AJ17</f>
        <v>3.2000000000000001E-2</v>
      </c>
      <c r="AP17" s="579">
        <f>AF17+AK17</f>
        <v>4.3999999999999997E-2</v>
      </c>
      <c r="AQ17" s="635"/>
      <c r="AR17" s="636"/>
      <c r="AS17" s="636"/>
      <c r="AT17" s="636"/>
      <c r="AU17" s="637"/>
      <c r="AV17" s="635"/>
      <c r="AW17" s="636"/>
      <c r="AX17" s="636"/>
      <c r="AY17" s="636"/>
      <c r="AZ17" s="637"/>
      <c r="BA17" s="635"/>
      <c r="BB17" s="636"/>
      <c r="BC17" s="636"/>
      <c r="BD17" s="636"/>
      <c r="BE17" s="637"/>
    </row>
    <row r="18" spans="1:57" s="542" customFormat="1">
      <c r="A18" s="566"/>
      <c r="B18" s="983" t="s">
        <v>298</v>
      </c>
      <c r="C18" s="581" t="e">
        <f>C17/C8*100</f>
        <v>#REF!</v>
      </c>
      <c r="D18" s="582"/>
      <c r="E18" s="582"/>
      <c r="F18" s="582" t="e">
        <f>F17/F8*100</f>
        <v>#REF!</v>
      </c>
      <c r="G18" s="583" t="e">
        <f>G17/G8*100</f>
        <v>#REF!</v>
      </c>
      <c r="H18" s="1424">
        <f>K18+L18</f>
        <v>3.0585325638911787</v>
      </c>
      <c r="I18" s="1425"/>
      <c r="J18" s="1426"/>
      <c r="K18" s="1426">
        <f>K17/H8*100</f>
        <v>2.5968672712283594</v>
      </c>
      <c r="L18" s="1426">
        <f>L17/H8*100</f>
        <v>0.46166529266281942</v>
      </c>
      <c r="M18" s="1434">
        <f>P18+Q18</f>
        <v>1.0013908205841446</v>
      </c>
      <c r="N18" s="1426"/>
      <c r="O18" s="1426"/>
      <c r="P18" s="1426">
        <f>P17/P8*100</f>
        <v>0.39870190078813161</v>
      </c>
      <c r="Q18" s="1435">
        <f>Q17/P8*100</f>
        <v>0.60268891979601302</v>
      </c>
      <c r="R18" s="1463">
        <f>U18+V18</f>
        <v>3.0599654520029613</v>
      </c>
      <c r="S18" s="1435"/>
      <c r="T18" s="1435"/>
      <c r="U18" s="1435">
        <f>U17/R16*100</f>
        <v>0.96240848893641529</v>
      </c>
      <c r="V18" s="1464">
        <f>V17/R16*100</f>
        <v>2.097556963066546</v>
      </c>
      <c r="W18" s="1463">
        <f>Z18+AA18</f>
        <v>4.166666666666667</v>
      </c>
      <c r="X18" s="1435"/>
      <c r="Y18" s="1435"/>
      <c r="Z18" s="1435">
        <f>Z17/W16*100</f>
        <v>1.6666666666666667</v>
      </c>
      <c r="AA18" s="1464">
        <f>AA17/W16*100</f>
        <v>2.5</v>
      </c>
      <c r="AB18" s="1463">
        <f>(AE18+AF18)</f>
        <v>0.8463773916200279</v>
      </c>
      <c r="AC18" s="1435"/>
      <c r="AD18" s="1435"/>
      <c r="AE18" s="1425">
        <f>AE17/AC16*100</f>
        <v>0.35563458546343635</v>
      </c>
      <c r="AF18" s="1464">
        <f>AF17/AE16*100</f>
        <v>0.49074280615659155</v>
      </c>
      <c r="AG18" s="1463">
        <f>(AJ18+AK18)</f>
        <v>0.8094193308722808</v>
      </c>
      <c r="AH18" s="1426"/>
      <c r="AI18" s="1435"/>
      <c r="AJ18" s="1425">
        <f>AJ17/AH16*100</f>
        <v>0.34013605442176875</v>
      </c>
      <c r="AK18" s="1464">
        <f>AK17/AJ16*100</f>
        <v>0.46928327645051199</v>
      </c>
      <c r="AL18" s="1463">
        <v>3.07</v>
      </c>
      <c r="AM18" s="1426"/>
      <c r="AN18" s="1435"/>
      <c r="AO18" s="1550">
        <v>2.23</v>
      </c>
      <c r="AP18" s="1548">
        <v>0.83</v>
      </c>
      <c r="AQ18" s="638"/>
      <c r="AR18" s="639"/>
      <c r="AS18" s="639"/>
      <c r="AT18" s="639"/>
      <c r="AU18" s="640"/>
      <c r="AV18" s="638"/>
      <c r="AW18" s="639"/>
      <c r="AX18" s="639"/>
      <c r="AY18" s="639"/>
      <c r="AZ18" s="640"/>
      <c r="BA18" s="638"/>
      <c r="BB18" s="639"/>
      <c r="BC18" s="639"/>
      <c r="BD18" s="639"/>
      <c r="BE18" s="640"/>
    </row>
    <row r="19" spans="1:57" s="542" customFormat="1" ht="24.75" customHeight="1">
      <c r="A19" s="566" t="s">
        <v>132</v>
      </c>
      <c r="B19" s="584" t="s">
        <v>209</v>
      </c>
      <c r="C19" s="568" t="e">
        <f>G19</f>
        <v>#REF!</v>
      </c>
      <c r="D19" s="569"/>
      <c r="E19" s="569"/>
      <c r="F19" s="569"/>
      <c r="G19" s="570" t="e">
        <f>'[1]1.2.2'!C19+'[1]1.2.2'!C17</f>
        <v>#REF!</v>
      </c>
      <c r="H19" s="573"/>
      <c r="I19" s="574"/>
      <c r="J19" s="575"/>
      <c r="K19" s="575"/>
      <c r="L19" s="576"/>
      <c r="M19" s="573"/>
      <c r="N19" s="574"/>
      <c r="O19" s="575"/>
      <c r="P19" s="575"/>
      <c r="Q19" s="577"/>
      <c r="R19" s="578"/>
      <c r="S19" s="577"/>
      <c r="T19" s="577"/>
      <c r="U19" s="577"/>
      <c r="V19" s="579"/>
      <c r="W19" s="578"/>
      <c r="X19" s="577"/>
      <c r="Y19" s="577"/>
      <c r="Z19" s="577"/>
      <c r="AA19" s="579"/>
      <c r="AB19" s="578"/>
      <c r="AC19" s="577"/>
      <c r="AD19" s="577"/>
      <c r="AE19" s="577"/>
      <c r="AF19" s="579"/>
      <c r="AG19" s="580"/>
      <c r="AH19" s="575"/>
      <c r="AI19" s="575"/>
      <c r="AJ19" s="575"/>
      <c r="AK19" s="579"/>
      <c r="AL19" s="580"/>
      <c r="AM19" s="575"/>
      <c r="AN19" s="575"/>
      <c r="AO19" s="1421"/>
      <c r="AP19" s="579"/>
      <c r="AQ19" s="629"/>
      <c r="AR19" s="630"/>
      <c r="AS19" s="630"/>
      <c r="AT19" s="630"/>
      <c r="AU19" s="631"/>
      <c r="AV19" s="629"/>
      <c r="AW19" s="630"/>
      <c r="AX19" s="630"/>
      <c r="AY19" s="630"/>
      <c r="AZ19" s="631"/>
      <c r="BA19" s="629"/>
      <c r="BB19" s="630"/>
      <c r="BC19" s="630"/>
      <c r="BD19" s="630"/>
      <c r="BE19" s="631"/>
    </row>
    <row r="20" spans="1:57" s="542" customFormat="1">
      <c r="A20" s="566"/>
      <c r="B20" s="584" t="s">
        <v>299</v>
      </c>
      <c r="C20" s="568" t="e">
        <f>G20</f>
        <v>#REF!</v>
      </c>
      <c r="D20" s="569"/>
      <c r="E20" s="569"/>
      <c r="F20" s="569"/>
      <c r="G20" s="570" t="e">
        <f>'[1]1.2.2'!C17</f>
        <v>#REF!</v>
      </c>
      <c r="H20" s="573"/>
      <c r="I20" s="574"/>
      <c r="J20" s="575"/>
      <c r="K20" s="575"/>
      <c r="L20" s="576"/>
      <c r="M20" s="573"/>
      <c r="N20" s="574"/>
      <c r="O20" s="575"/>
      <c r="P20" s="575"/>
      <c r="Q20" s="577"/>
      <c r="R20" s="578"/>
      <c r="S20" s="577"/>
      <c r="T20" s="577"/>
      <c r="U20" s="577"/>
      <c r="V20" s="579"/>
      <c r="W20" s="578"/>
      <c r="X20" s="577"/>
      <c r="Y20" s="577"/>
      <c r="Z20" s="577"/>
      <c r="AA20" s="579"/>
      <c r="AB20" s="578"/>
      <c r="AC20" s="577"/>
      <c r="AD20" s="577"/>
      <c r="AE20" s="577"/>
      <c r="AF20" s="579"/>
      <c r="AG20" s="580"/>
      <c r="AH20" s="575"/>
      <c r="AI20" s="575"/>
      <c r="AJ20" s="575"/>
      <c r="AK20" s="579"/>
      <c r="AL20" s="580"/>
      <c r="AM20" s="575"/>
      <c r="AN20" s="575"/>
      <c r="AO20" s="575"/>
      <c r="AP20" s="579"/>
      <c r="AQ20" s="629"/>
      <c r="AR20" s="630"/>
      <c r="AS20" s="630"/>
      <c r="AT20" s="630"/>
      <c r="AU20" s="631"/>
      <c r="AV20" s="629"/>
      <c r="AW20" s="630"/>
      <c r="AX20" s="630"/>
      <c r="AY20" s="630"/>
      <c r="AZ20" s="631"/>
      <c r="BA20" s="629"/>
      <c r="BB20" s="630"/>
      <c r="BC20" s="630"/>
      <c r="BD20" s="630"/>
      <c r="BE20" s="631"/>
    </row>
    <row r="21" spans="1:57">
      <c r="A21" s="566"/>
      <c r="B21" s="584"/>
      <c r="C21" s="585"/>
      <c r="D21" s="586"/>
      <c r="E21" s="586"/>
      <c r="F21" s="586"/>
      <c r="G21" s="587"/>
      <c r="H21" s="1427"/>
      <c r="I21" s="1428"/>
      <c r="J21" s="1429"/>
      <c r="K21" s="1429"/>
      <c r="L21" s="1430"/>
      <c r="M21" s="1427"/>
      <c r="N21" s="1436"/>
      <c r="O21" s="1429"/>
      <c r="P21" s="1429"/>
      <c r="Q21" s="1437"/>
      <c r="R21" s="1465"/>
      <c r="S21" s="1437"/>
      <c r="T21" s="1437"/>
      <c r="U21" s="1437"/>
      <c r="V21" s="1466"/>
      <c r="W21" s="1465"/>
      <c r="X21" s="1437"/>
      <c r="Y21" s="1437"/>
      <c r="Z21" s="1437"/>
      <c r="AA21" s="1466"/>
      <c r="AB21" s="1465"/>
      <c r="AC21" s="1437"/>
      <c r="AD21" s="1437"/>
      <c r="AE21" s="1437"/>
      <c r="AF21" s="1466"/>
      <c r="AG21" s="1481"/>
      <c r="AH21" s="1429"/>
      <c r="AI21" s="1429"/>
      <c r="AJ21" s="1429"/>
      <c r="AK21" s="1466"/>
      <c r="AL21" s="1481"/>
      <c r="AM21" s="1429"/>
      <c r="AN21" s="1429"/>
      <c r="AO21" s="1429"/>
      <c r="AP21" s="1466"/>
      <c r="AQ21" s="641"/>
      <c r="AR21" s="642"/>
      <c r="AS21" s="642"/>
      <c r="AT21" s="642"/>
      <c r="AU21" s="643"/>
      <c r="AV21" s="641"/>
      <c r="AW21" s="642"/>
      <c r="AX21" s="642"/>
      <c r="AY21" s="642"/>
      <c r="AZ21" s="643"/>
      <c r="BA21" s="641"/>
      <c r="BB21" s="642"/>
      <c r="BC21" s="642"/>
      <c r="BD21" s="642"/>
      <c r="BE21" s="643"/>
    </row>
    <row r="22" spans="1:57" s="542" customFormat="1">
      <c r="A22" s="566" t="s">
        <v>133</v>
      </c>
      <c r="B22" s="567" t="s">
        <v>300</v>
      </c>
      <c r="C22" s="568" t="e">
        <f>C8-C17-C19</f>
        <v>#REF!</v>
      </c>
      <c r="D22" s="571" t="e">
        <f>D8-D17</f>
        <v>#REF!</v>
      </c>
      <c r="E22" s="569"/>
      <c r="F22" s="569" t="e">
        <f>F8-F17</f>
        <v>#REF!</v>
      </c>
      <c r="G22" s="570" t="e">
        <f>G8-G17-G19</f>
        <v>#REF!</v>
      </c>
      <c r="H22" s="573">
        <f>H24</f>
        <v>11.759</v>
      </c>
      <c r="I22" s="575"/>
      <c r="J22" s="575"/>
      <c r="K22" s="575">
        <f>K24</f>
        <v>13.917</v>
      </c>
      <c r="L22" s="576">
        <f>L24</f>
        <v>13.861000000000001</v>
      </c>
      <c r="M22" s="1438">
        <f>M24</f>
        <v>10.677000000000001</v>
      </c>
      <c r="N22" s="1439"/>
      <c r="O22" s="1440"/>
      <c r="P22" s="575">
        <f>P24</f>
        <v>10.742000000000001</v>
      </c>
      <c r="Q22" s="577">
        <f>Q24</f>
        <v>10.677000000000001</v>
      </c>
      <c r="R22" s="578">
        <f>R24</f>
        <v>11.784999999999998</v>
      </c>
      <c r="S22" s="577"/>
      <c r="T22" s="577"/>
      <c r="U22" s="577">
        <f>U24</f>
        <v>12.04</v>
      </c>
      <c r="V22" s="579">
        <f>V24</f>
        <v>11.784999999999998</v>
      </c>
      <c r="W22" s="578">
        <f>AA22</f>
        <v>8.0499999999999989</v>
      </c>
      <c r="X22" s="577"/>
      <c r="Y22" s="577"/>
      <c r="Z22" s="577">
        <f>Z24</f>
        <v>8.26</v>
      </c>
      <c r="AA22" s="579">
        <f>AA24</f>
        <v>8.0499999999999989</v>
      </c>
      <c r="AB22" s="578">
        <f>AF22</f>
        <v>4.4609999999999994</v>
      </c>
      <c r="AC22" s="577"/>
      <c r="AD22" s="577"/>
      <c r="AE22" s="577">
        <f>AE24</f>
        <v>4.4829999999999997</v>
      </c>
      <c r="AF22" s="577">
        <f>AF24</f>
        <v>4.4609999999999994</v>
      </c>
      <c r="AG22" s="580">
        <f>AG24</f>
        <v>4.6659999999999995</v>
      </c>
      <c r="AH22" s="575"/>
      <c r="AI22" s="575"/>
      <c r="AJ22" s="575">
        <f>AJ24</f>
        <v>4.6879999999999997</v>
      </c>
      <c r="AK22" s="579">
        <f>AK13</f>
        <v>4.6659999999999995</v>
      </c>
      <c r="AL22" s="580">
        <f>AP22</f>
        <v>9.1269999999999989</v>
      </c>
      <c r="AM22" s="575"/>
      <c r="AN22" s="575"/>
      <c r="AO22" s="575">
        <f>AE22+AJ22</f>
        <v>9.1709999999999994</v>
      </c>
      <c r="AP22" s="579">
        <f>AF22+AK22</f>
        <v>9.1269999999999989</v>
      </c>
      <c r="AQ22" s="629"/>
      <c r="AR22" s="630"/>
      <c r="AS22" s="630"/>
      <c r="AT22" s="630"/>
      <c r="AU22" s="631"/>
      <c r="AV22" s="629"/>
      <c r="AW22" s="630"/>
      <c r="AX22" s="630"/>
      <c r="AY22" s="630"/>
      <c r="AZ22" s="631"/>
      <c r="BA22" s="629"/>
      <c r="BB22" s="630"/>
      <c r="BC22" s="630"/>
      <c r="BD22" s="630"/>
      <c r="BE22" s="631"/>
    </row>
    <row r="23" spans="1:57" s="542" customFormat="1" ht="12.75" hidden="1" customHeight="1">
      <c r="A23" s="566"/>
      <c r="B23" s="588" t="s">
        <v>301</v>
      </c>
      <c r="C23" s="568"/>
      <c r="D23" s="569"/>
      <c r="E23" s="569"/>
      <c r="F23" s="569"/>
      <c r="G23" s="570"/>
      <c r="H23" s="573"/>
      <c r="I23" s="575"/>
      <c r="J23" s="575"/>
      <c r="K23" s="575"/>
      <c r="L23" s="576"/>
      <c r="M23" s="573"/>
      <c r="N23" s="1421"/>
      <c r="O23" s="575"/>
      <c r="P23" s="575"/>
      <c r="Q23" s="577"/>
      <c r="R23" s="578"/>
      <c r="S23" s="577"/>
      <c r="T23" s="577"/>
      <c r="U23" s="577"/>
      <c r="V23" s="579"/>
      <c r="W23" s="578"/>
      <c r="X23" s="577"/>
      <c r="Y23" s="577"/>
      <c r="Z23" s="577"/>
      <c r="AA23" s="579"/>
      <c r="AB23" s="578"/>
      <c r="AC23" s="577"/>
      <c r="AD23" s="577"/>
      <c r="AE23" s="577"/>
      <c r="AF23" s="579"/>
      <c r="AG23" s="580"/>
      <c r="AH23" s="575"/>
      <c r="AI23" s="575"/>
      <c r="AJ23" s="575"/>
      <c r="AK23" s="579"/>
      <c r="AL23" s="580"/>
      <c r="AM23" s="575"/>
      <c r="AN23" s="575"/>
      <c r="AO23" s="575"/>
      <c r="AP23" s="579"/>
      <c r="AQ23" s="629"/>
      <c r="AR23" s="630"/>
      <c r="AS23" s="630"/>
      <c r="AT23" s="630"/>
      <c r="AU23" s="631"/>
      <c r="AV23" s="629"/>
      <c r="AW23" s="630"/>
      <c r="AX23" s="630"/>
      <c r="AY23" s="630"/>
      <c r="AZ23" s="631"/>
      <c r="BA23" s="629"/>
      <c r="BB23" s="630"/>
      <c r="BC23" s="630"/>
      <c r="BD23" s="630"/>
      <c r="BE23" s="631"/>
    </row>
    <row r="24" spans="1:57" ht="26.4">
      <c r="A24" s="566" t="s">
        <v>134</v>
      </c>
      <c r="B24" s="567" t="s">
        <v>302</v>
      </c>
      <c r="C24" s="573" t="e">
        <f>C22</f>
        <v>#REF!</v>
      </c>
      <c r="D24" s="575"/>
      <c r="E24" s="575"/>
      <c r="F24" s="575"/>
      <c r="G24" s="576" t="e">
        <f>G22</f>
        <v>#REF!</v>
      </c>
      <c r="H24" s="573">
        <f>H8-H17</f>
        <v>11.759</v>
      </c>
      <c r="I24" s="575"/>
      <c r="J24" s="575"/>
      <c r="K24" s="575">
        <f>K16</f>
        <v>13.917</v>
      </c>
      <c r="L24" s="576">
        <f>L16</f>
        <v>13.861000000000001</v>
      </c>
      <c r="M24" s="573">
        <f>Q24</f>
        <v>10.677000000000001</v>
      </c>
      <c r="N24" s="575"/>
      <c r="O24" s="575"/>
      <c r="P24" s="575">
        <f>P16</f>
        <v>10.742000000000001</v>
      </c>
      <c r="Q24" s="577">
        <f>Q13</f>
        <v>10.677000000000001</v>
      </c>
      <c r="R24" s="578">
        <f>V24</f>
        <v>11.784999999999998</v>
      </c>
      <c r="S24" s="577"/>
      <c r="T24" s="577"/>
      <c r="U24" s="577">
        <f>U16</f>
        <v>12.04</v>
      </c>
      <c r="V24" s="579">
        <f>V16</f>
        <v>11.784999999999998</v>
      </c>
      <c r="W24" s="578">
        <f>AA24</f>
        <v>8.0499999999999989</v>
      </c>
      <c r="X24" s="577"/>
      <c r="Y24" s="577"/>
      <c r="Z24" s="577">
        <f>Z16</f>
        <v>8.26</v>
      </c>
      <c r="AA24" s="579">
        <f>AA16</f>
        <v>8.0499999999999989</v>
      </c>
      <c r="AB24" s="578">
        <f>AF24</f>
        <v>4.4609999999999994</v>
      </c>
      <c r="AC24" s="577"/>
      <c r="AD24" s="577"/>
      <c r="AE24" s="577">
        <f>AE16</f>
        <v>4.4829999999999997</v>
      </c>
      <c r="AF24" s="579">
        <f>AF16</f>
        <v>4.4609999999999994</v>
      </c>
      <c r="AG24" s="580">
        <f>AK24</f>
        <v>4.6659999999999995</v>
      </c>
      <c r="AH24" s="575"/>
      <c r="AI24" s="575"/>
      <c r="AJ24" s="575">
        <f>AJ16</f>
        <v>4.6879999999999997</v>
      </c>
      <c r="AK24" s="579">
        <f>AK16</f>
        <v>4.6659999999999995</v>
      </c>
      <c r="AL24" s="580">
        <f>AP24</f>
        <v>9.1269999999999989</v>
      </c>
      <c r="AM24" s="575"/>
      <c r="AN24" s="575"/>
      <c r="AO24" s="575">
        <f>AO16</f>
        <v>9.1709999999999994</v>
      </c>
      <c r="AP24" s="579">
        <f>AF24+AK24</f>
        <v>9.1269999999999989</v>
      </c>
      <c r="AQ24" s="635"/>
      <c r="AR24" s="636"/>
      <c r="AS24" s="636"/>
      <c r="AT24" s="636"/>
      <c r="AU24" s="637"/>
      <c r="AV24" s="635"/>
      <c r="AW24" s="636"/>
      <c r="AX24" s="636"/>
      <c r="AY24" s="636"/>
      <c r="AZ24" s="637"/>
      <c r="BA24" s="635"/>
      <c r="BB24" s="636"/>
      <c r="BC24" s="636"/>
      <c r="BD24" s="636"/>
      <c r="BE24" s="637"/>
    </row>
    <row r="25" spans="1:57" ht="12.75" hidden="1" customHeight="1">
      <c r="A25" s="566"/>
      <c r="B25" s="588" t="s">
        <v>301</v>
      </c>
      <c r="C25" s="573"/>
      <c r="D25" s="575"/>
      <c r="E25" s="575"/>
      <c r="F25" s="575"/>
      <c r="G25" s="576"/>
      <c r="H25" s="589"/>
      <c r="I25" s="590"/>
      <c r="J25" s="590"/>
      <c r="K25" s="590"/>
      <c r="L25" s="591"/>
      <c r="M25" s="592"/>
      <c r="N25" s="593"/>
      <c r="O25" s="593"/>
      <c r="P25" s="593"/>
      <c r="Q25" s="1441"/>
      <c r="R25" s="594"/>
      <c r="S25" s="1467"/>
      <c r="T25" s="1467"/>
      <c r="U25" s="1467"/>
      <c r="V25" s="1468"/>
      <c r="W25" s="592"/>
      <c r="X25" s="593"/>
      <c r="Y25" s="593"/>
      <c r="Z25" s="593"/>
      <c r="AA25" s="1441"/>
      <c r="AB25" s="1470"/>
      <c r="AC25" s="1471"/>
      <c r="AD25" s="1471"/>
      <c r="AE25" s="1471"/>
      <c r="AF25" s="1472"/>
      <c r="AG25" s="1482"/>
      <c r="AH25" s="1483"/>
      <c r="AI25" s="1483"/>
      <c r="AJ25" s="1483"/>
      <c r="AK25" s="1484"/>
      <c r="AL25" s="919"/>
      <c r="AM25" s="593"/>
      <c r="AN25" s="593"/>
      <c r="AO25" s="593"/>
      <c r="AP25" s="920"/>
      <c r="AQ25" s="644"/>
      <c r="AR25" s="645"/>
      <c r="AS25" s="645"/>
      <c r="AT25" s="645"/>
      <c r="AU25" s="646"/>
      <c r="AV25" s="644"/>
      <c r="AW25" s="645"/>
      <c r="AX25" s="645"/>
      <c r="AY25" s="645"/>
      <c r="AZ25" s="646"/>
      <c r="BA25" s="644"/>
      <c r="BB25" s="645"/>
      <c r="BC25" s="645"/>
      <c r="BD25" s="645"/>
      <c r="BE25" s="646"/>
    </row>
    <row r="26" spans="1:57" s="542" customFormat="1">
      <c r="A26" s="566"/>
      <c r="B26" s="567" t="s">
        <v>303</v>
      </c>
      <c r="C26" s="568"/>
      <c r="D26" s="569"/>
      <c r="E26" s="569"/>
      <c r="F26" s="569"/>
      <c r="G26" s="570"/>
      <c r="H26" s="595"/>
      <c r="I26" s="596"/>
      <c r="J26" s="596"/>
      <c r="K26" s="596"/>
      <c r="L26" s="597"/>
      <c r="M26" s="595"/>
      <c r="N26" s="596"/>
      <c r="O26" s="596"/>
      <c r="P26" s="596"/>
      <c r="Q26" s="598"/>
      <c r="R26" s="599"/>
      <c r="S26" s="600"/>
      <c r="T26" s="600"/>
      <c r="U26" s="600"/>
      <c r="V26" s="601"/>
      <c r="W26" s="595"/>
      <c r="X26" s="596"/>
      <c r="Y26" s="596"/>
      <c r="Z26" s="596"/>
      <c r="AA26" s="598"/>
      <c r="AB26" s="1473"/>
      <c r="AC26" s="1474"/>
      <c r="AD26" s="1474"/>
      <c r="AE26" s="1474"/>
      <c r="AF26" s="1475"/>
      <c r="AG26" s="1485"/>
      <c r="AH26" s="1486"/>
      <c r="AI26" s="1486"/>
      <c r="AJ26" s="1486"/>
      <c r="AK26" s="1475"/>
      <c r="AL26" s="921"/>
      <c r="AM26" s="596"/>
      <c r="AN26" s="596"/>
      <c r="AO26" s="596"/>
      <c r="AP26" s="922"/>
      <c r="AQ26" s="647"/>
      <c r="AR26" s="648"/>
      <c r="AS26" s="648"/>
      <c r="AT26" s="648"/>
      <c r="AU26" s="649"/>
      <c r="AV26" s="647"/>
      <c r="AW26" s="648"/>
      <c r="AX26" s="648"/>
      <c r="AY26" s="648"/>
      <c r="AZ26" s="649"/>
      <c r="BA26" s="647"/>
      <c r="BB26" s="648"/>
      <c r="BC26" s="648"/>
      <c r="BD26" s="648"/>
      <c r="BE26" s="649"/>
    </row>
    <row r="27" spans="1:57" s="542" customFormat="1">
      <c r="A27" s="566"/>
      <c r="B27" s="567" t="s">
        <v>304</v>
      </c>
      <c r="C27" s="595"/>
      <c r="D27" s="596"/>
      <c r="E27" s="596"/>
      <c r="F27" s="596"/>
      <c r="G27" s="597"/>
      <c r="H27" s="595"/>
      <c r="I27" s="596"/>
      <c r="J27" s="596"/>
      <c r="K27" s="596"/>
      <c r="L27" s="597"/>
      <c r="M27" s="595"/>
      <c r="N27" s="596"/>
      <c r="O27" s="596"/>
      <c r="P27" s="596"/>
      <c r="Q27" s="598"/>
      <c r="R27" s="599"/>
      <c r="S27" s="600"/>
      <c r="T27" s="600"/>
      <c r="U27" s="600"/>
      <c r="V27" s="601"/>
      <c r="W27" s="595"/>
      <c r="X27" s="596"/>
      <c r="Y27" s="596"/>
      <c r="Z27" s="596"/>
      <c r="AA27" s="598"/>
      <c r="AB27" s="1473"/>
      <c r="AC27" s="1474"/>
      <c r="AD27" s="1474"/>
      <c r="AE27" s="1474"/>
      <c r="AF27" s="1475"/>
      <c r="AG27" s="1485"/>
      <c r="AH27" s="1486"/>
      <c r="AI27" s="1486"/>
      <c r="AJ27" s="1486"/>
      <c r="AK27" s="1475"/>
      <c r="AL27" s="921"/>
      <c r="AM27" s="596"/>
      <c r="AN27" s="596"/>
      <c r="AO27" s="596"/>
      <c r="AP27" s="922"/>
      <c r="AQ27" s="647"/>
      <c r="AR27" s="648"/>
      <c r="AS27" s="648"/>
      <c r="AT27" s="648"/>
      <c r="AU27" s="649"/>
      <c r="AV27" s="647"/>
      <c r="AW27" s="648"/>
      <c r="AX27" s="648"/>
      <c r="AY27" s="648"/>
      <c r="AZ27" s="649"/>
      <c r="BA27" s="647"/>
      <c r="BB27" s="648"/>
      <c r="BC27" s="648"/>
      <c r="BD27" s="648"/>
      <c r="BE27" s="649"/>
    </row>
    <row r="28" spans="1:57" s="542" customFormat="1">
      <c r="A28" s="566"/>
      <c r="B28" s="567" t="s">
        <v>305</v>
      </c>
      <c r="C28" s="595"/>
      <c r="D28" s="596"/>
      <c r="E28" s="596"/>
      <c r="F28" s="596"/>
      <c r="G28" s="597"/>
      <c r="H28" s="595"/>
      <c r="I28" s="596"/>
      <c r="J28" s="596"/>
      <c r="K28" s="596"/>
      <c r="L28" s="597"/>
      <c r="M28" s="595"/>
      <c r="N28" s="596"/>
      <c r="O28" s="596"/>
      <c r="P28" s="596"/>
      <c r="Q28" s="598"/>
      <c r="R28" s="599"/>
      <c r="S28" s="600"/>
      <c r="T28" s="600"/>
      <c r="U28" s="600"/>
      <c r="V28" s="601"/>
      <c r="W28" s="595"/>
      <c r="X28" s="596"/>
      <c r="Y28" s="596"/>
      <c r="Z28" s="596"/>
      <c r="AA28" s="598"/>
      <c r="AB28" s="1473"/>
      <c r="AC28" s="1474"/>
      <c r="AD28" s="1474"/>
      <c r="AE28" s="1474"/>
      <c r="AF28" s="1475"/>
      <c r="AG28" s="1485"/>
      <c r="AH28" s="1486"/>
      <c r="AI28" s="1486"/>
      <c r="AJ28" s="1486"/>
      <c r="AK28" s="1475"/>
      <c r="AL28" s="921"/>
      <c r="AM28" s="596"/>
      <c r="AN28" s="596"/>
      <c r="AO28" s="596"/>
      <c r="AP28" s="922"/>
      <c r="AQ28" s="647"/>
      <c r="AR28" s="648"/>
      <c r="AS28" s="648"/>
      <c r="AT28" s="648"/>
      <c r="AU28" s="649"/>
      <c r="AV28" s="647"/>
      <c r="AW28" s="648"/>
      <c r="AX28" s="648"/>
      <c r="AY28" s="648"/>
      <c r="AZ28" s="649"/>
      <c r="BA28" s="647"/>
      <c r="BB28" s="648"/>
      <c r="BC28" s="648"/>
      <c r="BD28" s="648"/>
      <c r="BE28" s="649"/>
    </row>
    <row r="29" spans="1:57" s="542" customFormat="1">
      <c r="A29" s="566" t="s">
        <v>139</v>
      </c>
      <c r="B29" s="567" t="s">
        <v>306</v>
      </c>
      <c r="C29" s="595"/>
      <c r="D29" s="596"/>
      <c r="E29" s="596"/>
      <c r="F29" s="596"/>
      <c r="G29" s="597"/>
      <c r="H29" s="595"/>
      <c r="I29" s="596"/>
      <c r="J29" s="596"/>
      <c r="K29" s="596"/>
      <c r="L29" s="597"/>
      <c r="M29" s="595"/>
      <c r="N29" s="596"/>
      <c r="O29" s="596"/>
      <c r="P29" s="596"/>
      <c r="Q29" s="598"/>
      <c r="R29" s="599"/>
      <c r="S29" s="600"/>
      <c r="T29" s="600"/>
      <c r="U29" s="600"/>
      <c r="V29" s="601"/>
      <c r="W29" s="595"/>
      <c r="X29" s="596"/>
      <c r="Y29" s="596"/>
      <c r="Z29" s="596"/>
      <c r="AA29" s="598"/>
      <c r="AB29" s="1473"/>
      <c r="AC29" s="1474"/>
      <c r="AD29" s="1474"/>
      <c r="AE29" s="1474"/>
      <c r="AF29" s="1475"/>
      <c r="AG29" s="1485"/>
      <c r="AH29" s="1486"/>
      <c r="AI29" s="1486"/>
      <c r="AJ29" s="1486"/>
      <c r="AK29" s="1475"/>
      <c r="AL29" s="921"/>
      <c r="AM29" s="596"/>
      <c r="AN29" s="596"/>
      <c r="AO29" s="596"/>
      <c r="AP29" s="922"/>
      <c r="AQ29" s="647"/>
      <c r="AR29" s="648"/>
      <c r="AS29" s="648"/>
      <c r="AT29" s="648"/>
      <c r="AU29" s="649"/>
      <c r="AV29" s="647"/>
      <c r="AW29" s="648"/>
      <c r="AX29" s="648"/>
      <c r="AY29" s="648"/>
      <c r="AZ29" s="649"/>
      <c r="BA29" s="647"/>
      <c r="BB29" s="648"/>
      <c r="BC29" s="648"/>
      <c r="BD29" s="648"/>
      <c r="BE29" s="649"/>
    </row>
    <row r="30" spans="1:57" s="542" customFormat="1" ht="13.8" thickBot="1">
      <c r="A30" s="602" t="s">
        <v>140</v>
      </c>
      <c r="B30" s="603" t="s">
        <v>307</v>
      </c>
      <c r="C30" s="604"/>
      <c r="D30" s="605"/>
      <c r="E30" s="605"/>
      <c r="F30" s="605"/>
      <c r="G30" s="606"/>
      <c r="H30" s="604"/>
      <c r="I30" s="605"/>
      <c r="J30" s="605"/>
      <c r="K30" s="605"/>
      <c r="L30" s="606"/>
      <c r="M30" s="604"/>
      <c r="N30" s="605"/>
      <c r="O30" s="605"/>
      <c r="P30" s="605"/>
      <c r="Q30" s="607"/>
      <c r="R30" s="608"/>
      <c r="S30" s="1469"/>
      <c r="T30" s="1469"/>
      <c r="U30" s="1469"/>
      <c r="V30" s="609"/>
      <c r="W30" s="604"/>
      <c r="X30" s="605"/>
      <c r="Y30" s="605"/>
      <c r="Z30" s="605"/>
      <c r="AA30" s="607"/>
      <c r="AB30" s="1476"/>
      <c r="AC30" s="1477"/>
      <c r="AD30" s="1477"/>
      <c r="AE30" s="1477"/>
      <c r="AF30" s="1478"/>
      <c r="AG30" s="1487"/>
      <c r="AH30" s="1488"/>
      <c r="AI30" s="1488"/>
      <c r="AJ30" s="1488"/>
      <c r="AK30" s="1478"/>
      <c r="AL30" s="923"/>
      <c r="AM30" s="924"/>
      <c r="AN30" s="924"/>
      <c r="AO30" s="924"/>
      <c r="AP30" s="925"/>
      <c r="AQ30" s="650"/>
      <c r="AR30" s="651"/>
      <c r="AS30" s="651"/>
      <c r="AT30" s="651"/>
      <c r="AU30" s="652"/>
      <c r="AV30" s="650"/>
      <c r="AW30" s="651"/>
      <c r="AX30" s="651"/>
      <c r="AY30" s="651"/>
      <c r="AZ30" s="652"/>
      <c r="BA30" s="650"/>
      <c r="BB30" s="651"/>
      <c r="BC30" s="651"/>
      <c r="BD30" s="651"/>
      <c r="BE30" s="652"/>
    </row>
    <row r="31" spans="1:57" s="542" customFormat="1">
      <c r="A31" s="541"/>
      <c r="B31" s="610"/>
      <c r="C31" s="541"/>
      <c r="D31" s="541"/>
      <c r="E31" s="541"/>
      <c r="F31" s="541"/>
      <c r="G31" s="541"/>
      <c r="H31" s="541"/>
      <c r="I31" s="541"/>
      <c r="J31" s="541"/>
      <c r="K31" s="541"/>
      <c r="L31" s="541"/>
    </row>
    <row r="32" spans="1:57" s="611" customFormat="1" ht="15">
      <c r="B32" s="612"/>
      <c r="C32" s="612"/>
      <c r="F32" s="613" t="s">
        <v>388</v>
      </c>
    </row>
    <row r="33" spans="1:37" s="615" customFormat="1" ht="18.75" customHeight="1">
      <c r="A33" s="614"/>
      <c r="B33" s="471" t="s">
        <v>381</v>
      </c>
      <c r="C33" s="19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614"/>
      <c r="T33" s="614"/>
      <c r="U33" s="614"/>
      <c r="V33" s="614"/>
      <c r="W33" s="614"/>
      <c r="X33" s="614"/>
      <c r="Y33" s="614"/>
      <c r="Z33" s="614"/>
      <c r="AA33" s="614"/>
      <c r="AB33" s="614"/>
      <c r="AC33" s="614"/>
      <c r="AD33" s="614"/>
      <c r="AE33" s="614"/>
      <c r="AF33" s="614"/>
      <c r="AG33" s="614"/>
      <c r="AH33" s="614"/>
      <c r="AI33" s="614"/>
      <c r="AJ33" s="614"/>
      <c r="AK33" s="614"/>
    </row>
    <row r="34" spans="1:37" s="615" customFormat="1" ht="18.75" customHeight="1">
      <c r="A34" s="614"/>
      <c r="B34" s="95"/>
      <c r="C34" s="96"/>
      <c r="D34" s="95"/>
      <c r="E34" s="95"/>
      <c r="F34" s="1718"/>
      <c r="G34" s="1718"/>
      <c r="H34" s="1718"/>
      <c r="I34" s="1718"/>
      <c r="J34" s="1718"/>
      <c r="K34" s="1718"/>
      <c r="L34" s="1718"/>
      <c r="M34" s="1718"/>
      <c r="N34" s="1718"/>
      <c r="O34" s="1718"/>
      <c r="P34" s="1718"/>
      <c r="Q34" s="1718"/>
      <c r="R34" s="1718"/>
      <c r="S34" s="614"/>
      <c r="T34" s="614"/>
      <c r="U34" s="614"/>
      <c r="V34" s="614"/>
      <c r="W34" s="614"/>
      <c r="X34" s="614"/>
      <c r="Y34" s="614"/>
      <c r="Z34" s="614"/>
      <c r="AA34" s="614"/>
      <c r="AB34" s="614"/>
      <c r="AC34" s="614"/>
      <c r="AD34" s="614"/>
      <c r="AE34" s="614"/>
      <c r="AF34" s="614"/>
      <c r="AG34" s="614"/>
      <c r="AH34" s="614"/>
      <c r="AI34" s="614"/>
      <c r="AJ34" s="614"/>
      <c r="AK34" s="614"/>
    </row>
    <row r="35" spans="1:37" s="615" customFormat="1" ht="18.75" customHeight="1">
      <c r="A35" s="614"/>
      <c r="B35" s="471" t="s">
        <v>377</v>
      </c>
      <c r="C35" s="497"/>
      <c r="D35" s="497"/>
      <c r="E35" s="497"/>
      <c r="F35" s="476" t="s">
        <v>382</v>
      </c>
      <c r="G35" s="98"/>
      <c r="H35" s="98"/>
      <c r="I35" s="98"/>
      <c r="J35" s="98"/>
      <c r="K35" s="98"/>
      <c r="L35" s="476" t="s">
        <v>436</v>
      </c>
      <c r="M35" s="98"/>
      <c r="N35" s="98"/>
      <c r="O35" s="98"/>
      <c r="P35" s="98"/>
      <c r="Q35" s="98"/>
      <c r="R35" s="98"/>
      <c r="S35" s="614"/>
      <c r="T35" s="614"/>
      <c r="U35" s="614"/>
      <c r="V35" s="614"/>
      <c r="W35" s="614"/>
      <c r="X35" s="614"/>
      <c r="Y35" s="614"/>
      <c r="Z35" s="614"/>
      <c r="AA35" s="614"/>
      <c r="AB35" s="614"/>
      <c r="AC35" s="614"/>
      <c r="AD35" s="614"/>
      <c r="AE35" s="614"/>
      <c r="AF35" s="614"/>
      <c r="AG35" s="614"/>
      <c r="AH35" s="614"/>
      <c r="AI35" s="614"/>
      <c r="AJ35" s="614"/>
      <c r="AK35" s="614"/>
    </row>
    <row r="36" spans="1:37">
      <c r="A36" s="616"/>
      <c r="B36" s="110" t="s">
        <v>378</v>
      </c>
      <c r="C36" s="464"/>
      <c r="D36" s="464"/>
      <c r="E36" s="464"/>
      <c r="F36" s="46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37" s="501" customFormat="1" ht="15.6">
      <c r="A37" s="498"/>
      <c r="B37" s="110" t="s">
        <v>379</v>
      </c>
      <c r="C37" s="476"/>
      <c r="D37" s="499"/>
      <c r="E37" s="500"/>
      <c r="F37" s="476"/>
      <c r="G37" s="99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37">
      <c r="A38" s="616"/>
      <c r="B38" s="617"/>
      <c r="C38" s="616"/>
      <c r="D38" s="616"/>
      <c r="E38" s="616"/>
      <c r="F38" s="616"/>
      <c r="G38" s="616"/>
      <c r="H38" s="616"/>
      <c r="I38" s="616"/>
      <c r="J38" s="616"/>
      <c r="K38" s="616"/>
      <c r="L38" s="616"/>
    </row>
    <row r="39" spans="1:37">
      <c r="A39" s="616"/>
      <c r="B39" s="617"/>
      <c r="C39" s="616"/>
      <c r="D39" s="616"/>
      <c r="E39" s="616"/>
      <c r="F39" s="616"/>
      <c r="G39" s="616"/>
      <c r="H39" s="616"/>
      <c r="I39" s="616"/>
      <c r="J39" s="616"/>
      <c r="K39" s="616"/>
      <c r="L39" s="616"/>
    </row>
    <row r="40" spans="1:37">
      <c r="A40" s="616"/>
      <c r="B40" s="617"/>
      <c r="C40" s="616"/>
      <c r="D40" s="616"/>
      <c r="E40" s="616"/>
      <c r="F40" s="616"/>
      <c r="G40" s="616"/>
      <c r="H40" s="616"/>
      <c r="I40" s="616"/>
      <c r="J40" s="616"/>
      <c r="K40" s="616"/>
      <c r="L40" s="616"/>
    </row>
    <row r="41" spans="1:37">
      <c r="A41" s="616"/>
      <c r="B41" s="617"/>
      <c r="C41" s="616"/>
      <c r="D41" s="616"/>
      <c r="E41" s="616"/>
      <c r="F41" s="616"/>
      <c r="G41" s="616"/>
      <c r="H41" s="616"/>
      <c r="I41" s="616"/>
      <c r="J41" s="616"/>
      <c r="K41" s="616"/>
      <c r="L41" s="616"/>
    </row>
    <row r="42" spans="1:37">
      <c r="A42" s="616"/>
      <c r="B42" s="617"/>
      <c r="C42" s="616"/>
      <c r="D42" s="616"/>
      <c r="E42" s="616"/>
      <c r="F42" s="616"/>
      <c r="G42" s="616"/>
      <c r="H42" s="616"/>
      <c r="I42" s="616"/>
      <c r="J42" s="616"/>
      <c r="K42" s="616"/>
      <c r="L42" s="616"/>
    </row>
    <row r="45" spans="1:37">
      <c r="R45" s="29">
        <v>5</v>
      </c>
    </row>
  </sheetData>
  <mergeCells count="11">
    <mergeCell ref="R5:V5"/>
    <mergeCell ref="W5:AA5"/>
    <mergeCell ref="BA5:BE5"/>
    <mergeCell ref="AV5:AZ5"/>
    <mergeCell ref="F34:R34"/>
    <mergeCell ref="AB5:AF5"/>
    <mergeCell ref="AG5:AK5"/>
    <mergeCell ref="AL5:AP5"/>
    <mergeCell ref="AQ5:AU5"/>
    <mergeCell ref="H5:L5"/>
    <mergeCell ref="M5:Q5"/>
  </mergeCells>
  <phoneticPr fontId="4" type="noConversion"/>
  <pageMargins left="0" right="0" top="0.74803149606299213" bottom="0.74803149606299213" header="0.31496062992125984" footer="0.31496062992125984"/>
  <pageSetup paperSize="8" scale="35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CE34"/>
  <sheetViews>
    <sheetView zoomScale="85" zoomScaleNormal="85" zoomScaleSheetLayoutView="85" workbookViewId="0">
      <pane xSplit="2" ySplit="7" topLeftCell="H25" activePane="bottomRight" state="frozen"/>
      <selection pane="topRight" activeCell="C1" sqref="C1"/>
      <selection pane="bottomLeft" activeCell="A8" sqref="A8"/>
      <selection pane="bottomRight" activeCell="AL23" sqref="AL23"/>
    </sheetView>
  </sheetViews>
  <sheetFormatPr defaultColWidth="9.33203125" defaultRowHeight="13.2"/>
  <cols>
    <col min="1" max="1" width="4.44140625" style="29" customWidth="1"/>
    <col min="2" max="2" width="45.33203125" style="620" customWidth="1"/>
    <col min="3" max="3" width="9.109375" style="29" customWidth="1"/>
    <col min="4" max="4" width="6" style="29" customWidth="1"/>
    <col min="5" max="5" width="5" style="29" bestFit="1" customWidth="1"/>
    <col min="6" max="6" width="8.21875" style="29" customWidth="1"/>
    <col min="7" max="7" width="8" style="29" customWidth="1"/>
    <col min="8" max="8" width="8.44140625" style="29" customWidth="1"/>
    <col min="9" max="9" width="6.88671875" style="29" customWidth="1"/>
    <col min="10" max="10" width="5.33203125" style="29" customWidth="1"/>
    <col min="11" max="11" width="6.33203125" style="29" customWidth="1"/>
    <col min="12" max="15" width="6.109375" style="29" customWidth="1"/>
    <col min="16" max="16" width="6.6640625" style="29" bestFit="1" customWidth="1"/>
    <col min="17" max="22" width="6.109375" style="29" customWidth="1"/>
    <col min="23" max="23" width="7.5546875" style="29" customWidth="1"/>
    <col min="24" max="24" width="7.33203125" style="29" customWidth="1"/>
    <col min="25" max="25" width="5.33203125" style="29" customWidth="1"/>
    <col min="26" max="27" width="6" style="29" bestFit="1" customWidth="1"/>
    <col min="28" max="28" width="7.33203125" style="29" customWidth="1"/>
    <col min="29" max="29" width="6" style="29" bestFit="1" customWidth="1"/>
    <col min="30" max="30" width="5.33203125" style="29" customWidth="1"/>
    <col min="31" max="32" width="6" style="29" bestFit="1" customWidth="1"/>
    <col min="33" max="33" width="5.88671875" style="29" customWidth="1"/>
    <col min="34" max="34" width="6" style="29" bestFit="1" customWidth="1"/>
    <col min="35" max="35" width="5.33203125" style="29" customWidth="1"/>
    <col min="36" max="36" width="6.21875" style="29" bestFit="1" customWidth="1"/>
    <col min="37" max="37" width="6" style="29" bestFit="1" customWidth="1"/>
    <col min="38" max="38" width="5.88671875" style="29" customWidth="1"/>
    <col min="39" max="42" width="5.33203125" style="29" customWidth="1"/>
    <col min="43" max="43" width="6" style="29" customWidth="1"/>
    <col min="44" max="47" width="5.33203125" style="29" customWidth="1"/>
    <col min="48" max="16384" width="9.33203125" style="29"/>
  </cols>
  <sheetData>
    <row r="1" spans="1:83" ht="24.6">
      <c r="A1" s="621" t="s">
        <v>380</v>
      </c>
      <c r="B1" s="653"/>
      <c r="C1" s="542"/>
      <c r="D1" s="542"/>
      <c r="E1" s="542"/>
      <c r="F1" s="673" t="s">
        <v>389</v>
      </c>
      <c r="Y1" s="616"/>
      <c r="Z1" s="616"/>
      <c r="AB1" s="544"/>
      <c r="AC1" s="544"/>
      <c r="AD1" s="544"/>
      <c r="AE1" s="544"/>
      <c r="AF1" s="544"/>
    </row>
    <row r="2" spans="1:83" ht="15.6">
      <c r="A2" s="1724"/>
      <c r="B2" s="1724"/>
      <c r="C2" s="34"/>
      <c r="D2" s="616"/>
      <c r="E2" s="616"/>
      <c r="F2" s="674" t="s">
        <v>390</v>
      </c>
      <c r="G2" s="655"/>
    </row>
    <row r="3" spans="1:83" s="542" customFormat="1" ht="16.8">
      <c r="A3" s="1725" t="s">
        <v>308</v>
      </c>
      <c r="B3" s="1725"/>
      <c r="C3" s="1725"/>
      <c r="D3" s="1725"/>
      <c r="E3" s="1725"/>
      <c r="F3" s="1725"/>
      <c r="G3" s="1725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</row>
    <row r="4" spans="1:83" ht="18" thickBot="1">
      <c r="A4" s="545"/>
      <c r="B4" s="657"/>
      <c r="C4" s="542"/>
      <c r="D4" s="658"/>
      <c r="E4" s="658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654"/>
      <c r="AC4" s="654"/>
      <c r="AD4" s="654"/>
      <c r="AE4" s="654"/>
      <c r="AF4" s="654"/>
    </row>
    <row r="5" spans="1:83" ht="40.5" customHeight="1" thickBot="1">
      <c r="A5" s="1726" t="s">
        <v>196</v>
      </c>
      <c r="B5" s="1728" t="s">
        <v>197</v>
      </c>
      <c r="C5" s="1708" t="s">
        <v>435</v>
      </c>
      <c r="D5" s="1709"/>
      <c r="E5" s="1709"/>
      <c r="F5" s="1709"/>
      <c r="G5" s="1710"/>
      <c r="H5" s="1719" t="s">
        <v>471</v>
      </c>
      <c r="I5" s="1720" t="s">
        <v>385</v>
      </c>
      <c r="J5" s="1720" t="s">
        <v>385</v>
      </c>
      <c r="K5" s="1720" t="s">
        <v>385</v>
      </c>
      <c r="L5" s="1721" t="s">
        <v>385</v>
      </c>
      <c r="M5" s="1719" t="s">
        <v>472</v>
      </c>
      <c r="N5" s="1720" t="s">
        <v>385</v>
      </c>
      <c r="O5" s="1720" t="s">
        <v>385</v>
      </c>
      <c r="P5" s="1720" t="s">
        <v>385</v>
      </c>
      <c r="Q5" s="1721" t="s">
        <v>385</v>
      </c>
      <c r="R5" s="1709" t="s">
        <v>452</v>
      </c>
      <c r="S5" s="1709"/>
      <c r="T5" s="1709"/>
      <c r="U5" s="1709"/>
      <c r="V5" s="1710"/>
      <c r="W5" s="1719" t="s">
        <v>473</v>
      </c>
      <c r="X5" s="1720" t="s">
        <v>385</v>
      </c>
      <c r="Y5" s="1720" t="s">
        <v>385</v>
      </c>
      <c r="Z5" s="1720" t="s">
        <v>385</v>
      </c>
      <c r="AA5" s="1721" t="s">
        <v>385</v>
      </c>
      <c r="AB5" s="1719" t="s">
        <v>474</v>
      </c>
      <c r="AC5" s="1720" t="s">
        <v>385</v>
      </c>
      <c r="AD5" s="1720" t="s">
        <v>385</v>
      </c>
      <c r="AE5" s="1720" t="s">
        <v>385</v>
      </c>
      <c r="AF5" s="1721" t="s">
        <v>385</v>
      </c>
      <c r="AG5" s="1719" t="s">
        <v>475</v>
      </c>
      <c r="AH5" s="1720" t="s">
        <v>385</v>
      </c>
      <c r="AI5" s="1720" t="s">
        <v>385</v>
      </c>
      <c r="AJ5" s="1720" t="s">
        <v>385</v>
      </c>
      <c r="AK5" s="1721" t="s">
        <v>385</v>
      </c>
      <c r="AL5" s="1711" t="s">
        <v>448</v>
      </c>
      <c r="AM5" s="1712"/>
      <c r="AN5" s="1712"/>
      <c r="AO5" s="1712"/>
      <c r="AP5" s="1713"/>
      <c r="AQ5" s="1711" t="s">
        <v>448</v>
      </c>
      <c r="AR5" s="1712"/>
      <c r="AS5" s="1712"/>
      <c r="AT5" s="1712"/>
      <c r="AU5" s="1713"/>
    </row>
    <row r="6" spans="1:83" ht="27" thickBot="1">
      <c r="A6" s="1727"/>
      <c r="B6" s="1729"/>
      <c r="C6" s="1449" t="s">
        <v>250</v>
      </c>
      <c r="D6" s="1450" t="s">
        <v>135</v>
      </c>
      <c r="E6" s="1450" t="s">
        <v>136</v>
      </c>
      <c r="F6" s="1450" t="s">
        <v>293</v>
      </c>
      <c r="G6" s="1451" t="s">
        <v>138</v>
      </c>
      <c r="H6" s="1449" t="s">
        <v>250</v>
      </c>
      <c r="I6" s="1450" t="s">
        <v>135</v>
      </c>
      <c r="J6" s="1450" t="s">
        <v>136</v>
      </c>
      <c r="K6" s="1450" t="s">
        <v>293</v>
      </c>
      <c r="L6" s="1451" t="s">
        <v>138</v>
      </c>
      <c r="M6" s="1449" t="s">
        <v>250</v>
      </c>
      <c r="N6" s="1450" t="s">
        <v>135</v>
      </c>
      <c r="O6" s="1450" t="s">
        <v>136</v>
      </c>
      <c r="P6" s="1450" t="s">
        <v>293</v>
      </c>
      <c r="Q6" s="1451" t="s">
        <v>138</v>
      </c>
      <c r="R6" s="1537" t="s">
        <v>250</v>
      </c>
      <c r="S6" s="1450" t="s">
        <v>135</v>
      </c>
      <c r="T6" s="1450" t="s">
        <v>136</v>
      </c>
      <c r="U6" s="1450" t="s">
        <v>293</v>
      </c>
      <c r="V6" s="1451" t="s">
        <v>138</v>
      </c>
      <c r="W6" s="1449" t="s">
        <v>250</v>
      </c>
      <c r="X6" s="1450" t="s">
        <v>135</v>
      </c>
      <c r="Y6" s="1450" t="s">
        <v>136</v>
      </c>
      <c r="Z6" s="1450" t="s">
        <v>293</v>
      </c>
      <c r="AA6" s="1451" t="s">
        <v>138</v>
      </c>
      <c r="AB6" s="1449" t="s">
        <v>250</v>
      </c>
      <c r="AC6" s="1450" t="s">
        <v>135</v>
      </c>
      <c r="AD6" s="1450" t="s">
        <v>136</v>
      </c>
      <c r="AE6" s="1450" t="s">
        <v>293</v>
      </c>
      <c r="AF6" s="1451" t="s">
        <v>138</v>
      </c>
      <c r="AG6" s="1449" t="s">
        <v>250</v>
      </c>
      <c r="AH6" s="1450" t="s">
        <v>135</v>
      </c>
      <c r="AI6" s="1450" t="s">
        <v>136</v>
      </c>
      <c r="AJ6" s="1450" t="s">
        <v>293</v>
      </c>
      <c r="AK6" s="1451" t="s">
        <v>138</v>
      </c>
      <c r="AL6" s="984" t="s">
        <v>250</v>
      </c>
      <c r="AM6" s="985" t="s">
        <v>135</v>
      </c>
      <c r="AN6" s="985" t="s">
        <v>136</v>
      </c>
      <c r="AO6" s="985" t="s">
        <v>293</v>
      </c>
      <c r="AP6" s="986" t="s">
        <v>138</v>
      </c>
      <c r="AQ6" s="984" t="s">
        <v>250</v>
      </c>
      <c r="AR6" s="985" t="s">
        <v>135</v>
      </c>
      <c r="AS6" s="985" t="s">
        <v>136</v>
      </c>
      <c r="AT6" s="985" t="s">
        <v>293</v>
      </c>
      <c r="AU6" s="986" t="s">
        <v>138</v>
      </c>
    </row>
    <row r="7" spans="1:83" s="542" customFormat="1" ht="13.8" thickBot="1">
      <c r="A7" s="1519">
        <v>1</v>
      </c>
      <c r="B7" s="1520">
        <v>2</v>
      </c>
      <c r="C7" s="1538">
        <v>3</v>
      </c>
      <c r="D7" s="1539">
        <v>4</v>
      </c>
      <c r="E7" s="1520">
        <v>5</v>
      </c>
      <c r="F7" s="1539">
        <v>6</v>
      </c>
      <c r="G7" s="1540">
        <v>7</v>
      </c>
      <c r="H7" s="1538">
        <v>8</v>
      </c>
      <c r="I7" s="1539">
        <v>9</v>
      </c>
      <c r="J7" s="1520">
        <v>10</v>
      </c>
      <c r="K7" s="1539">
        <v>11</v>
      </c>
      <c r="L7" s="1540">
        <v>12</v>
      </c>
      <c r="M7" s="1538">
        <v>13</v>
      </c>
      <c r="N7" s="1539">
        <v>14</v>
      </c>
      <c r="O7" s="1520">
        <v>15</v>
      </c>
      <c r="P7" s="1539">
        <v>16</v>
      </c>
      <c r="Q7" s="1540">
        <v>17</v>
      </c>
      <c r="R7" s="1541">
        <v>18</v>
      </c>
      <c r="S7" s="1539">
        <v>19</v>
      </c>
      <c r="T7" s="1520">
        <v>20</v>
      </c>
      <c r="U7" s="1539">
        <v>21</v>
      </c>
      <c r="V7" s="1542">
        <v>22</v>
      </c>
      <c r="W7" s="1538">
        <v>23</v>
      </c>
      <c r="X7" s="1539">
        <v>24</v>
      </c>
      <c r="Y7" s="1520">
        <v>25</v>
      </c>
      <c r="Z7" s="1539">
        <v>26</v>
      </c>
      <c r="AA7" s="1542">
        <v>27</v>
      </c>
      <c r="AB7" s="1543">
        <v>28</v>
      </c>
      <c r="AC7" s="1544">
        <v>29</v>
      </c>
      <c r="AD7" s="1544">
        <v>30</v>
      </c>
      <c r="AE7" s="1545">
        <v>31</v>
      </c>
      <c r="AF7" s="1546">
        <v>32</v>
      </c>
      <c r="AG7" s="1519">
        <v>33</v>
      </c>
      <c r="AH7" s="1520">
        <v>34</v>
      </c>
      <c r="AI7" s="1539">
        <v>35</v>
      </c>
      <c r="AJ7" s="1520">
        <v>36</v>
      </c>
      <c r="AK7" s="1547">
        <v>37</v>
      </c>
      <c r="AL7" s="992">
        <v>38</v>
      </c>
      <c r="AM7" s="993">
        <v>39</v>
      </c>
      <c r="AN7" s="994">
        <v>40</v>
      </c>
      <c r="AO7" s="993">
        <v>41</v>
      </c>
      <c r="AP7" s="995">
        <v>42</v>
      </c>
      <c r="AQ7" s="992">
        <v>43</v>
      </c>
      <c r="AR7" s="993">
        <v>44</v>
      </c>
      <c r="AS7" s="994">
        <v>45</v>
      </c>
      <c r="AT7" s="993">
        <v>46</v>
      </c>
      <c r="AU7" s="996">
        <v>47</v>
      </c>
      <c r="AV7" s="658"/>
      <c r="AW7" s="658"/>
      <c r="AX7" s="658"/>
      <c r="AY7" s="658"/>
      <c r="AZ7" s="658"/>
      <c r="BA7" s="658"/>
      <c r="BB7" s="658"/>
      <c r="BC7" s="658"/>
      <c r="BD7" s="658"/>
      <c r="BE7" s="658"/>
      <c r="BF7" s="658"/>
      <c r="BG7" s="658"/>
      <c r="BH7" s="658"/>
      <c r="BI7" s="658"/>
      <c r="BJ7" s="658"/>
      <c r="BK7" s="658"/>
      <c r="BL7" s="658"/>
      <c r="BM7" s="658"/>
      <c r="BN7" s="658"/>
      <c r="BO7" s="658"/>
      <c r="BP7" s="658"/>
      <c r="BQ7" s="658"/>
      <c r="BR7" s="658"/>
      <c r="BS7" s="658"/>
      <c r="BT7" s="658"/>
      <c r="BU7" s="658"/>
      <c r="BV7" s="658"/>
      <c r="BW7" s="658"/>
      <c r="BX7" s="658"/>
      <c r="BY7" s="658"/>
      <c r="BZ7" s="658"/>
      <c r="CA7" s="658"/>
      <c r="CB7" s="658"/>
      <c r="CC7" s="658"/>
      <c r="CD7" s="658"/>
      <c r="CE7" s="658"/>
    </row>
    <row r="8" spans="1:83" s="542" customFormat="1">
      <c r="A8" s="1521" t="s">
        <v>130</v>
      </c>
      <c r="B8" s="1522" t="s">
        <v>309</v>
      </c>
      <c r="C8" s="1489">
        <f>C16</f>
        <v>2.4751304347826086</v>
      </c>
      <c r="D8" s="1490">
        <f>D16</f>
        <v>2.1095652173913044</v>
      </c>
      <c r="E8" s="1490"/>
      <c r="F8" s="1490">
        <f>D16</f>
        <v>2.1095652173913044</v>
      </c>
      <c r="G8" s="1491">
        <f>F16</f>
        <v>2.1095652173913044</v>
      </c>
      <c r="H8" s="1489">
        <f>H16</f>
        <v>1.8756521739130434</v>
      </c>
      <c r="I8" s="1490">
        <f>I16</f>
        <v>1.8756521739130434</v>
      </c>
      <c r="J8" s="1490"/>
      <c r="K8" s="1490">
        <f>I16</f>
        <v>1.8756521739130434</v>
      </c>
      <c r="L8" s="1491">
        <f>K16</f>
        <v>1.8681739130434782</v>
      </c>
      <c r="M8" s="1489">
        <f>M16</f>
        <v>2.1142608695652174</v>
      </c>
      <c r="N8" s="1490">
        <f>N16</f>
        <v>2.1142608695652174</v>
      </c>
      <c r="O8" s="1490"/>
      <c r="P8" s="1490">
        <f>N8</f>
        <v>2.1142608695652174</v>
      </c>
      <c r="Q8" s="1491">
        <f>P11-P17</f>
        <v>2.0939130434782607</v>
      </c>
      <c r="R8" s="1489">
        <f>R16</f>
        <v>2</v>
      </c>
      <c r="S8" s="1490">
        <f>S16</f>
        <v>1.4608695652173913</v>
      </c>
      <c r="T8" s="1490"/>
      <c r="U8" s="1490">
        <f>S16</f>
        <v>1.4608695652173913</v>
      </c>
      <c r="V8" s="1491">
        <v>1.706</v>
      </c>
      <c r="W8" s="1489">
        <f>W16</f>
        <v>1.5648695652173912</v>
      </c>
      <c r="X8" s="1490">
        <f>X16</f>
        <v>1.5648695652173912</v>
      </c>
      <c r="Y8" s="29"/>
      <c r="Z8" s="1490">
        <f>X8</f>
        <v>1.5648695652173912</v>
      </c>
      <c r="AA8" s="1508">
        <f>Z11</f>
        <v>1.5593043478260868</v>
      </c>
      <c r="AB8" s="1528">
        <f>AB16</f>
        <v>1.6361739130434783</v>
      </c>
      <c r="AC8" s="1529">
        <f>AC16</f>
        <v>1.6361739130434783</v>
      </c>
      <c r="AD8" s="1529"/>
      <c r="AE8" s="1529">
        <f>AC8</f>
        <v>1.6361739130434783</v>
      </c>
      <c r="AF8" s="1530">
        <f>AE11</f>
        <v>1.6306086956521739</v>
      </c>
      <c r="AG8" s="1489">
        <f>AG16</f>
        <v>1.6005217391304347</v>
      </c>
      <c r="AH8" s="1490">
        <f>'1.1.2'!J7</f>
        <v>1.6005217391304347</v>
      </c>
      <c r="AI8" s="1490"/>
      <c r="AJ8" s="1490">
        <f>AH16</f>
        <v>1.6005217391304347</v>
      </c>
      <c r="AK8" s="1508">
        <f>AJ16</f>
        <v>1.5893913043478261</v>
      </c>
      <c r="AL8" s="988"/>
      <c r="AM8" s="989"/>
      <c r="AN8" s="989"/>
      <c r="AO8" s="989"/>
      <c r="AP8" s="990"/>
      <c r="AQ8" s="988"/>
      <c r="AR8" s="989"/>
      <c r="AS8" s="989"/>
      <c r="AT8" s="989"/>
      <c r="AU8" s="991"/>
      <c r="AV8" s="658"/>
      <c r="AW8" s="658"/>
      <c r="AX8" s="658"/>
      <c r="AY8" s="658"/>
      <c r="AZ8" s="658"/>
      <c r="BA8" s="658"/>
      <c r="BB8" s="658"/>
      <c r="BC8" s="658"/>
      <c r="BD8" s="658"/>
      <c r="BE8" s="658"/>
      <c r="BF8" s="658"/>
      <c r="BG8" s="658"/>
      <c r="BH8" s="658"/>
      <c r="BI8" s="658"/>
      <c r="BJ8" s="658"/>
      <c r="BK8" s="658"/>
      <c r="BL8" s="658"/>
      <c r="BM8" s="658"/>
      <c r="BN8" s="658"/>
      <c r="BO8" s="658"/>
      <c r="BP8" s="658"/>
      <c r="BQ8" s="658"/>
      <c r="BR8" s="658"/>
      <c r="BS8" s="658"/>
      <c r="BT8" s="658"/>
      <c r="BU8" s="658"/>
      <c r="BV8" s="658"/>
      <c r="BW8" s="658"/>
      <c r="BX8" s="658"/>
      <c r="BY8" s="658"/>
      <c r="BZ8" s="658"/>
      <c r="CA8" s="658"/>
      <c r="CB8" s="658"/>
      <c r="CC8" s="658"/>
      <c r="CD8" s="658"/>
      <c r="CE8" s="658"/>
    </row>
    <row r="9" spans="1:83" s="542" customFormat="1">
      <c r="A9" s="1523" t="s">
        <v>177</v>
      </c>
      <c r="B9" s="1524" t="s">
        <v>291</v>
      </c>
      <c r="C9" s="1492"/>
      <c r="D9" s="1493"/>
      <c r="E9" s="1493"/>
      <c r="F9" s="1493"/>
      <c r="G9" s="1494"/>
      <c r="H9" s="1492"/>
      <c r="I9" s="1493"/>
      <c r="J9" s="1493"/>
      <c r="K9" s="1493"/>
      <c r="L9" s="1494"/>
      <c r="M9" s="1492"/>
      <c r="N9" s="1493"/>
      <c r="O9" s="1493"/>
      <c r="P9" s="1493"/>
      <c r="Q9" s="1494"/>
      <c r="R9" s="1492"/>
      <c r="S9" s="1493"/>
      <c r="T9" s="1493"/>
      <c r="U9" s="1493"/>
      <c r="V9" s="1494"/>
      <c r="W9" s="1492"/>
      <c r="X9" s="1493"/>
      <c r="Y9" s="1493"/>
      <c r="Z9" s="1493"/>
      <c r="AA9" s="1504"/>
      <c r="AB9" s="1531"/>
      <c r="AC9" s="1511"/>
      <c r="AD9" s="1511"/>
      <c r="AE9" s="1511"/>
      <c r="AF9" s="1532"/>
      <c r="AG9" s="1492"/>
      <c r="AH9" s="1493"/>
      <c r="AI9" s="1493"/>
      <c r="AJ9" s="1493"/>
      <c r="AK9" s="1494"/>
      <c r="AL9" s="675"/>
      <c r="AM9" s="676"/>
      <c r="AN9" s="676"/>
      <c r="AO9" s="676"/>
      <c r="AP9" s="677"/>
      <c r="AQ9" s="675"/>
      <c r="AR9" s="676"/>
      <c r="AS9" s="676"/>
      <c r="AT9" s="676"/>
      <c r="AU9" s="677"/>
    </row>
    <row r="10" spans="1:83" s="542" customFormat="1">
      <c r="A10" s="1523"/>
      <c r="B10" s="1524" t="s">
        <v>292</v>
      </c>
      <c r="C10" s="1492"/>
      <c r="D10" s="1493"/>
      <c r="E10" s="1493"/>
      <c r="F10" s="1493"/>
      <c r="G10" s="1494"/>
      <c r="H10" s="1492"/>
      <c r="I10" s="1493"/>
      <c r="J10" s="1493"/>
      <c r="K10" s="1493"/>
      <c r="L10" s="1494"/>
      <c r="M10" s="1492"/>
      <c r="N10" s="1493"/>
      <c r="O10" s="1493"/>
      <c r="P10" s="1493"/>
      <c r="Q10" s="1494"/>
      <c r="R10" s="1492"/>
      <c r="S10" s="1493"/>
      <c r="T10" s="1493"/>
      <c r="U10" s="1493"/>
      <c r="V10" s="1494"/>
      <c r="W10" s="1492"/>
      <c r="X10" s="1509"/>
      <c r="Y10" s="1509"/>
      <c r="Z10" s="1509"/>
      <c r="AA10" s="1504"/>
      <c r="AB10" s="1531"/>
      <c r="AC10" s="1511"/>
      <c r="AD10" s="1511"/>
      <c r="AE10" s="1511"/>
      <c r="AF10" s="1532"/>
      <c r="AG10" s="1492"/>
      <c r="AH10" s="1493"/>
      <c r="AI10" s="1493"/>
      <c r="AJ10" s="1493"/>
      <c r="AK10" s="1494"/>
      <c r="AL10" s="675"/>
      <c r="AM10" s="676"/>
      <c r="AN10" s="676"/>
      <c r="AO10" s="676"/>
      <c r="AP10" s="677"/>
      <c r="AQ10" s="675"/>
      <c r="AR10" s="676"/>
      <c r="AS10" s="676"/>
      <c r="AT10" s="676"/>
      <c r="AU10" s="677"/>
    </row>
    <row r="11" spans="1:83" s="542" customFormat="1">
      <c r="A11" s="1523"/>
      <c r="B11" s="1524" t="s">
        <v>135</v>
      </c>
      <c r="C11" s="1492"/>
      <c r="D11" s="1493"/>
      <c r="E11" s="1493"/>
      <c r="F11" s="1493">
        <f>F8</f>
        <v>2.1095652173913044</v>
      </c>
      <c r="G11" s="1494"/>
      <c r="H11" s="1492"/>
      <c r="I11" s="1493"/>
      <c r="J11" s="1493"/>
      <c r="K11" s="1493">
        <f>K8-K17</f>
        <v>1.8681739130434782</v>
      </c>
      <c r="L11" s="1494"/>
      <c r="M11" s="1492"/>
      <c r="N11" s="1493"/>
      <c r="O11" s="1493"/>
      <c r="P11" s="1493">
        <f>N16</f>
        <v>2.1142608695652174</v>
      </c>
      <c r="Q11" s="1494"/>
      <c r="R11" s="1492"/>
      <c r="S11" s="1493"/>
      <c r="T11" s="1493"/>
      <c r="U11" s="1493">
        <f>U8-U17</f>
        <v>1.4158695652173914</v>
      </c>
      <c r="V11" s="1494"/>
      <c r="W11" s="1510"/>
      <c r="X11" s="1511"/>
      <c r="Y11" s="1511"/>
      <c r="Z11" s="1511">
        <f>Z8-Z17</f>
        <v>1.5593043478260868</v>
      </c>
      <c r="AA11" s="1512"/>
      <c r="AB11" s="1531"/>
      <c r="AC11" s="1511"/>
      <c r="AD11" s="1511"/>
      <c r="AE11" s="1511">
        <f>AE8-AE17</f>
        <v>1.6306086956521739</v>
      </c>
      <c r="AF11" s="1532"/>
      <c r="AG11" s="1492"/>
      <c r="AH11" s="1493"/>
      <c r="AI11" s="1493"/>
      <c r="AJ11" s="1493">
        <f>AJ8-AJ17</f>
        <v>1.5893913043478261</v>
      </c>
      <c r="AK11" s="1494"/>
      <c r="AL11" s="675"/>
      <c r="AM11" s="676"/>
      <c r="AN11" s="676"/>
      <c r="AO11" s="676"/>
      <c r="AP11" s="677"/>
      <c r="AQ11" s="675"/>
      <c r="AR11" s="676"/>
      <c r="AS11" s="676"/>
      <c r="AT11" s="676"/>
      <c r="AU11" s="677"/>
    </row>
    <row r="12" spans="1:83" s="542" customFormat="1">
      <c r="A12" s="1523"/>
      <c r="B12" s="1524" t="s">
        <v>136</v>
      </c>
      <c r="C12" s="1492"/>
      <c r="D12" s="1493"/>
      <c r="E12" s="1493"/>
      <c r="F12" s="1493"/>
      <c r="G12" s="1494"/>
      <c r="H12" s="1492"/>
      <c r="I12" s="1493"/>
      <c r="J12" s="1493"/>
      <c r="K12" s="1493"/>
      <c r="L12" s="1494"/>
      <c r="M12" s="1492"/>
      <c r="N12" s="1493"/>
      <c r="O12" s="1493"/>
      <c r="P12" s="1493"/>
      <c r="Q12" s="1494"/>
      <c r="R12" s="1492"/>
      <c r="S12" s="1493"/>
      <c r="T12" s="1493"/>
      <c r="U12" s="1493"/>
      <c r="V12" s="1494"/>
      <c r="W12" s="1510"/>
      <c r="X12" s="1511"/>
      <c r="Y12" s="1511"/>
      <c r="Z12" s="1511"/>
      <c r="AA12" s="1512"/>
      <c r="AB12" s="1531"/>
      <c r="AC12" s="1511"/>
      <c r="AD12" s="1511"/>
      <c r="AE12" s="1511"/>
      <c r="AF12" s="1532"/>
      <c r="AG12" s="1492"/>
      <c r="AH12" s="1493"/>
      <c r="AI12" s="1493"/>
      <c r="AJ12" s="1493"/>
      <c r="AK12" s="1494"/>
      <c r="AL12" s="675"/>
      <c r="AM12" s="676"/>
      <c r="AN12" s="676"/>
      <c r="AO12" s="676"/>
      <c r="AP12" s="677"/>
      <c r="AQ12" s="675"/>
      <c r="AR12" s="676"/>
      <c r="AS12" s="676"/>
      <c r="AT12" s="676"/>
      <c r="AU12" s="677"/>
    </row>
    <row r="13" spans="1:83" s="542" customFormat="1">
      <c r="A13" s="1523"/>
      <c r="B13" s="1524" t="s">
        <v>293</v>
      </c>
      <c r="C13" s="1492"/>
      <c r="D13" s="1493"/>
      <c r="E13" s="1493"/>
      <c r="F13" s="1493"/>
      <c r="G13" s="1494">
        <f>G8-G17</f>
        <v>2.0998260869565217</v>
      </c>
      <c r="H13" s="1492"/>
      <c r="I13" s="1493"/>
      <c r="J13" s="1493"/>
      <c r="K13" s="1493"/>
      <c r="L13" s="1494">
        <f>L8-L17</f>
        <v>1.8568695652173912</v>
      </c>
      <c r="M13" s="1492"/>
      <c r="N13" s="1493"/>
      <c r="O13" s="1493"/>
      <c r="P13" s="1493"/>
      <c r="Q13" s="1494">
        <f>Q8-Q17</f>
        <v>2.0495652173913044</v>
      </c>
      <c r="R13" s="1492"/>
      <c r="S13" s="1493"/>
      <c r="T13" s="1493"/>
      <c r="U13" s="1493"/>
      <c r="V13" s="1494">
        <v>1.673</v>
      </c>
      <c r="W13" s="1510"/>
      <c r="X13" s="1511"/>
      <c r="Y13" s="1511"/>
      <c r="Z13" s="1511"/>
      <c r="AA13" s="1512">
        <f>AA8-AA17</f>
        <v>1.5516521739130433</v>
      </c>
      <c r="AB13" s="1531"/>
      <c r="AC13" s="1511"/>
      <c r="AD13" s="1511"/>
      <c r="AE13" s="1511"/>
      <c r="AF13" s="1532">
        <f>AF8-AF17</f>
        <v>1.6229565217391304</v>
      </c>
      <c r="AG13" s="1492"/>
      <c r="AH13" s="1493"/>
      <c r="AI13" s="1493"/>
      <c r="AJ13" s="1493"/>
      <c r="AK13" s="1504">
        <f>AK8-AK17</f>
        <v>1.574086956521739</v>
      </c>
      <c r="AL13" s="675"/>
      <c r="AM13" s="676"/>
      <c r="AN13" s="676"/>
      <c r="AO13" s="676"/>
      <c r="AP13" s="677"/>
      <c r="AQ13" s="675"/>
      <c r="AR13" s="676"/>
      <c r="AS13" s="676"/>
      <c r="AT13" s="676"/>
      <c r="AU13" s="677"/>
    </row>
    <row r="14" spans="1:83" s="542" customFormat="1">
      <c r="A14" s="1523" t="s">
        <v>178</v>
      </c>
      <c r="B14" s="1524" t="s">
        <v>310</v>
      </c>
      <c r="C14" s="1492"/>
      <c r="D14" s="1493"/>
      <c r="E14" s="1493"/>
      <c r="F14" s="1493"/>
      <c r="G14" s="1494"/>
      <c r="H14" s="1492"/>
      <c r="I14" s="1493"/>
      <c r="J14" s="1493"/>
      <c r="K14" s="1493"/>
      <c r="L14" s="1494"/>
      <c r="M14" s="1492"/>
      <c r="O14" s="1493"/>
      <c r="P14" s="1493"/>
      <c r="Q14" s="1494"/>
      <c r="R14" s="1492"/>
      <c r="S14" s="1493"/>
      <c r="T14" s="1493"/>
      <c r="U14" s="1493"/>
      <c r="V14" s="1494"/>
      <c r="W14" s="1510"/>
      <c r="X14" s="1511"/>
      <c r="Y14" s="1511"/>
      <c r="Z14" s="1511"/>
      <c r="AA14" s="1512"/>
      <c r="AB14" s="1531"/>
      <c r="AC14" s="1511"/>
      <c r="AD14" s="1511"/>
      <c r="AE14" s="1511"/>
      <c r="AF14" s="1532"/>
      <c r="AG14" s="1492"/>
      <c r="AH14" s="1493"/>
      <c r="AI14" s="1493"/>
      <c r="AJ14" s="1493"/>
      <c r="AK14" s="1494"/>
      <c r="AL14" s="675"/>
      <c r="AM14" s="676"/>
      <c r="AN14" s="676"/>
      <c r="AO14" s="676"/>
      <c r="AP14" s="677"/>
      <c r="AQ14" s="675"/>
      <c r="AR14" s="676"/>
      <c r="AS14" s="676"/>
      <c r="AT14" s="676"/>
      <c r="AU14" s="677"/>
    </row>
    <row r="15" spans="1:83" s="542" customFormat="1" ht="26.4">
      <c r="A15" s="1523" t="s">
        <v>180</v>
      </c>
      <c r="B15" s="1524" t="s">
        <v>295</v>
      </c>
      <c r="C15" s="1492"/>
      <c r="D15" s="1493"/>
      <c r="E15" s="1493"/>
      <c r="F15" s="1493"/>
      <c r="G15" s="1494"/>
      <c r="H15" s="1492"/>
      <c r="I15" s="1493"/>
      <c r="J15" s="1493"/>
      <c r="K15" s="1493"/>
      <c r="L15" s="1494"/>
      <c r="M15" s="1492"/>
      <c r="N15" s="1493"/>
      <c r="O15" s="1493"/>
      <c r="P15" s="1493"/>
      <c r="Q15" s="1494"/>
      <c r="R15" s="1492"/>
      <c r="S15" s="1493"/>
      <c r="T15" s="1493"/>
      <c r="U15" s="1493"/>
      <c r="V15" s="1494"/>
      <c r="W15" s="1510"/>
      <c r="X15" s="1511"/>
      <c r="Y15" s="1511"/>
      <c r="Z15" s="1511"/>
      <c r="AA15" s="1512"/>
      <c r="AB15" s="1531"/>
      <c r="AC15" s="1511"/>
      <c r="AD15" s="1511"/>
      <c r="AE15" s="1511"/>
      <c r="AF15" s="1533"/>
      <c r="AG15" s="1492"/>
      <c r="AH15" s="1493"/>
      <c r="AI15" s="1493"/>
      <c r="AJ15" s="1493"/>
      <c r="AK15" s="1494"/>
      <c r="AL15" s="675"/>
      <c r="AM15" s="676"/>
      <c r="AN15" s="676"/>
      <c r="AO15" s="676"/>
      <c r="AP15" s="677"/>
      <c r="AQ15" s="675"/>
      <c r="AR15" s="676"/>
      <c r="AS15" s="676"/>
      <c r="AT15" s="676"/>
      <c r="AU15" s="677"/>
    </row>
    <row r="16" spans="1:83" s="542" customFormat="1">
      <c r="A16" s="1523" t="s">
        <v>226</v>
      </c>
      <c r="B16" s="1524" t="s">
        <v>311</v>
      </c>
      <c r="C16" s="1492">
        <f>'[2]1.1.2'!D7</f>
        <v>2.4751304347826086</v>
      </c>
      <c r="D16" s="1493">
        <f>'1.1.2'!D7</f>
        <v>2.1095652173913044</v>
      </c>
      <c r="E16" s="1493"/>
      <c r="F16" s="1493">
        <f>F11</f>
        <v>2.1095652173913044</v>
      </c>
      <c r="G16" s="1494">
        <f>G13</f>
        <v>2.0998260869565217</v>
      </c>
      <c r="H16" s="1492">
        <f>'1.1.2'!E7</f>
        <v>1.8756521739130434</v>
      </c>
      <c r="I16" s="1493">
        <f>'1.1.2'!E7</f>
        <v>1.8756521739130434</v>
      </c>
      <c r="J16" s="1493"/>
      <c r="K16" s="1493">
        <f>K11</f>
        <v>1.8681739130434782</v>
      </c>
      <c r="L16" s="1494">
        <f>L13</f>
        <v>1.8568695652173912</v>
      </c>
      <c r="M16" s="1492">
        <f>'1.1.2'!F7</f>
        <v>2.1142608695652174</v>
      </c>
      <c r="N16" s="1493">
        <f>'1.1.2'!F7</f>
        <v>2.1142608695652174</v>
      </c>
      <c r="O16" s="1493"/>
      <c r="P16" s="1493">
        <f>P11-P17</f>
        <v>2.0939130434782607</v>
      </c>
      <c r="Q16" s="1494">
        <f>Q13</f>
        <v>2.0495652173913044</v>
      </c>
      <c r="R16" s="1492">
        <f>'[2]1.1.2'!$G$7</f>
        <v>2</v>
      </c>
      <c r="S16" s="1493">
        <f>'1.1.2'!G7</f>
        <v>1.4608695652173913</v>
      </c>
      <c r="T16" s="1493"/>
      <c r="U16" s="1493">
        <f>U11</f>
        <v>1.4158695652173914</v>
      </c>
      <c r="V16" s="1494">
        <f>V8-V17</f>
        <v>1.673</v>
      </c>
      <c r="W16" s="1510">
        <f>'1.1.2'!H7</f>
        <v>1.5648695652173912</v>
      </c>
      <c r="X16" s="1511">
        <f>'1.1.2'!H7</f>
        <v>1.5648695652173912</v>
      </c>
      <c r="Y16" s="1511"/>
      <c r="Z16" s="1511">
        <f>Z11</f>
        <v>1.5593043478260868</v>
      </c>
      <c r="AA16" s="1512">
        <f>AA13</f>
        <v>1.5516521739130433</v>
      </c>
      <c r="AB16" s="1531">
        <f>'1.1.2'!I7</f>
        <v>1.6361739130434783</v>
      </c>
      <c r="AC16" s="1511">
        <f>'1.1.2'!I7</f>
        <v>1.6361739130434783</v>
      </c>
      <c r="AD16" s="1511"/>
      <c r="AE16" s="1511">
        <f>AE11</f>
        <v>1.6306086956521739</v>
      </c>
      <c r="AF16" s="1533">
        <f>AF13</f>
        <v>1.6229565217391304</v>
      </c>
      <c r="AG16" s="1492">
        <f>'1.1.2'!J7</f>
        <v>1.6005217391304347</v>
      </c>
      <c r="AH16" s="1493">
        <f>'1.1.2'!J7</f>
        <v>1.6005217391304347</v>
      </c>
      <c r="AI16" s="1493"/>
      <c r="AJ16" s="1493">
        <f>AJ11</f>
        <v>1.5893913043478261</v>
      </c>
      <c r="AK16" s="1494">
        <f>AK13</f>
        <v>1.574086956521739</v>
      </c>
      <c r="AL16" s="675"/>
      <c r="AM16" s="676"/>
      <c r="AN16" s="676"/>
      <c r="AO16" s="676"/>
      <c r="AP16" s="677"/>
      <c r="AQ16" s="675"/>
      <c r="AR16" s="676"/>
      <c r="AS16" s="676"/>
      <c r="AT16" s="676"/>
      <c r="AU16" s="677"/>
    </row>
    <row r="17" spans="1:47" s="542" customFormat="1">
      <c r="A17" s="1523" t="s">
        <v>131</v>
      </c>
      <c r="B17" s="1524" t="s">
        <v>230</v>
      </c>
      <c r="C17" s="1492">
        <f>F17+G17</f>
        <v>6.4521739130434783E-2</v>
      </c>
      <c r="D17" s="1493"/>
      <c r="E17" s="1493"/>
      <c r="F17" s="1493">
        <f>'1.3'!F8/5.75</f>
        <v>5.4782608695652171E-2</v>
      </c>
      <c r="G17" s="1493">
        <f>'1.3'!G8/5.75</f>
        <v>9.7391304347826096E-3</v>
      </c>
      <c r="H17" s="1492">
        <f>K17+L17</f>
        <v>1.8782608695652174E-2</v>
      </c>
      <c r="I17" s="1493"/>
      <c r="J17" s="1493"/>
      <c r="K17" s="1493">
        <f>'1.3'!K8/5.75</f>
        <v>7.4782608695652172E-3</v>
      </c>
      <c r="L17" s="1493">
        <f>'1.3'!L8/5.75</f>
        <v>1.1304347826086957E-2</v>
      </c>
      <c r="M17" s="1492">
        <f>P17+Q17</f>
        <v>6.4695652173913043E-2</v>
      </c>
      <c r="N17" s="1493"/>
      <c r="O17" s="1493"/>
      <c r="P17" s="1493">
        <f>'1.3'!P8/5.75</f>
        <v>2.0347826086956521E-2</v>
      </c>
      <c r="Q17" s="1493">
        <f>'1.3'!Q8/5.75</f>
        <v>4.4347826086956525E-2</v>
      </c>
      <c r="R17" s="1492">
        <f>U17+V17</f>
        <v>7.8E-2</v>
      </c>
      <c r="S17" s="1493"/>
      <c r="T17" s="1493"/>
      <c r="U17" s="1493">
        <v>4.4999999999999998E-2</v>
      </c>
      <c r="V17" s="1494">
        <v>3.3000000000000002E-2</v>
      </c>
      <c r="W17" s="1510">
        <f>Z17+AA17</f>
        <v>1.3217391304347827E-2</v>
      </c>
      <c r="X17" s="1511"/>
      <c r="Y17" s="1511"/>
      <c r="Z17" s="1511">
        <f>'1.3'!Z8/2.875</f>
        <v>5.5652173913043482E-3</v>
      </c>
      <c r="AA17" s="1511">
        <f>'1.3'!AA8/2.875</f>
        <v>7.6521739130434776E-3</v>
      </c>
      <c r="AB17" s="1531">
        <f>AE17+AF17</f>
        <v>1.3217391304347827E-2</v>
      </c>
      <c r="AC17" s="1511"/>
      <c r="AD17" s="1511"/>
      <c r="AE17" s="1511">
        <f>'1.3'!AE8/2.875</f>
        <v>5.5652173913043482E-3</v>
      </c>
      <c r="AF17" s="1511">
        <f>'1.3'!AF8/2.875</f>
        <v>7.6521739130434776E-3</v>
      </c>
      <c r="AG17" s="1492">
        <f>W17+AB17</f>
        <v>2.6434782608695653E-2</v>
      </c>
      <c r="AH17" s="1493"/>
      <c r="AI17" s="1509"/>
      <c r="AJ17" s="1493">
        <f>Z17+AE17</f>
        <v>1.1130434782608696E-2</v>
      </c>
      <c r="AK17" s="1493">
        <f>AA17+AF17</f>
        <v>1.5304347826086955E-2</v>
      </c>
      <c r="AL17" s="675"/>
      <c r="AM17" s="676"/>
      <c r="AN17" s="676"/>
      <c r="AO17" s="676"/>
      <c r="AP17" s="677"/>
      <c r="AQ17" s="675"/>
      <c r="AR17" s="676"/>
      <c r="AS17" s="676"/>
      <c r="AT17" s="676"/>
      <c r="AU17" s="677"/>
    </row>
    <row r="18" spans="1:47" s="542" customFormat="1">
      <c r="A18" s="1523"/>
      <c r="B18" s="1524" t="s">
        <v>198</v>
      </c>
      <c r="C18" s="1495">
        <f>F18+G18</f>
        <v>2.6068015739179318</v>
      </c>
      <c r="D18" s="1496"/>
      <c r="E18" s="1496"/>
      <c r="F18" s="1496">
        <f>F17/C8*100</f>
        <v>2.2133220910623947</v>
      </c>
      <c r="G18" s="1497">
        <f>G17/C8*100</f>
        <v>0.39347948285553686</v>
      </c>
      <c r="H18" s="1495">
        <f>K18+L18</f>
        <v>1.0013908205841446</v>
      </c>
      <c r="I18" s="1496"/>
      <c r="J18" s="1496"/>
      <c r="K18" s="1496">
        <f>K17/H8*100</f>
        <v>0.39870190078813167</v>
      </c>
      <c r="L18" s="1496">
        <f>L17/I8*100</f>
        <v>0.60268891979601302</v>
      </c>
      <c r="M18" s="1492">
        <f>P18+Q18</f>
        <v>3.0599654520029613</v>
      </c>
      <c r="N18" s="1496"/>
      <c r="O18" s="1496"/>
      <c r="P18" s="1493">
        <f>P17/M8*100</f>
        <v>0.96240848893641517</v>
      </c>
      <c r="Q18" s="1493">
        <f>Q17/N8*100</f>
        <v>2.097556963066546</v>
      </c>
      <c r="R18" s="1495">
        <v>4.45</v>
      </c>
      <c r="S18" s="1496"/>
      <c r="T18" s="1496"/>
      <c r="U18" s="1496">
        <v>2.56</v>
      </c>
      <c r="V18" s="1497">
        <v>1.94</v>
      </c>
      <c r="W18" s="1513">
        <f>Z18+AA18</f>
        <v>0.8463773916200279</v>
      </c>
      <c r="X18" s="1514"/>
      <c r="Y18" s="1514"/>
      <c r="Z18" s="1514">
        <f>Z17/X16*100</f>
        <v>0.35563458546343635</v>
      </c>
      <c r="AA18" s="1515">
        <f>AA17/Z11*100</f>
        <v>0.49074280615659155</v>
      </c>
      <c r="AB18" s="1495">
        <f>AE18+AF18</f>
        <v>0.80941933087228057</v>
      </c>
      <c r="AC18" s="1514"/>
      <c r="AD18" s="1514"/>
      <c r="AE18" s="1514">
        <f>AE17/AB16*100</f>
        <v>0.34013605442176875</v>
      </c>
      <c r="AF18" s="1515">
        <f>AF17/AE11*100</f>
        <v>0.46928327645051188</v>
      </c>
      <c r="AG18" s="1495">
        <f>'1.2.2'!I14</f>
        <v>0.82581766815168978</v>
      </c>
      <c r="AH18" s="1535"/>
      <c r="AI18" s="1514"/>
      <c r="AJ18" s="1536">
        <f>AJ17/AH16*100</f>
        <v>0.69542540475931769</v>
      </c>
      <c r="AK18" s="1535">
        <f>AK17/AH16*100</f>
        <v>0.95620993154406175</v>
      </c>
      <c r="AL18" s="678"/>
      <c r="AM18" s="679"/>
      <c r="AN18" s="679"/>
      <c r="AO18" s="679"/>
      <c r="AP18" s="680"/>
      <c r="AQ18" s="678"/>
      <c r="AR18" s="679"/>
      <c r="AS18" s="679"/>
      <c r="AT18" s="679"/>
      <c r="AU18" s="680"/>
    </row>
    <row r="19" spans="1:47" s="542" customFormat="1" ht="26.4">
      <c r="A19" s="1523" t="s">
        <v>132</v>
      </c>
      <c r="B19" s="1525" t="s">
        <v>312</v>
      </c>
      <c r="C19" s="1492"/>
      <c r="D19" s="1493"/>
      <c r="E19" s="1493"/>
      <c r="F19" s="1493"/>
      <c r="G19" s="1494"/>
      <c r="H19" s="1492"/>
      <c r="I19" s="1493"/>
      <c r="J19" s="1493"/>
      <c r="K19" s="1493"/>
      <c r="L19" s="1494"/>
      <c r="M19" s="1492"/>
      <c r="N19" s="1493"/>
      <c r="O19" s="1493"/>
      <c r="P19" s="1493"/>
      <c r="Q19" s="1494"/>
      <c r="R19" s="1492"/>
      <c r="S19" s="1493"/>
      <c r="T19" s="1493"/>
      <c r="U19" s="1493"/>
      <c r="V19" s="1494"/>
      <c r="W19" s="1510"/>
      <c r="X19" s="1511"/>
      <c r="Y19" s="1511"/>
      <c r="Z19" s="1511"/>
      <c r="AA19" s="1512"/>
      <c r="AB19" s="1531"/>
      <c r="AC19" s="1511"/>
      <c r="AD19" s="1511"/>
      <c r="AE19" s="1511"/>
      <c r="AF19" s="1533"/>
      <c r="AG19" s="1492"/>
      <c r="AH19" s="1493"/>
      <c r="AI19" s="1490"/>
      <c r="AJ19" s="1493"/>
      <c r="AK19" s="1494"/>
      <c r="AL19" s="675"/>
      <c r="AM19" s="676"/>
      <c r="AN19" s="676"/>
      <c r="AO19" s="676"/>
      <c r="AP19" s="677"/>
      <c r="AQ19" s="675"/>
      <c r="AR19" s="676"/>
      <c r="AS19" s="676"/>
      <c r="AT19" s="676"/>
      <c r="AU19" s="677"/>
    </row>
    <row r="20" spans="1:47" s="542" customFormat="1" hidden="1">
      <c r="A20" s="1523"/>
      <c r="B20" s="1525" t="s">
        <v>391</v>
      </c>
      <c r="C20" s="1492"/>
      <c r="D20" s="1498"/>
      <c r="E20" s="1498"/>
      <c r="F20" s="1493"/>
      <c r="G20" s="1494"/>
      <c r="H20" s="1492"/>
      <c r="I20" s="1498"/>
      <c r="J20" s="1498"/>
      <c r="K20" s="1493"/>
      <c r="L20" s="1494"/>
      <c r="M20" s="1492"/>
      <c r="N20" s="1498"/>
      <c r="O20" s="1498"/>
      <c r="P20" s="1493"/>
      <c r="Q20" s="1494"/>
      <c r="R20" s="1492"/>
      <c r="S20" s="1498"/>
      <c r="T20" s="1498"/>
      <c r="U20" s="1493"/>
      <c r="V20" s="1494"/>
      <c r="W20" s="1510"/>
      <c r="X20" s="1516"/>
      <c r="Y20" s="1516"/>
      <c r="Z20" s="1511"/>
      <c r="AA20" s="1512"/>
      <c r="AB20" s="1531"/>
      <c r="AC20" s="1511"/>
      <c r="AD20" s="1511"/>
      <c r="AE20" s="1511"/>
      <c r="AF20" s="1533"/>
      <c r="AG20" s="1492"/>
      <c r="AH20" s="1493"/>
      <c r="AI20" s="1493"/>
      <c r="AJ20" s="1493"/>
      <c r="AK20" s="1494"/>
      <c r="AL20" s="675"/>
      <c r="AM20" s="676"/>
      <c r="AN20" s="676"/>
      <c r="AO20" s="676"/>
      <c r="AP20" s="677"/>
      <c r="AQ20" s="675"/>
      <c r="AR20" s="676"/>
      <c r="AS20" s="676"/>
      <c r="AT20" s="676"/>
      <c r="AU20" s="677"/>
    </row>
    <row r="21" spans="1:47" s="542" customFormat="1" hidden="1">
      <c r="A21" s="1523"/>
      <c r="B21" s="1525" t="s">
        <v>392</v>
      </c>
      <c r="C21" s="1499"/>
      <c r="D21" s="1498"/>
      <c r="E21" s="1498"/>
      <c r="F21" s="1493"/>
      <c r="G21" s="1494"/>
      <c r="H21" s="1499"/>
      <c r="I21" s="1498"/>
      <c r="J21" s="1498"/>
      <c r="K21" s="1493"/>
      <c r="L21" s="1494"/>
      <c r="M21" s="1499"/>
      <c r="N21" s="1498"/>
      <c r="O21" s="1498"/>
      <c r="P21" s="1493"/>
      <c r="Q21" s="1494"/>
      <c r="R21" s="1499"/>
      <c r="S21" s="1498"/>
      <c r="T21" s="1498"/>
      <c r="U21" s="1493"/>
      <c r="V21" s="1494"/>
      <c r="W21" s="1517"/>
      <c r="X21" s="1516"/>
      <c r="Y21" s="1516"/>
      <c r="Z21" s="1511"/>
      <c r="AA21" s="1512"/>
      <c r="AB21" s="1531"/>
      <c r="AC21" s="1511"/>
      <c r="AD21" s="1511"/>
      <c r="AE21" s="1511"/>
      <c r="AF21" s="1533"/>
      <c r="AG21" s="1492"/>
      <c r="AH21" s="1493"/>
      <c r="AI21" s="1493"/>
      <c r="AJ21" s="1493"/>
      <c r="AK21" s="1494"/>
      <c r="AL21" s="675"/>
      <c r="AM21" s="676"/>
      <c r="AN21" s="676"/>
      <c r="AO21" s="676"/>
      <c r="AP21" s="677"/>
      <c r="AQ21" s="675"/>
      <c r="AR21" s="676"/>
      <c r="AS21" s="676"/>
      <c r="AT21" s="676"/>
      <c r="AU21" s="677"/>
    </row>
    <row r="22" spans="1:47" s="542" customFormat="1">
      <c r="A22" s="1523" t="s">
        <v>133</v>
      </c>
      <c r="B22" s="1524" t="s">
        <v>313</v>
      </c>
      <c r="C22" s="1492">
        <f>C23</f>
        <v>2.0998260869565217</v>
      </c>
      <c r="D22" s="1493"/>
      <c r="E22" s="1493"/>
      <c r="F22" s="1493">
        <f>F23</f>
        <v>2.1095652173913044</v>
      </c>
      <c r="G22" s="1494">
        <f>G23</f>
        <v>2.0998260869565217</v>
      </c>
      <c r="H22" s="1492">
        <f>L22</f>
        <v>1.8568695652173912</v>
      </c>
      <c r="I22" s="1493"/>
      <c r="J22" s="1493"/>
      <c r="K22" s="1493">
        <f>K23</f>
        <v>1.8681739130434782</v>
      </c>
      <c r="L22" s="1494">
        <f>L23</f>
        <v>1.8568695652173912</v>
      </c>
      <c r="M22" s="1492">
        <f>Q22</f>
        <v>2.0449999999999999</v>
      </c>
      <c r="N22" s="1493"/>
      <c r="O22" s="1493"/>
      <c r="P22" s="1493">
        <f>Q8</f>
        <v>2.0939130434782607</v>
      </c>
      <c r="Q22" s="1494">
        <v>2.0449999999999999</v>
      </c>
      <c r="R22" s="1492">
        <f>R23</f>
        <v>1.673</v>
      </c>
      <c r="S22" s="1493"/>
      <c r="T22" s="1493"/>
      <c r="U22" s="1493">
        <f>U16</f>
        <v>1.4158695652173914</v>
      </c>
      <c r="V22" s="1494">
        <v>1.673</v>
      </c>
      <c r="W22" s="1510">
        <f>AA22</f>
        <v>1.5516521739130433</v>
      </c>
      <c r="X22" s="1511"/>
      <c r="Y22" s="1511"/>
      <c r="Z22" s="1511">
        <f>Z11</f>
        <v>1.5593043478260868</v>
      </c>
      <c r="AA22" s="1512">
        <f>AA13</f>
        <v>1.5516521739130433</v>
      </c>
      <c r="AB22" s="1531">
        <f>AF22</f>
        <v>1.6229565217391304</v>
      </c>
      <c r="AC22" s="1511"/>
      <c r="AD22" s="1511"/>
      <c r="AE22" s="1511">
        <f>AE11</f>
        <v>1.6306086956521739</v>
      </c>
      <c r="AF22" s="1533">
        <f>AF13</f>
        <v>1.6229565217391304</v>
      </c>
      <c r="AG22" s="1492">
        <f>AG23</f>
        <v>1.574086956521739</v>
      </c>
      <c r="AH22" s="1493"/>
      <c r="AI22" s="1493"/>
      <c r="AJ22" s="1509">
        <f>AJ23</f>
        <v>1.5893913043478261</v>
      </c>
      <c r="AK22" s="1504">
        <f>AK23</f>
        <v>1.574086956521739</v>
      </c>
      <c r="AL22" s="675"/>
      <c r="AM22" s="676"/>
      <c r="AN22" s="676"/>
      <c r="AO22" s="676"/>
      <c r="AP22" s="677"/>
      <c r="AQ22" s="675"/>
      <c r="AR22" s="676"/>
      <c r="AS22" s="676"/>
      <c r="AT22" s="676"/>
      <c r="AU22" s="677"/>
    </row>
    <row r="23" spans="1:47" s="542" customFormat="1" ht="52.8">
      <c r="A23" s="1523" t="s">
        <v>134</v>
      </c>
      <c r="B23" s="1524" t="s">
        <v>314</v>
      </c>
      <c r="C23" s="1492">
        <f>G23</f>
        <v>2.0998260869565217</v>
      </c>
      <c r="D23" s="1493"/>
      <c r="E23" s="1493"/>
      <c r="F23" s="1493">
        <f>F16</f>
        <v>2.1095652173913044</v>
      </c>
      <c r="G23" s="1494">
        <f>G16</f>
        <v>2.0998260869565217</v>
      </c>
      <c r="H23" s="1492">
        <f>L23</f>
        <v>1.8568695652173912</v>
      </c>
      <c r="I23" s="1493"/>
      <c r="J23" s="1493"/>
      <c r="K23" s="1493">
        <f>K16</f>
        <v>1.8681739130434782</v>
      </c>
      <c r="L23" s="1494">
        <f>L16</f>
        <v>1.8568695652173912</v>
      </c>
      <c r="M23" s="1492">
        <f>Q23</f>
        <v>2.0495652173913044</v>
      </c>
      <c r="N23" s="1493"/>
      <c r="O23" s="1493"/>
      <c r="P23" s="1493">
        <f>P16</f>
        <v>2.0939130434782607</v>
      </c>
      <c r="Q23" s="1494">
        <f>Q16</f>
        <v>2.0495652173913044</v>
      </c>
      <c r="R23" s="1492">
        <f>V23</f>
        <v>1.673</v>
      </c>
      <c r="S23" s="1493"/>
      <c r="T23" s="1493"/>
      <c r="U23" s="1493">
        <f>U16</f>
        <v>1.4158695652173914</v>
      </c>
      <c r="V23" s="1494">
        <f>V16</f>
        <v>1.673</v>
      </c>
      <c r="W23" s="1510">
        <f>AA23</f>
        <v>1.5516521739130433</v>
      </c>
      <c r="X23" s="1511"/>
      <c r="Y23" s="1511"/>
      <c r="Z23" s="1511">
        <f>Z16</f>
        <v>1.5593043478260868</v>
      </c>
      <c r="AA23" s="1503">
        <f>AA16</f>
        <v>1.5516521739130433</v>
      </c>
      <c r="AB23" s="1492">
        <f>AF23</f>
        <v>1.6229565217391304</v>
      </c>
      <c r="AC23" s="1511"/>
      <c r="AD23" s="1534"/>
      <c r="AE23" s="1511">
        <f>AE16</f>
        <v>1.6306086956521739</v>
      </c>
      <c r="AF23" s="1503">
        <f>AF16</f>
        <v>1.6229565217391304</v>
      </c>
      <c r="AG23" s="1492">
        <f>AK23</f>
        <v>1.574086956521739</v>
      </c>
      <c r="AH23" s="1493"/>
      <c r="AI23" s="1504"/>
      <c r="AJ23" s="1511">
        <f>AJ16</f>
        <v>1.5893913043478261</v>
      </c>
      <c r="AK23" s="1503">
        <f>AK16</f>
        <v>1.574086956521739</v>
      </c>
      <c r="AL23" s="675"/>
      <c r="AM23" s="676"/>
      <c r="AN23" s="676"/>
      <c r="AO23" s="676"/>
      <c r="AP23" s="677"/>
      <c r="AQ23" s="675"/>
      <c r="AR23" s="676"/>
      <c r="AS23" s="676"/>
      <c r="AT23" s="676"/>
      <c r="AU23" s="677"/>
    </row>
    <row r="24" spans="1:47" s="542" customFormat="1" ht="26.4">
      <c r="A24" s="1523" t="s">
        <v>139</v>
      </c>
      <c r="B24" s="1524" t="s">
        <v>315</v>
      </c>
      <c r="C24" s="1492"/>
      <c r="D24" s="1493"/>
      <c r="E24" s="1493"/>
      <c r="F24" s="1493"/>
      <c r="G24" s="1494"/>
      <c r="H24" s="1492"/>
      <c r="I24" s="1493"/>
      <c r="J24" s="1493"/>
      <c r="K24" s="1493"/>
      <c r="L24" s="1494"/>
      <c r="M24" s="1492"/>
      <c r="N24" s="1493"/>
      <c r="O24" s="1493"/>
      <c r="P24" s="1493"/>
      <c r="Q24" s="1494"/>
      <c r="R24" s="1503"/>
      <c r="S24" s="1493"/>
      <c r="T24" s="1493"/>
      <c r="U24" s="1493"/>
      <c r="V24" s="1504"/>
      <c r="W24" s="660"/>
      <c r="X24" s="987"/>
      <c r="Y24" s="987"/>
      <c r="Z24" s="987"/>
      <c r="AA24" s="659"/>
      <c r="AB24" s="661"/>
      <c r="AC24" s="662"/>
      <c r="AD24" s="662"/>
      <c r="AE24" s="1518"/>
      <c r="AF24" s="663"/>
      <c r="AG24" s="1492"/>
      <c r="AH24" s="1493"/>
      <c r="AI24" s="1493"/>
      <c r="AJ24" s="1490"/>
      <c r="AK24" s="1494"/>
      <c r="AL24" s="675"/>
      <c r="AM24" s="676"/>
      <c r="AN24" s="676"/>
      <c r="AO24" s="676"/>
      <c r="AP24" s="677"/>
      <c r="AQ24" s="675"/>
      <c r="AR24" s="676"/>
      <c r="AS24" s="676"/>
      <c r="AT24" s="676"/>
      <c r="AU24" s="677"/>
    </row>
    <row r="25" spans="1:47" s="542" customFormat="1" ht="27" thickBot="1">
      <c r="A25" s="1526" t="s">
        <v>140</v>
      </c>
      <c r="B25" s="1527" t="s">
        <v>316</v>
      </c>
      <c r="C25" s="1500"/>
      <c r="D25" s="1501"/>
      <c r="E25" s="1501"/>
      <c r="F25" s="1501"/>
      <c r="G25" s="1502"/>
      <c r="H25" s="1500"/>
      <c r="I25" s="1501"/>
      <c r="J25" s="1501"/>
      <c r="K25" s="1501"/>
      <c r="L25" s="1502"/>
      <c r="M25" s="1500">
        <f>Q25</f>
        <v>1.073</v>
      </c>
      <c r="N25" s="1501"/>
      <c r="O25" s="1501"/>
      <c r="P25" s="1501"/>
      <c r="Q25" s="1502">
        <v>1.073</v>
      </c>
      <c r="R25" s="1505"/>
      <c r="S25" s="1506"/>
      <c r="T25" s="1506"/>
      <c r="U25" s="1506"/>
      <c r="V25" s="1507"/>
      <c r="W25" s="664"/>
      <c r="X25" s="665"/>
      <c r="Y25" s="665"/>
      <c r="Z25" s="665"/>
      <c r="AA25" s="666"/>
      <c r="AB25" s="667"/>
      <c r="AC25" s="668"/>
      <c r="AD25" s="668"/>
      <c r="AE25" s="668"/>
      <c r="AF25" s="669"/>
      <c r="AG25" s="1500"/>
      <c r="AH25" s="1501"/>
      <c r="AI25" s="1501"/>
      <c r="AJ25" s="1501"/>
      <c r="AK25" s="1502"/>
      <c r="AL25" s="681"/>
      <c r="AM25" s="682"/>
      <c r="AN25" s="682"/>
      <c r="AO25" s="682"/>
      <c r="AP25" s="683"/>
      <c r="AQ25" s="681"/>
      <c r="AR25" s="682"/>
      <c r="AS25" s="682"/>
      <c r="AT25" s="682"/>
      <c r="AU25" s="683"/>
    </row>
    <row r="26" spans="1:47" s="542" customFormat="1">
      <c r="B26" s="670"/>
    </row>
    <row r="27" spans="1:47" s="611" customFormat="1" ht="13.8">
      <c r="B27" s="471" t="s">
        <v>381</v>
      </c>
    </row>
    <row r="28" spans="1:47" s="611" customFormat="1" ht="13.8">
      <c r="A28" s="1722"/>
      <c r="B28" s="1722"/>
      <c r="C28" s="1722"/>
      <c r="D28" s="1722"/>
      <c r="E28" s="1722"/>
      <c r="F28" s="1722"/>
      <c r="G28" s="1722"/>
      <c r="H28" s="1722"/>
      <c r="I28" s="1722"/>
      <c r="J28" s="1722"/>
      <c r="K28" s="1722"/>
      <c r="L28" s="1722"/>
      <c r="M28" s="1722"/>
      <c r="N28" s="1722"/>
      <c r="O28" s="1722"/>
      <c r="P28" s="1722"/>
      <c r="Q28" s="1722"/>
      <c r="R28" s="1722"/>
      <c r="S28" s="1722"/>
      <c r="T28" s="1722"/>
      <c r="U28" s="1722"/>
      <c r="V28" s="1722"/>
      <c r="W28" s="1722"/>
      <c r="X28" s="1722"/>
      <c r="Y28" s="1722"/>
      <c r="Z28" s="1722"/>
    </row>
    <row r="29" spans="1:47" s="611" customFormat="1" ht="13.8">
      <c r="A29" s="671"/>
      <c r="B29" s="671"/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671"/>
      <c r="N29" s="671"/>
      <c r="O29" s="671"/>
      <c r="P29" s="671"/>
      <c r="Q29" s="671"/>
      <c r="R29" s="671"/>
      <c r="S29" s="671"/>
      <c r="T29" s="671"/>
      <c r="U29" s="671"/>
      <c r="V29" s="671"/>
      <c r="W29" s="671"/>
      <c r="X29" s="671"/>
      <c r="Y29" s="671"/>
      <c r="Z29" s="671"/>
    </row>
    <row r="30" spans="1:47" s="611" customFormat="1" ht="15" customHeight="1">
      <c r="A30" s="671"/>
      <c r="B30" s="471" t="s">
        <v>377</v>
      </c>
      <c r="C30" s="671"/>
      <c r="D30" s="671"/>
      <c r="E30" s="671"/>
      <c r="F30" s="1298" t="s">
        <v>436</v>
      </c>
      <c r="G30" s="671"/>
      <c r="H30" s="671"/>
      <c r="I30" s="671"/>
      <c r="J30" s="671"/>
      <c r="K30" s="671"/>
      <c r="L30" s="671"/>
      <c r="M30" s="671"/>
      <c r="N30" s="671"/>
      <c r="O30" s="671"/>
      <c r="P30" s="671"/>
      <c r="Q30" s="671"/>
      <c r="R30" s="671"/>
      <c r="S30" s="671"/>
      <c r="T30" s="671"/>
      <c r="U30" s="671"/>
      <c r="V30" s="671"/>
      <c r="W30" s="671"/>
      <c r="X30" s="671"/>
      <c r="Y30" s="671"/>
      <c r="Z30" s="671"/>
    </row>
    <row r="31" spans="1:47" s="611" customFormat="1" ht="13.8">
      <c r="A31" s="671"/>
      <c r="B31" s="110" t="s">
        <v>378</v>
      </c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671"/>
      <c r="U31" s="671"/>
      <c r="V31" s="671"/>
      <c r="W31" s="671"/>
      <c r="X31" s="671"/>
      <c r="Y31" s="671"/>
      <c r="Z31" s="671"/>
    </row>
    <row r="32" spans="1:47">
      <c r="A32" s="542"/>
      <c r="B32" s="110" t="s">
        <v>379</v>
      </c>
    </row>
    <row r="33" spans="1:32" s="615" customFormat="1" ht="18.75" customHeight="1">
      <c r="A33" s="1723"/>
      <c r="B33" s="1723"/>
      <c r="C33" s="1723"/>
      <c r="D33" s="1723"/>
      <c r="E33" s="1723"/>
      <c r="F33" s="1723"/>
      <c r="G33" s="1723"/>
      <c r="H33" s="1723"/>
      <c r="I33" s="1723"/>
      <c r="J33" s="1723"/>
      <c r="K33" s="1723"/>
      <c r="L33" s="1723"/>
      <c r="M33" s="1723"/>
      <c r="N33" s="1723"/>
      <c r="O33" s="1723"/>
      <c r="P33" s="1723"/>
      <c r="Q33" s="1723"/>
      <c r="R33" s="1723"/>
      <c r="S33" s="1723"/>
      <c r="T33" s="1723"/>
      <c r="U33" s="1723"/>
      <c r="V33" s="1723"/>
      <c r="W33" s="1723"/>
      <c r="X33" s="1723"/>
      <c r="Y33" s="1723"/>
      <c r="Z33" s="1723"/>
      <c r="AA33" s="1723"/>
      <c r="AB33" s="672"/>
      <c r="AC33" s="672"/>
      <c r="AD33" s="672"/>
      <c r="AE33" s="672"/>
      <c r="AF33" s="672"/>
    </row>
    <row r="34" spans="1:32" s="501" customFormat="1">
      <c r="A34" s="498"/>
      <c r="D34" s="619"/>
    </row>
  </sheetData>
  <mergeCells count="15">
    <mergeCell ref="A2:B2"/>
    <mergeCell ref="A3:G3"/>
    <mergeCell ref="A5:A6"/>
    <mergeCell ref="B5:B6"/>
    <mergeCell ref="C5:G5"/>
    <mergeCell ref="AL5:AP5"/>
    <mergeCell ref="AQ5:AU5"/>
    <mergeCell ref="A28:Z28"/>
    <mergeCell ref="A33:AA33"/>
    <mergeCell ref="H5:L5"/>
    <mergeCell ref="W5:AA5"/>
    <mergeCell ref="AB5:AF5"/>
    <mergeCell ref="AG5:AK5"/>
    <mergeCell ref="M5:Q5"/>
    <mergeCell ref="R5:V5"/>
  </mergeCells>
  <phoneticPr fontId="4" type="noConversion"/>
  <pageMargins left="0" right="0" top="0.74803149606299213" bottom="0.74803149606299213" header="0.31496062992125984" footer="0.31496062992125984"/>
  <pageSetup paperSize="8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2:T70"/>
  <sheetViews>
    <sheetView zoomScale="70" zoomScaleNormal="70" zoomScaleSheetLayoutView="75" workbookViewId="0">
      <pane ySplit="7" topLeftCell="A8" activePane="bottomLeft" state="frozen"/>
      <selection pane="bottomLeft" activeCell="T63" sqref="T63"/>
    </sheetView>
  </sheetViews>
  <sheetFormatPr defaultRowHeight="13.2"/>
  <cols>
    <col min="1" max="1" width="8.109375" style="684" customWidth="1"/>
    <col min="2" max="2" width="38.6640625" style="685" customWidth="1"/>
    <col min="3" max="3" width="11.109375" style="684" customWidth="1"/>
    <col min="4" max="4" width="7.44140625" style="684" customWidth="1"/>
    <col min="5" max="5" width="6" style="684" customWidth="1"/>
    <col min="6" max="6" width="8.6640625" style="684" customWidth="1"/>
    <col min="7" max="7" width="12" style="684" customWidth="1"/>
    <col min="8" max="8" width="14.33203125" style="684" customWidth="1"/>
    <col min="9" max="9" width="13.44140625" style="684" bestFit="1" customWidth="1"/>
    <col min="10" max="10" width="7.6640625" style="684" customWidth="1"/>
    <col min="11" max="11" width="7.44140625" style="684" customWidth="1"/>
    <col min="12" max="12" width="14" style="684" customWidth="1"/>
    <col min="13" max="13" width="9.44140625" style="684" customWidth="1"/>
    <col min="14" max="15" width="8.44140625" style="684" customWidth="1"/>
    <col min="16" max="16" width="6" style="684" customWidth="1"/>
    <col min="17" max="18" width="8.44140625" style="684" customWidth="1"/>
    <col min="19" max="19" width="10.109375" style="684" customWidth="1"/>
    <col min="20" max="20" width="24" style="684" customWidth="1"/>
    <col min="21" max="16384" width="8.88671875" style="684"/>
  </cols>
  <sheetData>
    <row r="2" spans="1:20" ht="15.6">
      <c r="A2" s="621" t="s">
        <v>380</v>
      </c>
      <c r="R2" s="706" t="s">
        <v>236</v>
      </c>
    </row>
    <row r="3" spans="1:20" s="689" customFormat="1" ht="16.8">
      <c r="A3" s="684"/>
      <c r="B3" s="686"/>
      <c r="C3" s="687"/>
      <c r="D3" s="687"/>
      <c r="E3" s="687"/>
      <c r="F3" s="687"/>
      <c r="G3" s="687"/>
      <c r="H3" s="688"/>
      <c r="I3" s="687"/>
      <c r="J3" s="687"/>
      <c r="K3" s="687"/>
      <c r="L3" s="687"/>
      <c r="M3" s="687"/>
      <c r="N3" s="687"/>
      <c r="O3" s="687"/>
      <c r="P3" s="687"/>
      <c r="Q3" s="687"/>
      <c r="R3" s="687"/>
    </row>
    <row r="4" spans="1:20" s="689" customFormat="1" ht="15" customHeight="1">
      <c r="A4" s="688"/>
      <c r="B4" s="690"/>
      <c r="C4" s="1749" t="s">
        <v>237</v>
      </c>
      <c r="D4" s="1749"/>
      <c r="E4" s="1749"/>
      <c r="F4" s="1749"/>
      <c r="G4" s="1749"/>
      <c r="H4" s="1749"/>
      <c r="I4" s="1749"/>
      <c r="J4" s="1749"/>
      <c r="K4" s="1749"/>
      <c r="L4" s="1749"/>
      <c r="M4" s="1749"/>
      <c r="N4" s="1749"/>
      <c r="O4" s="1749"/>
      <c r="P4" s="688"/>
      <c r="Q4" s="688"/>
      <c r="R4" s="688"/>
    </row>
    <row r="5" spans="1:20" s="689" customFormat="1" ht="16.5" customHeight="1">
      <c r="A5" s="688"/>
      <c r="B5" s="690"/>
      <c r="C5" s="688"/>
      <c r="D5" s="688"/>
      <c r="E5" s="688"/>
      <c r="F5" s="1750"/>
      <c r="G5" s="1750"/>
      <c r="H5" s="1750"/>
      <c r="I5" s="1750"/>
      <c r="J5" s="1750"/>
      <c r="K5" s="688"/>
      <c r="L5" s="688"/>
      <c r="M5" s="688"/>
      <c r="N5" s="688"/>
      <c r="O5" s="688"/>
      <c r="P5" s="688"/>
      <c r="Q5" s="688"/>
      <c r="R5" s="688"/>
    </row>
    <row r="6" spans="1:20" s="689" customFormat="1" ht="13.8" thickBot="1">
      <c r="B6" s="691"/>
    </row>
    <row r="7" spans="1:20" s="689" customFormat="1" ht="40.5" customHeight="1">
      <c r="A7" s="1751" t="s">
        <v>128</v>
      </c>
      <c r="B7" s="1753" t="s">
        <v>238</v>
      </c>
      <c r="C7" s="1753" t="s">
        <v>239</v>
      </c>
      <c r="D7" s="1753"/>
      <c r="E7" s="1753"/>
      <c r="F7" s="1753"/>
      <c r="G7" s="1753"/>
      <c r="H7" s="1753" t="s">
        <v>240</v>
      </c>
      <c r="I7" s="1753"/>
      <c r="J7" s="1753"/>
      <c r="K7" s="1753"/>
      <c r="L7" s="1753"/>
      <c r="M7" s="1753" t="s">
        <v>393</v>
      </c>
      <c r="N7" s="1755" t="s">
        <v>241</v>
      </c>
      <c r="O7" s="1755"/>
      <c r="P7" s="1755"/>
      <c r="Q7" s="1755"/>
      <c r="R7" s="1756"/>
    </row>
    <row r="8" spans="1:20" s="689" customFormat="1" ht="22.5" customHeight="1">
      <c r="A8" s="1752"/>
      <c r="B8" s="1754"/>
      <c r="C8" s="979" t="s">
        <v>242</v>
      </c>
      <c r="D8" s="979" t="s">
        <v>135</v>
      </c>
      <c r="E8" s="979" t="s">
        <v>136</v>
      </c>
      <c r="F8" s="979" t="s">
        <v>137</v>
      </c>
      <c r="G8" s="979" t="s">
        <v>138</v>
      </c>
      <c r="H8" s="979" t="s">
        <v>242</v>
      </c>
      <c r="I8" s="979" t="s">
        <v>135</v>
      </c>
      <c r="J8" s="979" t="s">
        <v>136</v>
      </c>
      <c r="K8" s="979" t="s">
        <v>137</v>
      </c>
      <c r="L8" s="979" t="s">
        <v>138</v>
      </c>
      <c r="M8" s="1754"/>
      <c r="N8" s="979" t="s">
        <v>242</v>
      </c>
      <c r="O8" s="979" t="s">
        <v>135</v>
      </c>
      <c r="P8" s="979" t="s">
        <v>136</v>
      </c>
      <c r="Q8" s="979" t="s">
        <v>137</v>
      </c>
      <c r="R8" s="980" t="s">
        <v>138</v>
      </c>
    </row>
    <row r="9" spans="1:20">
      <c r="A9" s="1583">
        <v>1</v>
      </c>
      <c r="B9" s="1584">
        <f>+A9+1</f>
        <v>2</v>
      </c>
      <c r="C9" s="1585">
        <f>+B9+1</f>
        <v>3</v>
      </c>
      <c r="D9" s="1585">
        <f>+C9+1</f>
        <v>4</v>
      </c>
      <c r="E9" s="1585">
        <f>+D9+1</f>
        <v>5</v>
      </c>
      <c r="F9" s="1585"/>
      <c r="G9" s="1585">
        <f>+E9+1</f>
        <v>6</v>
      </c>
      <c r="H9" s="1585">
        <f>+G9+1</f>
        <v>7</v>
      </c>
      <c r="I9" s="1585">
        <f>+H9+1</f>
        <v>8</v>
      </c>
      <c r="J9" s="1585"/>
      <c r="K9" s="1585">
        <f>+I9+1</f>
        <v>9</v>
      </c>
      <c r="L9" s="1585">
        <f>+K9+1</f>
        <v>10</v>
      </c>
      <c r="M9" s="1585">
        <f>+L9+1</f>
        <v>11</v>
      </c>
      <c r="N9" s="1585">
        <f>+M9+1</f>
        <v>12</v>
      </c>
      <c r="O9" s="1585">
        <f>+N9+1</f>
        <v>13</v>
      </c>
      <c r="P9" s="1585"/>
      <c r="Q9" s="1585">
        <f>+O9+1</f>
        <v>14</v>
      </c>
      <c r="R9" s="1586">
        <f>+Q9+1</f>
        <v>15</v>
      </c>
    </row>
    <row r="10" spans="1:20" s="689" customFormat="1" ht="13.8" thickBot="1">
      <c r="A10" s="1746" t="s">
        <v>449</v>
      </c>
      <c r="B10" s="1747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8"/>
    </row>
    <row r="11" spans="1:20" ht="17.25" customHeight="1">
      <c r="A11" s="1587" t="s">
        <v>130</v>
      </c>
      <c r="B11" s="1588" t="s">
        <v>243</v>
      </c>
      <c r="C11" s="1551">
        <f>G11</f>
        <v>11.76</v>
      </c>
      <c r="D11" s="1552"/>
      <c r="E11" s="1552"/>
      <c r="F11" s="1552"/>
      <c r="G11" s="1553">
        <v>11.76</v>
      </c>
      <c r="H11" s="1551">
        <f>L11</f>
        <v>2.0452173913043477</v>
      </c>
      <c r="I11" s="1554"/>
      <c r="J11" s="1554"/>
      <c r="K11" s="1554"/>
      <c r="L11" s="1553">
        <f>G11/5.75</f>
        <v>2.0452173913043477</v>
      </c>
      <c r="M11" s="1555">
        <v>5750</v>
      </c>
      <c r="N11" s="1556">
        <v>100</v>
      </c>
      <c r="O11" s="1557"/>
      <c r="P11" s="1557"/>
      <c r="Q11" s="1557"/>
      <c r="R11" s="1558">
        <v>100</v>
      </c>
      <c r="S11" s="693"/>
    </row>
    <row r="12" spans="1:20" ht="14.25" customHeight="1">
      <c r="A12" s="1589" t="s">
        <v>131</v>
      </c>
      <c r="B12" s="695" t="s">
        <v>244</v>
      </c>
      <c r="C12" s="1559"/>
      <c r="D12" s="697"/>
      <c r="E12" s="697"/>
      <c r="F12" s="697"/>
      <c r="G12" s="928"/>
      <c r="H12" s="1559"/>
      <c r="I12" s="698"/>
      <c r="J12" s="698"/>
      <c r="K12" s="698"/>
      <c r="L12" s="928"/>
      <c r="M12" s="1560"/>
      <c r="N12" s="698"/>
      <c r="O12" s="692"/>
      <c r="P12" s="692"/>
      <c r="Q12" s="692"/>
      <c r="R12" s="707"/>
      <c r="S12" s="693"/>
    </row>
    <row r="13" spans="1:20" ht="24" customHeight="1">
      <c r="A13" s="1589" t="s">
        <v>189</v>
      </c>
      <c r="B13" s="1590" t="s">
        <v>245</v>
      </c>
      <c r="C13" s="1559"/>
      <c r="D13" s="697"/>
      <c r="E13" s="697"/>
      <c r="F13" s="697"/>
      <c r="G13" s="928"/>
      <c r="H13" s="1559"/>
      <c r="I13" s="698"/>
      <c r="J13" s="698"/>
      <c r="K13" s="698"/>
      <c r="L13" s="928"/>
      <c r="M13" s="1561"/>
      <c r="N13" s="698"/>
      <c r="O13" s="692"/>
      <c r="P13" s="692"/>
      <c r="Q13" s="692"/>
      <c r="R13" s="707"/>
      <c r="S13" s="693"/>
      <c r="T13" s="694"/>
    </row>
    <row r="14" spans="1:20" ht="15.6">
      <c r="A14" s="1589" t="s">
        <v>132</v>
      </c>
      <c r="B14" s="695" t="s">
        <v>246</v>
      </c>
      <c r="C14" s="1559"/>
      <c r="D14" s="697"/>
      <c r="E14" s="697"/>
      <c r="F14" s="697"/>
      <c r="G14" s="928"/>
      <c r="H14" s="1559"/>
      <c r="I14" s="698"/>
      <c r="J14" s="698"/>
      <c r="K14" s="698"/>
      <c r="L14" s="928"/>
      <c r="M14" s="1561"/>
      <c r="N14" s="698"/>
      <c r="O14" s="692"/>
      <c r="P14" s="692"/>
      <c r="Q14" s="692"/>
      <c r="R14" s="707"/>
      <c r="S14" s="693"/>
    </row>
    <row r="15" spans="1:20" ht="16.2" thickBot="1">
      <c r="A15" s="1591"/>
      <c r="B15" s="1582" t="s">
        <v>247</v>
      </c>
      <c r="C15" s="1562">
        <f>G15</f>
        <v>11.76</v>
      </c>
      <c r="D15" s="1563"/>
      <c r="E15" s="1563"/>
      <c r="F15" s="1563"/>
      <c r="G15" s="1564">
        <v>11.76</v>
      </c>
      <c r="H15" s="1565">
        <f>L15</f>
        <v>2.0452173913043477</v>
      </c>
      <c r="I15" s="1566"/>
      <c r="J15" s="1566"/>
      <c r="K15" s="1566"/>
      <c r="L15" s="1564">
        <f>L11</f>
        <v>2.0452173913043477</v>
      </c>
      <c r="M15" s="1567">
        <v>5750</v>
      </c>
      <c r="N15" s="1568">
        <f>N11</f>
        <v>100</v>
      </c>
      <c r="O15" s="1569"/>
      <c r="P15" s="1569"/>
      <c r="Q15" s="1569"/>
      <c r="R15" s="1570">
        <f>R11</f>
        <v>100</v>
      </c>
      <c r="S15" s="693"/>
    </row>
    <row r="16" spans="1:20" s="689" customFormat="1" ht="12.75" customHeight="1" thickBot="1">
      <c r="A16" s="1737" t="s">
        <v>476</v>
      </c>
      <c r="B16" s="1738"/>
      <c r="C16" s="1738"/>
      <c r="D16" s="1738"/>
      <c r="E16" s="1738"/>
      <c r="F16" s="1738"/>
      <c r="G16" s="1738"/>
      <c r="H16" s="1738"/>
      <c r="I16" s="1738"/>
      <c r="J16" s="1738"/>
      <c r="K16" s="1738"/>
      <c r="L16" s="1738"/>
      <c r="M16" s="1738"/>
      <c r="N16" s="1738"/>
      <c r="O16" s="1738"/>
      <c r="P16" s="1738"/>
      <c r="Q16" s="1738"/>
      <c r="R16" s="1739"/>
      <c r="S16" s="696"/>
    </row>
    <row r="17" spans="1:19" s="689" customFormat="1">
      <c r="A17" s="1587" t="s">
        <v>130</v>
      </c>
      <c r="B17" s="1588" t="s">
        <v>243</v>
      </c>
      <c r="C17" s="1571"/>
      <c r="D17" s="1572"/>
      <c r="E17" s="1572"/>
      <c r="F17" s="1572"/>
      <c r="G17" s="1573"/>
      <c r="H17" s="1571"/>
      <c r="I17" s="1572"/>
      <c r="J17" s="1572"/>
      <c r="K17" s="1572"/>
      <c r="L17" s="1597"/>
      <c r="M17" s="1601"/>
      <c r="N17" s="1602"/>
      <c r="O17" s="1602"/>
      <c r="P17" s="1602"/>
      <c r="Q17" s="1602"/>
      <c r="R17" s="1603"/>
      <c r="S17" s="696"/>
    </row>
    <row r="18" spans="1:19" s="689" customFormat="1">
      <c r="A18" s="1589" t="s">
        <v>131</v>
      </c>
      <c r="B18" s="695" t="s">
        <v>244</v>
      </c>
      <c r="C18" s="1574">
        <f>D18+G18</f>
        <v>10.581</v>
      </c>
      <c r="D18" s="1575">
        <v>2.0350000000000001</v>
      </c>
      <c r="E18" s="1575"/>
      <c r="F18" s="1575"/>
      <c r="G18" s="1576">
        <v>8.5459999999999994</v>
      </c>
      <c r="H18" s="1577">
        <f>L18+I18</f>
        <v>1.8401739130434782</v>
      </c>
      <c r="I18" s="1578">
        <f>D18/5.75</f>
        <v>0.35391304347826091</v>
      </c>
      <c r="J18" s="1578"/>
      <c r="K18" s="1578"/>
      <c r="L18" s="1598">
        <f>G18/5.75</f>
        <v>1.4862608695652173</v>
      </c>
      <c r="M18" s="1593">
        <v>5750</v>
      </c>
      <c r="N18" s="1594">
        <v>100</v>
      </c>
      <c r="O18" s="1595"/>
      <c r="P18" s="1595"/>
      <c r="Q18" s="1595"/>
      <c r="R18" s="1596">
        <v>100</v>
      </c>
      <c r="S18" s="696"/>
    </row>
    <row r="19" spans="1:19" s="689" customFormat="1" ht="26.4">
      <c r="A19" s="1589" t="s">
        <v>189</v>
      </c>
      <c r="B19" s="1590" t="s">
        <v>245</v>
      </c>
      <c r="C19" s="1559">
        <f>G19</f>
        <v>0.20399999999999999</v>
      </c>
      <c r="D19" s="697"/>
      <c r="E19" s="697"/>
      <c r="F19" s="697"/>
      <c r="G19" s="928">
        <v>0.20399999999999999</v>
      </c>
      <c r="H19" s="1559">
        <f>L19</f>
        <v>3.5478260869565216E-2</v>
      </c>
      <c r="I19" s="698"/>
      <c r="J19" s="698"/>
      <c r="K19" s="698"/>
      <c r="L19" s="1599">
        <f>G19/5.75</f>
        <v>3.5478260869565216E-2</v>
      </c>
      <c r="M19" s="1577"/>
      <c r="N19" s="1578"/>
      <c r="O19" s="1578"/>
      <c r="P19" s="1578"/>
      <c r="Q19" s="1578"/>
      <c r="R19" s="1579"/>
      <c r="S19" s="696"/>
    </row>
    <row r="20" spans="1:19" s="689" customFormat="1">
      <c r="A20" s="1589" t="s">
        <v>132</v>
      </c>
      <c r="B20" s="695" t="s">
        <v>246</v>
      </c>
      <c r="C20" s="1559"/>
      <c r="D20" s="697"/>
      <c r="E20" s="697"/>
      <c r="F20" s="697"/>
      <c r="G20" s="928"/>
      <c r="H20" s="1559"/>
      <c r="I20" s="698"/>
      <c r="J20" s="698"/>
      <c r="K20" s="698"/>
      <c r="L20" s="1599"/>
      <c r="M20" s="1561"/>
      <c r="N20" s="698"/>
      <c r="O20" s="698"/>
      <c r="P20" s="698"/>
      <c r="Q20" s="698"/>
      <c r="R20" s="707"/>
      <c r="S20" s="696"/>
    </row>
    <row r="21" spans="1:19" s="689" customFormat="1" ht="13.8" thickBot="1">
      <c r="A21" s="1591"/>
      <c r="B21" s="1582" t="s">
        <v>247</v>
      </c>
      <c r="C21" s="1562">
        <f>D21+G21</f>
        <v>10.785</v>
      </c>
      <c r="D21" s="1566">
        <f>D18</f>
        <v>2.0350000000000001</v>
      </c>
      <c r="E21" s="1563"/>
      <c r="F21" s="1563"/>
      <c r="G21" s="1580">
        <f>G18+G19</f>
        <v>8.75</v>
      </c>
      <c r="H21" s="1562">
        <f>L21+I21</f>
        <v>1.8756521739130436</v>
      </c>
      <c r="I21" s="1566">
        <f>I18</f>
        <v>0.35391304347826091</v>
      </c>
      <c r="J21" s="1566"/>
      <c r="K21" s="1566"/>
      <c r="L21" s="1600">
        <f>G21/5.75</f>
        <v>1.5217391304347827</v>
      </c>
      <c r="M21" s="1567">
        <v>5750</v>
      </c>
      <c r="N21" s="1568">
        <v>100</v>
      </c>
      <c r="O21" s="1566"/>
      <c r="P21" s="1566"/>
      <c r="Q21" s="1566"/>
      <c r="R21" s="1570">
        <f>R18</f>
        <v>100</v>
      </c>
      <c r="S21" s="696"/>
    </row>
    <row r="22" spans="1:19" s="689" customFormat="1" ht="13.8" thickBot="1">
      <c r="A22" s="1734" t="s">
        <v>477</v>
      </c>
      <c r="B22" s="1735"/>
      <c r="C22" s="1735"/>
      <c r="D22" s="1735"/>
      <c r="E22" s="1735"/>
      <c r="F22" s="1735"/>
      <c r="G22" s="1735"/>
      <c r="H22" s="1735"/>
      <c r="I22" s="1735"/>
      <c r="J22" s="1735"/>
      <c r="K22" s="1735"/>
      <c r="L22" s="1735"/>
      <c r="M22" s="1735"/>
      <c r="N22" s="1735"/>
      <c r="O22" s="1735"/>
      <c r="P22" s="1735"/>
      <c r="Q22" s="1735"/>
      <c r="R22" s="1736"/>
      <c r="S22" s="696"/>
    </row>
    <row r="23" spans="1:19" s="689" customFormat="1">
      <c r="A23" s="1587" t="s">
        <v>130</v>
      </c>
      <c r="B23" s="1588" t="s">
        <v>243</v>
      </c>
      <c r="C23" s="1604">
        <f>D23+G23</f>
        <v>10.85</v>
      </c>
      <c r="D23" s="1552">
        <v>2.6920000000000002</v>
      </c>
      <c r="E23" s="1552"/>
      <c r="F23" s="1552"/>
      <c r="G23" s="1553">
        <v>8.1579999999999995</v>
      </c>
      <c r="H23" s="1551">
        <f>I23+L23</f>
        <v>1.8869565217391304</v>
      </c>
      <c r="I23" s="1552">
        <f>D23/5.75</f>
        <v>0.46817391304347827</v>
      </c>
      <c r="J23" s="1552"/>
      <c r="K23" s="1552"/>
      <c r="L23" s="1553">
        <f>G23/5.75</f>
        <v>1.4187826086956521</v>
      </c>
      <c r="M23" s="1555">
        <v>5750</v>
      </c>
      <c r="N23" s="1556">
        <v>100</v>
      </c>
      <c r="O23" s="1554"/>
      <c r="P23" s="1554"/>
      <c r="Q23" s="1554"/>
      <c r="R23" s="1558">
        <v>100</v>
      </c>
      <c r="S23" s="696"/>
    </row>
    <row r="24" spans="1:19" s="689" customFormat="1">
      <c r="A24" s="1589" t="s">
        <v>131</v>
      </c>
      <c r="B24" s="695" t="s">
        <v>244</v>
      </c>
      <c r="C24" s="1561"/>
      <c r="D24" s="697"/>
      <c r="E24" s="697"/>
      <c r="F24" s="697"/>
      <c r="G24" s="928"/>
      <c r="H24" s="1559"/>
      <c r="I24" s="697"/>
      <c r="J24" s="697"/>
      <c r="K24" s="697"/>
      <c r="L24" s="928"/>
      <c r="M24" s="1560"/>
      <c r="N24" s="926"/>
      <c r="O24" s="698"/>
      <c r="P24" s="698"/>
      <c r="Q24" s="698"/>
      <c r="R24" s="707"/>
      <c r="S24" s="696"/>
    </row>
    <row r="25" spans="1:19" s="689" customFormat="1" ht="26.4">
      <c r="A25" s="1589" t="s">
        <v>189</v>
      </c>
      <c r="B25" s="1590" t="s">
        <v>245</v>
      </c>
      <c r="C25" s="1561">
        <f>G25</f>
        <v>0.2</v>
      </c>
      <c r="D25" s="697"/>
      <c r="E25" s="697"/>
      <c r="F25" s="697"/>
      <c r="G25" s="928">
        <v>0.2</v>
      </c>
      <c r="H25" s="1559">
        <f>L25</f>
        <v>3.4782608695652174E-2</v>
      </c>
      <c r="I25" s="697"/>
      <c r="J25" s="697"/>
      <c r="K25" s="697"/>
      <c r="L25" s="928">
        <f>G25/5.75</f>
        <v>3.4782608695652174E-2</v>
      </c>
      <c r="M25" s="1560">
        <v>5750</v>
      </c>
      <c r="N25" s="926">
        <v>100</v>
      </c>
      <c r="O25" s="698"/>
      <c r="P25" s="698"/>
      <c r="Q25" s="698"/>
      <c r="R25" s="707"/>
      <c r="S25" s="696"/>
    </row>
    <row r="26" spans="1:19" s="689" customFormat="1">
      <c r="A26" s="1589" t="s">
        <v>132</v>
      </c>
      <c r="B26" s="695" t="s">
        <v>246</v>
      </c>
      <c r="C26" s="1561"/>
      <c r="D26" s="697"/>
      <c r="E26" s="697"/>
      <c r="F26" s="697"/>
      <c r="G26" s="928"/>
      <c r="H26" s="1559"/>
      <c r="I26" s="697"/>
      <c r="J26" s="697"/>
      <c r="K26" s="697"/>
      <c r="L26" s="928"/>
      <c r="M26" s="1561"/>
      <c r="N26" s="698"/>
      <c r="O26" s="698"/>
      <c r="P26" s="698"/>
      <c r="Q26" s="698"/>
      <c r="R26" s="707"/>
      <c r="S26" s="696"/>
    </row>
    <row r="27" spans="1:19" s="689" customFormat="1" ht="13.8" thickBot="1">
      <c r="A27" s="1591"/>
      <c r="B27" s="1582" t="s">
        <v>247</v>
      </c>
      <c r="C27" s="1562">
        <f>C23+C25</f>
        <v>11.049999999999999</v>
      </c>
      <c r="D27" s="1566">
        <f>D23</f>
        <v>2.6920000000000002</v>
      </c>
      <c r="E27" s="1563"/>
      <c r="F27" s="1563"/>
      <c r="G27" s="1564">
        <f>G23+G25</f>
        <v>8.3579999999999988</v>
      </c>
      <c r="H27" s="1565">
        <f>H23+H25</f>
        <v>1.9217391304347826</v>
      </c>
      <c r="I27" s="1563">
        <f>I23</f>
        <v>0.46817391304347827</v>
      </c>
      <c r="J27" s="1563"/>
      <c r="K27" s="1563"/>
      <c r="L27" s="1580">
        <f>L23+L25</f>
        <v>1.4535652173913043</v>
      </c>
      <c r="M27" s="1567">
        <v>5750</v>
      </c>
      <c r="N27" s="1568">
        <v>100</v>
      </c>
      <c r="O27" s="1566"/>
      <c r="P27" s="1566"/>
      <c r="Q27" s="1566"/>
      <c r="R27" s="1570">
        <f>R23</f>
        <v>100</v>
      </c>
      <c r="S27" s="696"/>
    </row>
    <row r="28" spans="1:19" s="689" customFormat="1" ht="13.8" thickBot="1">
      <c r="A28" s="1737" t="s">
        <v>478</v>
      </c>
      <c r="B28" s="1738"/>
      <c r="C28" s="1738"/>
      <c r="D28" s="1738"/>
      <c r="E28" s="1738"/>
      <c r="F28" s="1738"/>
      <c r="G28" s="1738"/>
      <c r="H28" s="1738"/>
      <c r="I28" s="1738"/>
      <c r="J28" s="1738"/>
      <c r="K28" s="1738"/>
      <c r="L28" s="1738"/>
      <c r="M28" s="1738"/>
      <c r="N28" s="1738"/>
      <c r="O28" s="1738"/>
      <c r="P28" s="1738"/>
      <c r="Q28" s="1738"/>
      <c r="R28" s="1739"/>
      <c r="S28" s="696"/>
    </row>
    <row r="29" spans="1:19" s="689" customFormat="1" ht="15.6">
      <c r="A29" s="1587" t="s">
        <v>130</v>
      </c>
      <c r="B29" s="1588" t="s">
        <v>243</v>
      </c>
      <c r="C29" s="1551"/>
      <c r="D29" s="1552"/>
      <c r="E29" s="1592"/>
      <c r="F29" s="1592"/>
      <c r="G29" s="1553"/>
      <c r="H29" s="1551"/>
      <c r="I29" s="1554"/>
      <c r="J29" s="1557"/>
      <c r="K29" s="1557"/>
      <c r="L29" s="1553"/>
      <c r="M29" s="1605"/>
      <c r="N29" s="1606"/>
      <c r="O29" s="1607"/>
      <c r="P29" s="1607"/>
      <c r="Q29" s="1607"/>
      <c r="R29" s="1608"/>
      <c r="S29" s="696"/>
    </row>
    <row r="30" spans="1:19" s="689" customFormat="1" ht="15.6">
      <c r="A30" s="1589" t="s">
        <v>131</v>
      </c>
      <c r="B30" s="695" t="s">
        <v>244</v>
      </c>
      <c r="C30" s="1559">
        <f>G30</f>
        <v>11.685</v>
      </c>
      <c r="D30" s="697"/>
      <c r="E30" s="697"/>
      <c r="F30" s="697"/>
      <c r="G30" s="928">
        <v>11.685</v>
      </c>
      <c r="H30" s="1559">
        <f>L30</f>
        <v>2.0321739130434784</v>
      </c>
      <c r="I30" s="698"/>
      <c r="J30" s="698"/>
      <c r="K30" s="698"/>
      <c r="L30" s="928">
        <f>G30/5.75</f>
        <v>2.0321739130434784</v>
      </c>
      <c r="M30" s="1609">
        <v>5750</v>
      </c>
      <c r="N30" s="1610">
        <v>100</v>
      </c>
      <c r="O30" s="1611"/>
      <c r="P30" s="1611"/>
      <c r="Q30" s="1611"/>
      <c r="R30" s="1612">
        <v>100</v>
      </c>
      <c r="S30" s="696"/>
    </row>
    <row r="31" spans="1:19" s="689" customFormat="1" ht="27">
      <c r="A31" s="1589" t="s">
        <v>189</v>
      </c>
      <c r="B31" s="1590" t="s">
        <v>245</v>
      </c>
      <c r="C31" s="1559"/>
      <c r="D31" s="697"/>
      <c r="E31" s="697"/>
      <c r="F31" s="697"/>
      <c r="G31" s="928"/>
      <c r="H31" s="1559"/>
      <c r="I31" s="698"/>
      <c r="J31" s="698"/>
      <c r="K31" s="698"/>
      <c r="L31" s="928"/>
      <c r="M31" s="1561"/>
      <c r="N31" s="698"/>
      <c r="O31" s="692"/>
      <c r="P31" s="692"/>
      <c r="Q31" s="692"/>
      <c r="R31" s="707"/>
      <c r="S31" s="696"/>
    </row>
    <row r="32" spans="1:19" s="689" customFormat="1" ht="15.6">
      <c r="A32" s="1589" t="s">
        <v>132</v>
      </c>
      <c r="B32" s="695" t="s">
        <v>246</v>
      </c>
      <c r="C32" s="1559"/>
      <c r="D32" s="697"/>
      <c r="E32" s="697"/>
      <c r="F32" s="697"/>
      <c r="G32" s="928"/>
      <c r="H32" s="1559"/>
      <c r="I32" s="698"/>
      <c r="J32" s="698"/>
      <c r="K32" s="698"/>
      <c r="L32" s="928"/>
      <c r="M32" s="1561"/>
      <c r="N32" s="698"/>
      <c r="O32" s="692"/>
      <c r="P32" s="692"/>
      <c r="Q32" s="692"/>
      <c r="R32" s="707"/>
      <c r="S32" s="696"/>
    </row>
    <row r="33" spans="1:19" s="689" customFormat="1" ht="16.2" thickBot="1">
      <c r="A33" s="1591"/>
      <c r="B33" s="1582" t="s">
        <v>247</v>
      </c>
      <c r="C33" s="1562">
        <f>C30</f>
        <v>11.685</v>
      </c>
      <c r="D33" s="1563"/>
      <c r="E33" s="1563"/>
      <c r="F33" s="1563"/>
      <c r="G33" s="1580">
        <f>G30</f>
        <v>11.685</v>
      </c>
      <c r="H33" s="1565">
        <f>H30</f>
        <v>2.0321739130434784</v>
      </c>
      <c r="I33" s="1566"/>
      <c r="J33" s="1566"/>
      <c r="K33" s="1566"/>
      <c r="L33" s="1564">
        <f>L30</f>
        <v>2.0321739130434784</v>
      </c>
      <c r="M33" s="1567">
        <v>5750</v>
      </c>
      <c r="N33" s="1568">
        <v>100</v>
      </c>
      <c r="O33" s="1569"/>
      <c r="P33" s="1569"/>
      <c r="Q33" s="1569"/>
      <c r="R33" s="1570">
        <v>100</v>
      </c>
      <c r="S33" s="696"/>
    </row>
    <row r="34" spans="1:19" s="689" customFormat="1" ht="15.6" customHeight="1" thickBot="1">
      <c r="A34" s="1743" t="s">
        <v>479</v>
      </c>
      <c r="B34" s="1744"/>
      <c r="C34" s="1744"/>
      <c r="D34" s="1744"/>
      <c r="E34" s="1744"/>
      <c r="F34" s="1744"/>
      <c r="G34" s="1744"/>
      <c r="H34" s="1744"/>
      <c r="I34" s="1744"/>
      <c r="J34" s="1744"/>
      <c r="K34" s="1744"/>
      <c r="L34" s="1744"/>
      <c r="M34" s="1744"/>
      <c r="N34" s="1744"/>
      <c r="O34" s="1744"/>
      <c r="P34" s="1744"/>
      <c r="Q34" s="1744"/>
      <c r="R34" s="1745"/>
      <c r="S34" s="696"/>
    </row>
    <row r="35" spans="1:19" s="689" customFormat="1">
      <c r="A35" s="1587" t="s">
        <v>130</v>
      </c>
      <c r="B35" s="1614" t="s">
        <v>243</v>
      </c>
      <c r="C35" s="1615"/>
      <c r="D35" s="1616"/>
      <c r="E35" s="1613"/>
      <c r="F35" s="1613"/>
      <c r="G35" s="1617"/>
      <c r="H35" s="1615"/>
      <c r="I35" s="1616"/>
      <c r="J35" s="1613"/>
      <c r="K35" s="1613"/>
      <c r="L35" s="1618"/>
      <c r="M35" s="1601"/>
      <c r="N35" s="1602"/>
      <c r="O35" s="1602"/>
      <c r="P35" s="1602"/>
      <c r="Q35" s="1602"/>
      <c r="R35" s="1603"/>
      <c r="S35" s="696"/>
    </row>
    <row r="36" spans="1:19" s="689" customFormat="1">
      <c r="A36" s="1589" t="s">
        <v>131</v>
      </c>
      <c r="B36" s="695" t="s">
        <v>244</v>
      </c>
      <c r="C36" s="1561">
        <f>D36+G36</f>
        <v>4.3490000000000002</v>
      </c>
      <c r="D36" s="697">
        <v>1.94</v>
      </c>
      <c r="E36" s="697"/>
      <c r="F36" s="697"/>
      <c r="G36" s="707">
        <v>2.4089999999999998</v>
      </c>
      <c r="H36" s="1559">
        <f>I36+L36</f>
        <v>1.512695652173913</v>
      </c>
      <c r="I36" s="697">
        <f>D36/2.875</f>
        <v>0.67478260869565221</v>
      </c>
      <c r="J36" s="697"/>
      <c r="K36" s="697"/>
      <c r="L36" s="1599">
        <f>G36/2.875</f>
        <v>0.83791304347826079</v>
      </c>
      <c r="M36" s="1623">
        <v>2875</v>
      </c>
      <c r="N36" s="1620">
        <v>100</v>
      </c>
      <c r="O36" s="1621"/>
      <c r="P36" s="1621"/>
      <c r="Q36" s="1621"/>
      <c r="R36" s="1624">
        <v>100</v>
      </c>
      <c r="S36" s="696"/>
    </row>
    <row r="37" spans="1:19" s="689" customFormat="1" ht="26.4">
      <c r="A37" s="1589" t="s">
        <v>189</v>
      </c>
      <c r="B37" s="1590" t="s">
        <v>245</v>
      </c>
      <c r="C37" s="1561">
        <f>G37</f>
        <v>0.112</v>
      </c>
      <c r="D37" s="697"/>
      <c r="E37" s="697"/>
      <c r="F37" s="697"/>
      <c r="G37" s="707">
        <v>0.112</v>
      </c>
      <c r="H37" s="1559">
        <f>L37</f>
        <v>3.8956521739130438E-2</v>
      </c>
      <c r="I37" s="697"/>
      <c r="J37" s="697"/>
      <c r="K37" s="697"/>
      <c r="L37" s="1599">
        <f>G37/2.875</f>
        <v>3.8956521739130438E-2</v>
      </c>
      <c r="M37" s="1609">
        <v>2875</v>
      </c>
      <c r="N37" s="1619">
        <v>100</v>
      </c>
      <c r="O37" s="1578"/>
      <c r="P37" s="1578"/>
      <c r="Q37" s="1578"/>
      <c r="R37" s="927">
        <v>100</v>
      </c>
      <c r="S37" s="696"/>
    </row>
    <row r="38" spans="1:19" s="689" customFormat="1">
      <c r="A38" s="1589" t="s">
        <v>132</v>
      </c>
      <c r="B38" s="695" t="s">
        <v>246</v>
      </c>
      <c r="C38" s="1561"/>
      <c r="D38" s="697"/>
      <c r="E38" s="697"/>
      <c r="F38" s="697"/>
      <c r="G38" s="707"/>
      <c r="H38" s="1559"/>
      <c r="I38" s="697"/>
      <c r="J38" s="697"/>
      <c r="K38" s="697"/>
      <c r="L38" s="1599"/>
      <c r="M38" s="1560"/>
      <c r="N38" s="926"/>
      <c r="O38" s="698"/>
      <c r="P38" s="698"/>
      <c r="Q38" s="698"/>
      <c r="R38" s="707"/>
      <c r="S38" s="696"/>
    </row>
    <row r="39" spans="1:19" s="689" customFormat="1" ht="13.8" thickBot="1">
      <c r="A39" s="1591"/>
      <c r="B39" s="1582" t="s">
        <v>247</v>
      </c>
      <c r="C39" s="1562">
        <f>D39+G39</f>
        <v>4.4610000000000003</v>
      </c>
      <c r="D39" s="1563">
        <f>D36</f>
        <v>1.94</v>
      </c>
      <c r="E39" s="1563"/>
      <c r="F39" s="1563"/>
      <c r="G39" s="1580">
        <f>G36+G37</f>
        <v>2.5209999999999999</v>
      </c>
      <c r="H39" s="1565">
        <f>L39+I39</f>
        <v>1.5516521739130433</v>
      </c>
      <c r="I39" s="1563">
        <f>I36</f>
        <v>0.67478260869565221</v>
      </c>
      <c r="J39" s="1563"/>
      <c r="K39" s="1563"/>
      <c r="L39" s="1622">
        <f>L36+L37</f>
        <v>0.87686956521739123</v>
      </c>
      <c r="M39" s="1567">
        <v>2875</v>
      </c>
      <c r="N39" s="1568">
        <v>100</v>
      </c>
      <c r="O39" s="1566"/>
      <c r="P39" s="1566"/>
      <c r="Q39" s="1566"/>
      <c r="R39" s="1570">
        <f>R36</f>
        <v>100</v>
      </c>
      <c r="S39" s="696"/>
    </row>
    <row r="40" spans="1:19" s="689" customFormat="1" ht="13.8" thickBot="1">
      <c r="A40" s="1737" t="s">
        <v>480</v>
      </c>
      <c r="B40" s="1738" t="s">
        <v>243</v>
      </c>
      <c r="C40" s="1738"/>
      <c r="D40" s="1738"/>
      <c r="E40" s="1738"/>
      <c r="F40" s="1738"/>
      <c r="G40" s="1738"/>
      <c r="H40" s="1738"/>
      <c r="I40" s="1738"/>
      <c r="J40" s="1738"/>
      <c r="K40" s="1738"/>
      <c r="L40" s="1738"/>
      <c r="M40" s="1738"/>
      <c r="N40" s="1738"/>
      <c r="O40" s="1738"/>
      <c r="P40" s="1738"/>
      <c r="Q40" s="1738"/>
      <c r="R40" s="1739"/>
    </row>
    <row r="41" spans="1:19" s="689" customFormat="1">
      <c r="A41" s="1587" t="s">
        <v>130</v>
      </c>
      <c r="B41" s="1588" t="s">
        <v>243</v>
      </c>
      <c r="C41" s="1551"/>
      <c r="D41" s="1552"/>
      <c r="E41" s="1552"/>
      <c r="F41" s="1552"/>
      <c r="G41" s="1553"/>
      <c r="H41" s="1626"/>
      <c r="I41" s="1627"/>
      <c r="J41" s="1552"/>
      <c r="K41" s="1628"/>
      <c r="L41" s="1629"/>
      <c r="M41" s="1605"/>
      <c r="N41" s="1606"/>
      <c r="O41" s="1630"/>
      <c r="P41" s="1630"/>
      <c r="Q41" s="1630"/>
      <c r="R41" s="1608"/>
    </row>
    <row r="42" spans="1:19" s="689" customFormat="1">
      <c r="A42" s="1589" t="s">
        <v>131</v>
      </c>
      <c r="B42" s="695" t="s">
        <v>244</v>
      </c>
      <c r="C42" s="1559">
        <f>D42+G42</f>
        <v>4.5679999999999996</v>
      </c>
      <c r="D42" s="697">
        <v>1.98</v>
      </c>
      <c r="E42" s="697"/>
      <c r="F42" s="697"/>
      <c r="G42" s="928">
        <v>2.5880000000000001</v>
      </c>
      <c r="H42" s="1631">
        <f>I42+L42</f>
        <v>1.5888695652173914</v>
      </c>
      <c r="I42" s="1632">
        <f>D42/2.875</f>
        <v>0.68869565217391304</v>
      </c>
      <c r="J42" s="697"/>
      <c r="K42" s="1599"/>
      <c r="L42" s="1633">
        <f>G42/2.875</f>
        <v>0.90017391304347827</v>
      </c>
      <c r="M42" s="1609">
        <v>2875</v>
      </c>
      <c r="N42" s="1610">
        <v>100</v>
      </c>
      <c r="O42" s="1578"/>
      <c r="P42" s="1578"/>
      <c r="Q42" s="1578"/>
      <c r="R42" s="1612">
        <v>100</v>
      </c>
    </row>
    <row r="43" spans="1:19" s="689" customFormat="1" ht="26.4">
      <c r="A43" s="1589" t="s">
        <v>189</v>
      </c>
      <c r="B43" s="1590" t="s">
        <v>245</v>
      </c>
      <c r="C43" s="1559">
        <f>G43</f>
        <v>9.6000000000000002E-2</v>
      </c>
      <c r="D43" s="697"/>
      <c r="E43" s="697"/>
      <c r="F43" s="697"/>
      <c r="G43" s="928">
        <v>9.6000000000000002E-2</v>
      </c>
      <c r="H43" s="1631">
        <f>L43</f>
        <v>3.3391304347826091E-2</v>
      </c>
      <c r="I43" s="1632"/>
      <c r="J43" s="697"/>
      <c r="K43" s="1599"/>
      <c r="L43" s="1633">
        <f>G43/2.875</f>
        <v>3.3391304347826091E-2</v>
      </c>
      <c r="M43" s="1560">
        <v>2875</v>
      </c>
      <c r="N43" s="926">
        <v>100</v>
      </c>
      <c r="O43" s="698"/>
      <c r="P43" s="698"/>
      <c r="Q43" s="698"/>
      <c r="R43" s="927">
        <v>100</v>
      </c>
    </row>
    <row r="44" spans="1:19" s="689" customFormat="1">
      <c r="A44" s="1589" t="s">
        <v>132</v>
      </c>
      <c r="B44" s="695" t="s">
        <v>246</v>
      </c>
      <c r="C44" s="1559"/>
      <c r="D44" s="697"/>
      <c r="E44" s="697"/>
      <c r="F44" s="697"/>
      <c r="G44" s="928"/>
      <c r="H44" s="1634"/>
      <c r="I44" s="1625"/>
      <c r="J44" s="697"/>
      <c r="K44" s="1599"/>
      <c r="L44" s="1633"/>
      <c r="M44" s="1561"/>
      <c r="N44" s="698"/>
      <c r="O44" s="698"/>
      <c r="P44" s="698"/>
      <c r="Q44" s="698"/>
      <c r="R44" s="707"/>
    </row>
    <row r="45" spans="1:19" s="689" customFormat="1" ht="13.8" thickBot="1">
      <c r="A45" s="1591"/>
      <c r="B45" s="1582" t="s">
        <v>247</v>
      </c>
      <c r="C45" s="1565">
        <f>D45+G45</f>
        <v>4.6639999999999997</v>
      </c>
      <c r="D45" s="1563">
        <f>D42</f>
        <v>1.98</v>
      </c>
      <c r="E45" s="1563"/>
      <c r="F45" s="1563"/>
      <c r="G45" s="1564">
        <f>G42+G43</f>
        <v>2.6840000000000002</v>
      </c>
      <c r="H45" s="1635">
        <f>I45+L45</f>
        <v>1.6222608695652174</v>
      </c>
      <c r="I45" s="1636">
        <f>I42</f>
        <v>0.68869565217391304</v>
      </c>
      <c r="J45" s="1563"/>
      <c r="K45" s="1622"/>
      <c r="L45" s="1637">
        <f>L42+L43</f>
        <v>0.93356521739130438</v>
      </c>
      <c r="M45" s="1567">
        <v>2875</v>
      </c>
      <c r="N45" s="1568">
        <v>100</v>
      </c>
      <c r="O45" s="1566"/>
      <c r="P45" s="1566"/>
      <c r="Q45" s="1566"/>
      <c r="R45" s="1570">
        <v>100</v>
      </c>
    </row>
    <row r="46" spans="1:19" s="689" customFormat="1" ht="13.8" thickBot="1">
      <c r="A46" s="1737" t="s">
        <v>481</v>
      </c>
      <c r="B46" s="1738" t="s">
        <v>243</v>
      </c>
      <c r="C46" s="1738"/>
      <c r="D46" s="1738"/>
      <c r="E46" s="1738"/>
      <c r="F46" s="1738"/>
      <c r="G46" s="1738"/>
      <c r="H46" s="1738"/>
      <c r="I46" s="1738"/>
      <c r="J46" s="1738"/>
      <c r="K46" s="1738"/>
      <c r="L46" s="1738"/>
      <c r="M46" s="1738"/>
      <c r="N46" s="1738"/>
      <c r="O46" s="1738"/>
      <c r="P46" s="1738"/>
      <c r="Q46" s="1738"/>
      <c r="R46" s="1739"/>
      <c r="S46" s="696"/>
    </row>
    <row r="47" spans="1:19" s="689" customFormat="1">
      <c r="A47" s="1640">
        <v>1</v>
      </c>
      <c r="B47" s="1642" t="s">
        <v>243</v>
      </c>
      <c r="C47" s="1601"/>
      <c r="D47" s="1602"/>
      <c r="E47" s="1602"/>
      <c r="F47" s="1602"/>
      <c r="G47" s="1603"/>
      <c r="H47" s="1669"/>
      <c r="I47" s="1602"/>
      <c r="J47" s="1602"/>
      <c r="K47" s="1602"/>
      <c r="L47" s="1603"/>
      <c r="M47" s="1669"/>
      <c r="N47" s="1602"/>
      <c r="O47" s="1602"/>
      <c r="P47" s="1602"/>
      <c r="Q47" s="1602"/>
      <c r="R47" s="1603"/>
      <c r="S47" s="696"/>
    </row>
    <row r="48" spans="1:19" s="689" customFormat="1">
      <c r="A48" s="1638">
        <v>2</v>
      </c>
      <c r="B48" s="1643" t="s">
        <v>244</v>
      </c>
      <c r="C48" s="1574">
        <f>D48+G48</f>
        <v>8.9169999999999998</v>
      </c>
      <c r="D48" s="1575">
        <f>D39+D45</f>
        <v>3.92</v>
      </c>
      <c r="E48" s="1575"/>
      <c r="F48" s="1575"/>
      <c r="G48" s="1576">
        <f>G36+G42</f>
        <v>4.9969999999999999</v>
      </c>
      <c r="H48" s="1670">
        <f>L48+I48</f>
        <v>1.5507826086956522</v>
      </c>
      <c r="I48" s="1575">
        <f>D48/5.75</f>
        <v>0.68173913043478263</v>
      </c>
      <c r="J48" s="1575"/>
      <c r="K48" s="1575"/>
      <c r="L48" s="1576">
        <f>G48/5.75</f>
        <v>0.86904347826086958</v>
      </c>
      <c r="M48" s="1668">
        <v>5750</v>
      </c>
      <c r="N48" s="1610">
        <v>100</v>
      </c>
      <c r="O48" s="1578"/>
      <c r="P48" s="1578"/>
      <c r="Q48" s="1578"/>
      <c r="R48" s="1612">
        <v>100</v>
      </c>
      <c r="S48" s="696"/>
    </row>
    <row r="49" spans="1:19" s="689" customFormat="1" ht="26.4">
      <c r="A49" s="1639">
        <v>2.1</v>
      </c>
      <c r="B49" s="1644" t="s">
        <v>245</v>
      </c>
      <c r="C49" s="1559">
        <f>C37+C43</f>
        <v>0.20800000000000002</v>
      </c>
      <c r="D49" s="697"/>
      <c r="E49" s="697"/>
      <c r="F49" s="697"/>
      <c r="G49" s="928">
        <f>G37+G43</f>
        <v>0.20800000000000002</v>
      </c>
      <c r="H49" s="1632">
        <v>3.5000000000000003E-2</v>
      </c>
      <c r="I49" s="697"/>
      <c r="J49" s="697"/>
      <c r="K49" s="697"/>
      <c r="L49" s="928">
        <f>G49/5.75</f>
        <v>3.6173913043478265E-2</v>
      </c>
      <c r="M49" s="1646">
        <v>5750</v>
      </c>
      <c r="N49" s="926">
        <v>100</v>
      </c>
      <c r="O49" s="697"/>
      <c r="P49" s="697"/>
      <c r="Q49" s="697"/>
      <c r="R49" s="1667">
        <v>100</v>
      </c>
      <c r="S49" s="696"/>
    </row>
    <row r="50" spans="1:19" s="689" customFormat="1">
      <c r="A50" s="1639">
        <v>3</v>
      </c>
      <c r="B50" s="1643" t="s">
        <v>246</v>
      </c>
      <c r="C50" s="1559"/>
      <c r="D50" s="697"/>
      <c r="E50" s="697"/>
      <c r="F50" s="697"/>
      <c r="G50" s="928"/>
      <c r="H50" s="1632"/>
      <c r="I50" s="697"/>
      <c r="J50" s="697"/>
      <c r="K50" s="697"/>
      <c r="L50" s="928"/>
      <c r="M50" s="1632"/>
      <c r="N50" s="697"/>
      <c r="O50" s="697"/>
      <c r="P50" s="697"/>
      <c r="Q50" s="697"/>
      <c r="R50" s="928"/>
      <c r="S50" s="696"/>
    </row>
    <row r="51" spans="1:19" s="689" customFormat="1" ht="13.8" thickBot="1">
      <c r="A51" s="1641"/>
      <c r="B51" s="1645" t="s">
        <v>247</v>
      </c>
      <c r="C51" s="1565">
        <f>C49+C48</f>
        <v>9.125</v>
      </c>
      <c r="D51" s="1563">
        <f>D49+D48</f>
        <v>3.92</v>
      </c>
      <c r="E51" s="1563"/>
      <c r="F51" s="1563"/>
      <c r="G51" s="1564">
        <f>G49+G48</f>
        <v>5.2050000000000001</v>
      </c>
      <c r="H51" s="1636">
        <f>H49+H48</f>
        <v>1.5857826086956521</v>
      </c>
      <c r="I51" s="1563">
        <f>I48</f>
        <v>0.68173913043478263</v>
      </c>
      <c r="J51" s="1563"/>
      <c r="K51" s="1563"/>
      <c r="L51" s="1564">
        <f>L48+L49</f>
        <v>0.90521739130434786</v>
      </c>
      <c r="M51" s="1581">
        <v>5750</v>
      </c>
      <c r="N51" s="1568">
        <v>100</v>
      </c>
      <c r="O51" s="1566"/>
      <c r="P51" s="1566"/>
      <c r="Q51" s="1566"/>
      <c r="R51" s="1570">
        <v>100</v>
      </c>
      <c r="S51" s="696"/>
    </row>
    <row r="52" spans="1:19" s="689" customFormat="1">
      <c r="A52" s="1740" t="s">
        <v>482</v>
      </c>
      <c r="B52" s="1741"/>
      <c r="C52" s="1741"/>
      <c r="D52" s="1741"/>
      <c r="E52" s="1741"/>
      <c r="F52" s="1741"/>
      <c r="G52" s="1741"/>
      <c r="H52" s="1741"/>
      <c r="I52" s="1741"/>
      <c r="J52" s="1741"/>
      <c r="K52" s="1741"/>
      <c r="L52" s="1741"/>
      <c r="M52" s="1741"/>
      <c r="N52" s="1741"/>
      <c r="O52" s="1741"/>
      <c r="P52" s="1741"/>
      <c r="Q52" s="1741"/>
      <c r="R52" s="1742"/>
      <c r="S52" s="696"/>
    </row>
    <row r="53" spans="1:19" s="689" customFormat="1">
      <c r="A53" s="708">
        <v>1</v>
      </c>
      <c r="B53" s="699" t="s">
        <v>243</v>
      </c>
      <c r="C53" s="700"/>
      <c r="D53" s="700"/>
      <c r="E53" s="700"/>
      <c r="F53" s="700"/>
      <c r="G53" s="700"/>
      <c r="H53" s="700"/>
      <c r="I53" s="700"/>
      <c r="J53" s="700"/>
      <c r="K53" s="700"/>
      <c r="L53" s="700"/>
      <c r="M53" s="700"/>
      <c r="N53" s="700"/>
      <c r="O53" s="700"/>
      <c r="P53" s="700"/>
      <c r="Q53" s="700"/>
      <c r="R53" s="709"/>
      <c r="S53" s="696"/>
    </row>
    <row r="54" spans="1:19" s="689" customFormat="1">
      <c r="A54" s="708">
        <v>2</v>
      </c>
      <c r="B54" s="699" t="s">
        <v>244</v>
      </c>
      <c r="C54" s="700"/>
      <c r="D54" s="700"/>
      <c r="E54" s="700"/>
      <c r="F54" s="700"/>
      <c r="G54" s="700"/>
      <c r="H54" s="700"/>
      <c r="I54" s="700"/>
      <c r="J54" s="700"/>
      <c r="K54" s="700"/>
      <c r="L54" s="700"/>
      <c r="M54" s="700"/>
      <c r="N54" s="700"/>
      <c r="O54" s="700"/>
      <c r="P54" s="700"/>
      <c r="Q54" s="700"/>
      <c r="R54" s="709"/>
      <c r="S54" s="696"/>
    </row>
    <row r="55" spans="1:19" s="689" customFormat="1" ht="26.4">
      <c r="A55" s="710">
        <v>2.1</v>
      </c>
      <c r="B55" s="701" t="s">
        <v>245</v>
      </c>
      <c r="C55" s="700"/>
      <c r="D55" s="700"/>
      <c r="E55" s="700"/>
      <c r="F55" s="700"/>
      <c r="G55" s="700"/>
      <c r="H55" s="700"/>
      <c r="I55" s="700"/>
      <c r="J55" s="700"/>
      <c r="K55" s="700"/>
      <c r="L55" s="700"/>
      <c r="M55" s="700"/>
      <c r="N55" s="700"/>
      <c r="O55" s="700"/>
      <c r="P55" s="700"/>
      <c r="Q55" s="700"/>
      <c r="R55" s="709"/>
      <c r="S55" s="696"/>
    </row>
    <row r="56" spans="1:19" s="689" customFormat="1">
      <c r="A56" s="710">
        <v>3</v>
      </c>
      <c r="B56" s="699" t="s">
        <v>246</v>
      </c>
      <c r="C56" s="700"/>
      <c r="D56" s="700"/>
      <c r="E56" s="700"/>
      <c r="F56" s="700"/>
      <c r="G56" s="700"/>
      <c r="H56" s="700"/>
      <c r="I56" s="700"/>
      <c r="J56" s="700"/>
      <c r="K56" s="700"/>
      <c r="L56" s="700"/>
      <c r="M56" s="700"/>
      <c r="N56" s="700"/>
      <c r="O56" s="700"/>
      <c r="P56" s="700"/>
      <c r="Q56" s="700"/>
      <c r="R56" s="709"/>
      <c r="S56" s="696"/>
    </row>
    <row r="57" spans="1:19" s="689" customFormat="1" ht="13.8" thickBot="1">
      <c r="A57" s="710"/>
      <c r="B57" s="702" t="s">
        <v>247</v>
      </c>
      <c r="C57" s="700"/>
      <c r="D57" s="700"/>
      <c r="E57" s="700"/>
      <c r="F57" s="700"/>
      <c r="G57" s="700"/>
      <c r="H57" s="700"/>
      <c r="I57" s="700"/>
      <c r="J57" s="700"/>
      <c r="K57" s="700"/>
      <c r="L57" s="700"/>
      <c r="M57" s="700"/>
      <c r="N57" s="700"/>
      <c r="O57" s="700"/>
      <c r="P57" s="700"/>
      <c r="Q57" s="700"/>
      <c r="R57" s="709"/>
      <c r="S57" s="696"/>
    </row>
    <row r="58" spans="1:19" s="689" customFormat="1">
      <c r="A58" s="1730"/>
      <c r="B58" s="1731"/>
      <c r="C58" s="1731"/>
      <c r="D58" s="1731"/>
      <c r="E58" s="1731"/>
      <c r="F58" s="1731"/>
      <c r="G58" s="1731"/>
      <c r="H58" s="1731"/>
      <c r="I58" s="1731"/>
      <c r="J58" s="1731"/>
      <c r="K58" s="1731"/>
      <c r="L58" s="1731"/>
      <c r="M58" s="1731"/>
      <c r="N58" s="1731"/>
      <c r="O58" s="1731"/>
      <c r="P58" s="1731"/>
      <c r="Q58" s="1731"/>
      <c r="R58" s="1732"/>
      <c r="S58" s="696"/>
    </row>
    <row r="59" spans="1:19" s="689" customFormat="1">
      <c r="A59" s="708">
        <v>1</v>
      </c>
      <c r="B59" s="699" t="s">
        <v>243</v>
      </c>
      <c r="C59" s="700"/>
      <c r="D59" s="700"/>
      <c r="E59" s="700"/>
      <c r="F59" s="700"/>
      <c r="G59" s="700"/>
      <c r="H59" s="700"/>
      <c r="I59" s="700"/>
      <c r="J59" s="700"/>
      <c r="K59" s="700"/>
      <c r="L59" s="700"/>
      <c r="M59" s="700"/>
      <c r="N59" s="700"/>
      <c r="O59" s="700"/>
      <c r="P59" s="700"/>
      <c r="Q59" s="700"/>
      <c r="R59" s="709"/>
      <c r="S59" s="696"/>
    </row>
    <row r="60" spans="1:19" s="689" customFormat="1">
      <c r="A60" s="708">
        <v>2</v>
      </c>
      <c r="B60" s="699" t="s">
        <v>244</v>
      </c>
      <c r="C60" s="700"/>
      <c r="D60" s="700"/>
      <c r="E60" s="700"/>
      <c r="F60" s="700"/>
      <c r="G60" s="700"/>
      <c r="H60" s="700"/>
      <c r="I60" s="700"/>
      <c r="J60" s="700"/>
      <c r="K60" s="700"/>
      <c r="L60" s="700"/>
      <c r="M60" s="700"/>
      <c r="N60" s="700"/>
      <c r="O60" s="700"/>
      <c r="P60" s="700"/>
      <c r="Q60" s="700"/>
      <c r="R60" s="709"/>
      <c r="S60" s="696"/>
    </row>
    <row r="61" spans="1:19" s="689" customFormat="1" ht="26.4">
      <c r="A61" s="710">
        <v>2.1</v>
      </c>
      <c r="B61" s="701" t="s">
        <v>245</v>
      </c>
      <c r="C61" s="700"/>
      <c r="D61" s="700"/>
      <c r="E61" s="700"/>
      <c r="F61" s="700"/>
      <c r="G61" s="700"/>
      <c r="H61" s="700"/>
      <c r="I61" s="700"/>
      <c r="J61" s="700"/>
      <c r="K61" s="700"/>
      <c r="L61" s="700"/>
      <c r="M61" s="700"/>
      <c r="N61" s="700"/>
      <c r="O61" s="700"/>
      <c r="P61" s="700"/>
      <c r="Q61" s="700"/>
      <c r="R61" s="709"/>
      <c r="S61" s="696"/>
    </row>
    <row r="62" spans="1:19" s="689" customFormat="1">
      <c r="A62" s="710">
        <v>3</v>
      </c>
      <c r="B62" s="699" t="s">
        <v>246</v>
      </c>
      <c r="C62" s="700"/>
      <c r="D62" s="700"/>
      <c r="E62" s="700"/>
      <c r="F62" s="700"/>
      <c r="G62" s="700"/>
      <c r="H62" s="700"/>
      <c r="I62" s="700"/>
      <c r="J62" s="700"/>
      <c r="K62" s="700"/>
      <c r="L62" s="700"/>
      <c r="M62" s="700"/>
      <c r="N62" s="700"/>
      <c r="O62" s="700"/>
      <c r="P62" s="700"/>
      <c r="Q62" s="700"/>
      <c r="R62" s="709"/>
      <c r="S62" s="696"/>
    </row>
    <row r="63" spans="1:19" s="689" customFormat="1" ht="13.8" thickBot="1">
      <c r="A63" s="711"/>
      <c r="B63" s="712" t="s">
        <v>247</v>
      </c>
      <c r="C63" s="713"/>
      <c r="D63" s="713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4"/>
      <c r="S63" s="696"/>
    </row>
    <row r="64" spans="1:19" s="704" customFormat="1">
      <c r="A64" s="703"/>
      <c r="I64" s="705"/>
    </row>
    <row r="65" spans="1:8" s="689" customFormat="1">
      <c r="B65" s="471" t="s">
        <v>381</v>
      </c>
    </row>
    <row r="66" spans="1:8" ht="13.2" customHeight="1">
      <c r="A66" s="1733"/>
      <c r="B66" s="1733"/>
    </row>
    <row r="67" spans="1:8">
      <c r="H67" s="476"/>
    </row>
    <row r="68" spans="1:8">
      <c r="A68" s="501"/>
      <c r="B68" s="471" t="s">
        <v>377</v>
      </c>
      <c r="C68" s="618"/>
      <c r="D68" s="499"/>
      <c r="E68" s="500"/>
      <c r="F68" s="500"/>
      <c r="G68" s="500"/>
      <c r="H68" s="476" t="s">
        <v>436</v>
      </c>
    </row>
    <row r="69" spans="1:8">
      <c r="B69" s="110" t="s">
        <v>378</v>
      </c>
    </row>
    <row r="70" spans="1:8">
      <c r="B70" s="110" t="s">
        <v>379</v>
      </c>
    </row>
  </sheetData>
  <mergeCells count="18">
    <mergeCell ref="A10:R10"/>
    <mergeCell ref="A16:R16"/>
    <mergeCell ref="C4:O4"/>
    <mergeCell ref="F5:J5"/>
    <mergeCell ref="A7:A8"/>
    <mergeCell ref="B7:B8"/>
    <mergeCell ref="C7:G7"/>
    <mergeCell ref="H7:L7"/>
    <mergeCell ref="M7:M8"/>
    <mergeCell ref="N7:R7"/>
    <mergeCell ref="A58:R58"/>
    <mergeCell ref="A66:B66"/>
    <mergeCell ref="A22:R22"/>
    <mergeCell ref="A40:R40"/>
    <mergeCell ref="A46:R46"/>
    <mergeCell ref="A52:R52"/>
    <mergeCell ref="A28:R28"/>
    <mergeCell ref="A34:R34"/>
  </mergeCells>
  <phoneticPr fontId="4" type="noConversion"/>
  <pageMargins left="0.70866141732283472" right="0.19685039370078741" top="0" bottom="0" header="0.31496062992125984" footer="0.19685039370078741"/>
  <pageSetup paperSize="8" scale="55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Y87"/>
  <sheetViews>
    <sheetView tabSelected="1" view="pageBreakPreview" zoomScale="80" zoomScaleNormal="80" zoomScaleSheetLayoutView="80" workbookViewId="0">
      <pane xSplit="2" ySplit="6" topLeftCell="F34" activePane="bottomRight" state="frozen"/>
      <selection pane="topRight" activeCell="C1" sqref="C1"/>
      <selection pane="bottomLeft" activeCell="A7" sqref="A7"/>
      <selection pane="bottomRight" activeCell="O73" sqref="O73"/>
    </sheetView>
  </sheetViews>
  <sheetFormatPr defaultRowHeight="13.2"/>
  <cols>
    <col min="1" max="1" width="7.33203125" style="330" bestFit="1" customWidth="1"/>
    <col min="2" max="2" width="40.109375" style="330" customWidth="1"/>
    <col min="3" max="5" width="12.6640625" style="359" hidden="1" customWidth="1"/>
    <col min="6" max="7" width="12.6640625" style="359" customWidth="1"/>
    <col min="8" max="8" width="12.6640625" style="359" hidden="1" customWidth="1"/>
    <col min="9" max="9" width="12.6640625" style="359" customWidth="1"/>
    <col min="10" max="10" width="12.6640625" style="359" hidden="1" customWidth="1"/>
    <col min="11" max="11" width="14.44140625" style="359" customWidth="1"/>
    <col min="12" max="12" width="13.33203125" style="359" customWidth="1"/>
    <col min="13" max="13" width="13.109375" style="330" customWidth="1"/>
    <col min="14" max="14" width="12.6640625" style="330" hidden="1" customWidth="1"/>
    <col min="15" max="16" width="12.6640625" style="330" customWidth="1"/>
    <col min="17" max="17" width="14.33203125" style="330" customWidth="1"/>
    <col min="18" max="16384" width="8.88671875" style="330"/>
  </cols>
  <sheetData>
    <row r="1" spans="1:25" ht="15.6">
      <c r="A1" s="305"/>
      <c r="B1" s="1758" t="s">
        <v>359</v>
      </c>
      <c r="C1" s="1758"/>
      <c r="D1" s="1758"/>
      <c r="E1" s="1758"/>
      <c r="F1" s="1758"/>
      <c r="G1" s="1758"/>
      <c r="H1" s="1758"/>
      <c r="I1" s="1758"/>
      <c r="J1" s="1758"/>
      <c r="K1" s="1758"/>
      <c r="L1" s="1758"/>
      <c r="M1" s="1758"/>
      <c r="N1" s="11"/>
      <c r="O1" s="11"/>
      <c r="P1" s="11"/>
      <c r="Q1" s="109" t="s">
        <v>0</v>
      </c>
    </row>
    <row r="2" spans="1:25" ht="16.5" customHeight="1">
      <c r="A2" s="1757" t="s">
        <v>426</v>
      </c>
      <c r="B2" s="1757"/>
      <c r="C2" s="1757"/>
      <c r="D2" s="1757"/>
      <c r="E2" s="1757"/>
      <c r="F2" s="1757"/>
      <c r="G2" s="1757"/>
      <c r="H2" s="1757"/>
      <c r="I2" s="1757"/>
      <c r="J2" s="1757"/>
      <c r="K2" s="1757"/>
      <c r="L2" s="1757"/>
      <c r="M2" s="1757"/>
      <c r="N2" s="1757"/>
      <c r="O2" s="1757"/>
      <c r="P2" s="1757"/>
      <c r="Q2" s="1757"/>
    </row>
    <row r="3" spans="1:25" s="6" customFormat="1" ht="19.5" customHeight="1">
      <c r="A3" s="1"/>
      <c r="D3" s="331"/>
      <c r="E3" s="331"/>
      <c r="F3" s="331"/>
      <c r="G3" s="331"/>
      <c r="H3" s="331"/>
      <c r="I3" s="331"/>
      <c r="J3" s="331"/>
      <c r="K3" s="331"/>
      <c r="L3" s="331"/>
      <c r="Q3" s="332" t="s">
        <v>95</v>
      </c>
      <c r="Y3" s="333"/>
    </row>
    <row r="4" spans="1:25" s="6" customFormat="1" ht="19.5" customHeight="1" thickBot="1">
      <c r="A4" s="1"/>
      <c r="D4" s="331"/>
      <c r="E4" s="331"/>
      <c r="F4" s="331"/>
      <c r="G4" s="331"/>
      <c r="H4" s="331">
        <f>'1.25'!D6</f>
        <v>0</v>
      </c>
      <c r="I4" s="331"/>
      <c r="J4" s="331"/>
      <c r="K4" s="331"/>
      <c r="L4" s="331"/>
    </row>
    <row r="5" spans="1:25" s="334" customFormat="1" ht="70.5" customHeight="1" thickBot="1">
      <c r="A5" s="159" t="s">
        <v>1</v>
      </c>
      <c r="B5" s="160" t="s">
        <v>2</v>
      </c>
      <c r="C5" s="160" t="s">
        <v>75</v>
      </c>
      <c r="D5" s="160" t="s">
        <v>72</v>
      </c>
      <c r="E5" s="306" t="s">
        <v>73</v>
      </c>
      <c r="F5" s="730" t="s">
        <v>458</v>
      </c>
      <c r="G5" s="369" t="s">
        <v>450</v>
      </c>
      <c r="H5" s="316" t="s">
        <v>74</v>
      </c>
      <c r="I5" s="730" t="s">
        <v>459</v>
      </c>
      <c r="J5" s="383" t="s">
        <v>354</v>
      </c>
      <c r="K5" s="732" t="s">
        <v>460</v>
      </c>
      <c r="L5" s="732" t="s">
        <v>453</v>
      </c>
      <c r="M5" s="732" t="s">
        <v>454</v>
      </c>
      <c r="N5" s="388" t="s">
        <v>358</v>
      </c>
      <c r="O5" s="733" t="s">
        <v>455</v>
      </c>
      <c r="P5" s="1182" t="s">
        <v>461</v>
      </c>
      <c r="Q5" s="1182" t="s">
        <v>462</v>
      </c>
    </row>
    <row r="6" spans="1:25" s="340" customFormat="1" ht="13.8" thickBot="1">
      <c r="A6" s="162">
        <v>1</v>
      </c>
      <c r="B6" s="163">
        <v>2</v>
      </c>
      <c r="C6" s="335">
        <v>3</v>
      </c>
      <c r="D6" s="335">
        <v>4</v>
      </c>
      <c r="E6" s="336">
        <v>3</v>
      </c>
      <c r="F6" s="370">
        <v>4</v>
      </c>
      <c r="G6" s="337">
        <v>3</v>
      </c>
      <c r="H6" s="338">
        <v>5</v>
      </c>
      <c r="I6" s="370">
        <v>4</v>
      </c>
      <c r="J6" s="384">
        <v>7</v>
      </c>
      <c r="K6" s="1157">
        <v>5</v>
      </c>
      <c r="L6" s="1157">
        <v>6</v>
      </c>
      <c r="M6" s="1197">
        <v>7</v>
      </c>
      <c r="N6" s="389">
        <v>11</v>
      </c>
      <c r="O6" s="400">
        <v>8</v>
      </c>
      <c r="P6" s="1183"/>
      <c r="Q6" s="339">
        <v>9</v>
      </c>
    </row>
    <row r="7" spans="1:25" s="72" customFormat="1" ht="13.5" customHeight="1">
      <c r="A7" s="164" t="s">
        <v>3</v>
      </c>
      <c r="B7" s="368" t="s">
        <v>4</v>
      </c>
      <c r="C7" s="161"/>
      <c r="D7" s="161"/>
      <c r="E7" s="307"/>
      <c r="F7" s="447"/>
      <c r="G7" s="447"/>
      <c r="H7" s="446"/>
      <c r="I7" s="447"/>
      <c r="J7" s="1140"/>
      <c r="K7" s="1270"/>
      <c r="L7" s="1270"/>
      <c r="M7" s="1198"/>
      <c r="N7" s="1271"/>
      <c r="O7" s="1272"/>
      <c r="P7" s="1184"/>
      <c r="Q7" s="896"/>
    </row>
    <row r="8" spans="1:25" s="72" customFormat="1" ht="13.5" customHeight="1">
      <c r="A8" s="165" t="s">
        <v>5</v>
      </c>
      <c r="B8" s="101" t="s">
        <v>6</v>
      </c>
      <c r="C8" s="102">
        <v>22</v>
      </c>
      <c r="D8" s="102">
        <v>51</v>
      </c>
      <c r="E8" s="308"/>
      <c r="F8" s="447">
        <v>1002</v>
      </c>
      <c r="G8" s="447">
        <v>522.40049999999997</v>
      </c>
      <c r="H8" s="446"/>
      <c r="I8" s="447">
        <v>437</v>
      </c>
      <c r="J8" s="1140"/>
      <c r="K8" s="1270">
        <v>240</v>
      </c>
      <c r="L8" s="1270">
        <f>O8/2</f>
        <v>127.55999999999999</v>
      </c>
      <c r="M8" s="1198">
        <f>O8/2</f>
        <v>127.55999999999999</v>
      </c>
      <c r="N8" s="1271"/>
      <c r="O8" s="1272">
        <f>K8*1.063</f>
        <v>255.11999999999998</v>
      </c>
      <c r="P8" s="1185"/>
      <c r="Q8" s="897"/>
    </row>
    <row r="9" spans="1:25" s="64" customFormat="1" ht="13.5" customHeight="1">
      <c r="A9" s="166"/>
      <c r="B9" s="63" t="s">
        <v>7</v>
      </c>
      <c r="C9" s="74">
        <v>22</v>
      </c>
      <c r="D9" s="74">
        <v>51</v>
      </c>
      <c r="E9" s="309"/>
      <c r="F9" s="372"/>
      <c r="G9" s="372"/>
      <c r="H9" s="448"/>
      <c r="I9" s="372"/>
      <c r="J9" s="1142"/>
      <c r="K9" s="1159"/>
      <c r="L9" s="1159"/>
      <c r="M9" s="1198">
        <f>L9+K9</f>
        <v>0</v>
      </c>
      <c r="N9" s="1273" t="e">
        <f>H9*$N$69/$Q$69</f>
        <v>#DIV/0!</v>
      </c>
      <c r="O9" s="401"/>
      <c r="P9" s="1185"/>
      <c r="Q9" s="897">
        <f>Q8</f>
        <v>0</v>
      </c>
    </row>
    <row r="10" spans="1:25" s="72" customFormat="1" ht="27" customHeight="1">
      <c r="A10" s="165" t="s">
        <v>8</v>
      </c>
      <c r="B10" s="101" t="s">
        <v>55</v>
      </c>
      <c r="C10" s="102">
        <v>384</v>
      </c>
      <c r="D10" s="102">
        <v>1547</v>
      </c>
      <c r="E10" s="308"/>
      <c r="F10" s="371">
        <v>1230</v>
      </c>
      <c r="G10" s="371">
        <f>G11</f>
        <v>131.84399999999999</v>
      </c>
      <c r="H10" s="107"/>
      <c r="I10" s="371">
        <v>176</v>
      </c>
      <c r="J10" s="1141"/>
      <c r="K10" s="1158">
        <f>K11</f>
        <v>108</v>
      </c>
      <c r="L10" s="1178">
        <f>O10*0.5</f>
        <v>55.349999999999994</v>
      </c>
      <c r="M10" s="1178">
        <f>O10*0.5</f>
        <v>55.349999999999994</v>
      </c>
      <c r="N10" s="1273" t="e">
        <f>H10*$N$69/$Q$69</f>
        <v>#DIV/0!</v>
      </c>
      <c r="O10" s="948">
        <f>K10*1.025</f>
        <v>110.69999999999999</v>
      </c>
      <c r="P10" s="1185"/>
      <c r="Q10" s="897"/>
    </row>
    <row r="11" spans="1:25" s="64" customFormat="1" ht="13.5" customHeight="1">
      <c r="A11" s="166"/>
      <c r="B11" s="63" t="s">
        <v>7</v>
      </c>
      <c r="C11" s="74">
        <v>384</v>
      </c>
      <c r="D11" s="74">
        <v>1547</v>
      </c>
      <c r="E11" s="309"/>
      <c r="F11" s="372">
        <v>1230</v>
      </c>
      <c r="G11" s="372">
        <v>131.84399999999999</v>
      </c>
      <c r="H11" s="448"/>
      <c r="I11" s="372">
        <v>176</v>
      </c>
      <c r="J11" s="1142"/>
      <c r="K11" s="1159">
        <v>108</v>
      </c>
      <c r="L11" s="1180">
        <f>L10</f>
        <v>55.349999999999994</v>
      </c>
      <c r="M11" s="1201">
        <f>M10</f>
        <v>55.349999999999994</v>
      </c>
      <c r="N11" s="1273" t="e">
        <f>H11*$N$69/$Q$69</f>
        <v>#DIV/0!</v>
      </c>
      <c r="O11" s="948">
        <f>O10</f>
        <v>110.69999999999999</v>
      </c>
      <c r="P11" s="1185"/>
      <c r="Q11" s="897">
        <f>Q10</f>
        <v>0</v>
      </c>
    </row>
    <row r="12" spans="1:25" s="72" customFormat="1" ht="13.5" customHeight="1">
      <c r="A12" s="165" t="s">
        <v>9</v>
      </c>
      <c r="B12" s="101" t="s">
        <v>59</v>
      </c>
      <c r="C12" s="102">
        <v>88</v>
      </c>
      <c r="D12" s="102">
        <v>42</v>
      </c>
      <c r="E12" s="308"/>
      <c r="F12" s="371">
        <v>90</v>
      </c>
      <c r="G12" s="371">
        <v>65.139610000000005</v>
      </c>
      <c r="H12" s="107"/>
      <c r="I12" s="371">
        <v>69</v>
      </c>
      <c r="J12" s="1141"/>
      <c r="K12" s="1158">
        <f>G12*1.06</f>
        <v>69.047986600000002</v>
      </c>
      <c r="L12" s="1178">
        <f>O12*0.5</f>
        <v>36.595432898000006</v>
      </c>
      <c r="M12" s="1201">
        <f>O12*0.5</f>
        <v>36.595432898000006</v>
      </c>
      <c r="N12" s="1273" t="e">
        <f>H12*$N$69/$Q$69</f>
        <v>#DIV/0!</v>
      </c>
      <c r="O12" s="401">
        <f>K12*1.06</f>
        <v>73.190865796000011</v>
      </c>
      <c r="P12" s="1185"/>
      <c r="Q12" s="897"/>
    </row>
    <row r="13" spans="1:25" s="122" customFormat="1" ht="13.5" customHeight="1">
      <c r="A13" s="889" t="s">
        <v>10</v>
      </c>
      <c r="B13" s="890" t="s">
        <v>60</v>
      </c>
      <c r="C13" s="891">
        <v>1369</v>
      </c>
      <c r="D13" s="892">
        <f>D14+D15</f>
        <v>1520.9566749999999</v>
      </c>
      <c r="E13" s="893"/>
      <c r="F13" s="895">
        <f>F14+F15</f>
        <v>2118</v>
      </c>
      <c r="G13" s="895">
        <f>G14+G15</f>
        <v>631.04399999999998</v>
      </c>
      <c r="H13" s="894"/>
      <c r="I13" s="895">
        <v>2278</v>
      </c>
      <c r="J13" s="1143"/>
      <c r="K13" s="1160">
        <f>K14+K15</f>
        <v>2144.8000000000002</v>
      </c>
      <c r="L13" s="1179">
        <f>L14+L15</f>
        <v>248.233024</v>
      </c>
      <c r="M13" s="1179">
        <f>M14+M15</f>
        <v>248.233024</v>
      </c>
      <c r="N13" s="1212">
        <f>N14+N15</f>
        <v>0</v>
      </c>
      <c r="O13" s="949">
        <f>O14+O15</f>
        <v>496.466048</v>
      </c>
      <c r="P13" s="1186"/>
      <c r="Q13" s="898">
        <f>Q14+Q15</f>
        <v>0</v>
      </c>
    </row>
    <row r="14" spans="1:25" s="64" customFormat="1" ht="12.75" customHeight="1">
      <c r="A14" s="166" t="s">
        <v>11</v>
      </c>
      <c r="B14" s="63" t="s">
        <v>352</v>
      </c>
      <c r="C14" s="74">
        <v>1256</v>
      </c>
      <c r="D14" s="74">
        <f>(337301*4.175)*0.001</f>
        <v>1408.231675</v>
      </c>
      <c r="E14" s="309"/>
      <c r="F14" s="372">
        <v>2118</v>
      </c>
      <c r="G14" s="372">
        <f>0.108*((5.598+6.088)/2)*1000</f>
        <v>631.04399999999998</v>
      </c>
      <c r="H14" s="448"/>
      <c r="I14" s="372">
        <v>2278</v>
      </c>
      <c r="J14" s="1142"/>
      <c r="K14" s="1159">
        <f>0.35*((5.904+6.352)/2)*1000</f>
        <v>2144.8000000000002</v>
      </c>
      <c r="L14" s="1159">
        <f>(0.076/2)*((5.904+6.352)/2)*1000*1.066</f>
        <v>248.233024</v>
      </c>
      <c r="M14" s="1159">
        <f>(0.076/2)*((5.904+6.352)/2)*1000*1.066</f>
        <v>248.233024</v>
      </c>
      <c r="N14" s="1274">
        <f>'1.25'!J6*'1.2.2'!L12</f>
        <v>0</v>
      </c>
      <c r="O14" s="401">
        <f>M14+L14</f>
        <v>496.466048</v>
      </c>
      <c r="P14" s="1185"/>
      <c r="Q14" s="899">
        <f>'1.25'!M6*'1.2.2'!O12</f>
        <v>0</v>
      </c>
    </row>
    <row r="15" spans="1:25" s="64" customFormat="1" ht="13.5" customHeight="1">
      <c r="A15" s="166" t="s">
        <v>12</v>
      </c>
      <c r="B15" s="63" t="s">
        <v>13</v>
      </c>
      <c r="C15" s="74">
        <v>113</v>
      </c>
      <c r="D15" s="74">
        <f>(27000*4.175)*0.001</f>
        <v>112.72500000000001</v>
      </c>
      <c r="E15" s="309"/>
      <c r="F15" s="372">
        <v>0</v>
      </c>
      <c r="G15" s="977"/>
      <c r="H15" s="448"/>
      <c r="I15" s="372"/>
      <c r="J15" s="1142"/>
      <c r="K15" s="1159"/>
      <c r="L15" s="1159"/>
      <c r="M15" s="1171">
        <f>L15+K15</f>
        <v>0</v>
      </c>
      <c r="N15" s="1274">
        <f>'1.25'!J6*'1.2.2'!L14</f>
        <v>0</v>
      </c>
      <c r="O15" s="401">
        <f>Q15-N15</f>
        <v>0</v>
      </c>
      <c r="P15" s="1185"/>
      <c r="Q15" s="899">
        <f>'1.25'!M6*'1.2.2'!O14</f>
        <v>0</v>
      </c>
    </row>
    <row r="16" spans="1:25" s="72" customFormat="1" ht="13.5" customHeight="1">
      <c r="A16" s="165" t="s">
        <v>14</v>
      </c>
      <c r="B16" s="101" t="s">
        <v>64</v>
      </c>
      <c r="C16" s="102">
        <v>2658</v>
      </c>
      <c r="D16" s="102">
        <f>'[3]1.16'!$E$27</f>
        <v>3400.3827199999992</v>
      </c>
      <c r="E16" s="308"/>
      <c r="F16" s="371">
        <f>F18+F19+F20+F21</f>
        <v>1911</v>
      </c>
      <c r="G16" s="371">
        <f>G18+G19+G20+G21</f>
        <v>2424.13</v>
      </c>
      <c r="H16" s="107"/>
      <c r="I16" s="371">
        <f>I18+I19+I20+I21</f>
        <v>2003.1</v>
      </c>
      <c r="J16" s="1141"/>
      <c r="K16" s="1158">
        <f>K18+K19+K20+K21</f>
        <v>2546.8719999999998</v>
      </c>
      <c r="L16" s="1178">
        <f>L18+L19+L20+L21</f>
        <v>805.59890047532804</v>
      </c>
      <c r="M16" s="1178">
        <f>M18+M19+M20+M21</f>
        <v>805.59890047532804</v>
      </c>
      <c r="N16" s="1273" t="e">
        <f>H16*$N$69/$Q$69</f>
        <v>#DIV/0!</v>
      </c>
      <c r="O16" s="1275">
        <f>O18+O19+O20+O21</f>
        <v>1611.1978009506561</v>
      </c>
      <c r="P16" s="1185"/>
      <c r="Q16" s="898">
        <f>Q18+Q19</f>
        <v>0</v>
      </c>
    </row>
    <row r="17" spans="1:17" s="347" customFormat="1" ht="31.5" hidden="1" customHeight="1">
      <c r="A17" s="341"/>
      <c r="B17" s="342" t="s">
        <v>15</v>
      </c>
      <c r="C17" s="343"/>
      <c r="D17" s="343"/>
      <c r="E17" s="344"/>
      <c r="F17" s="373"/>
      <c r="G17" s="974"/>
      <c r="H17" s="1276"/>
      <c r="I17" s="373"/>
      <c r="J17" s="1277"/>
      <c r="K17" s="1158"/>
      <c r="L17" s="1161"/>
      <c r="M17" s="1199"/>
      <c r="N17" s="1278"/>
      <c r="O17" s="401">
        <f>Q17-N17</f>
        <v>0</v>
      </c>
      <c r="P17" s="1185"/>
      <c r="Q17" s="900"/>
    </row>
    <row r="18" spans="1:17" s="64" customFormat="1" ht="13.5" customHeight="1">
      <c r="A18" s="166" t="s">
        <v>69</v>
      </c>
      <c r="B18" s="63" t="s">
        <v>65</v>
      </c>
      <c r="C18" s="74">
        <v>2636</v>
      </c>
      <c r="D18" s="75">
        <f>D16-D19</f>
        <v>3380.3827199999992</v>
      </c>
      <c r="E18" s="309"/>
      <c r="F18" s="372">
        <v>1873</v>
      </c>
      <c r="G18" s="372">
        <v>2411.23</v>
      </c>
      <c r="H18" s="448"/>
      <c r="I18" s="372">
        <v>1955.6</v>
      </c>
      <c r="J18" s="1142"/>
      <c r="K18" s="1159">
        <f>'1.16передача и сбыт'!L29</f>
        <v>2458.8719999999998</v>
      </c>
      <c r="L18" s="1180">
        <f>'1.16передача и сбыт'!M29</f>
        <v>775.91140047532804</v>
      </c>
      <c r="M18" s="1201">
        <f>'1.16передача и сбыт'!N29</f>
        <v>775.91140047532804</v>
      </c>
      <c r="N18" s="1273" t="e">
        <f>H18*$N$69/$Q$69</f>
        <v>#DIV/0!</v>
      </c>
      <c r="O18" s="948">
        <f>'1.16передача и сбыт'!R29</f>
        <v>1551.8228009506561</v>
      </c>
      <c r="P18" s="1185"/>
      <c r="Q18" s="899">
        <f>'1.16передача и сбыт'!Q24</f>
        <v>0</v>
      </c>
    </row>
    <row r="19" spans="1:17" s="64" customFormat="1" ht="13.5" customHeight="1">
      <c r="A19" s="166" t="s">
        <v>71</v>
      </c>
      <c r="B19" s="63" t="s">
        <v>63</v>
      </c>
      <c r="C19" s="74">
        <v>22</v>
      </c>
      <c r="D19" s="74">
        <f>'[3]1.16'!$E$28</f>
        <v>20</v>
      </c>
      <c r="E19" s="309"/>
      <c r="F19" s="376">
        <v>38</v>
      </c>
      <c r="G19" s="376">
        <v>12.9</v>
      </c>
      <c r="H19" s="1672"/>
      <c r="I19" s="376">
        <v>47.5</v>
      </c>
      <c r="J19" s="1673"/>
      <c r="K19" s="1180">
        <f>'1.16передача и сбыт'!L33</f>
        <v>88</v>
      </c>
      <c r="L19" s="1180">
        <f>'1.16передача и сбыт'!M33</f>
        <v>29.6875</v>
      </c>
      <c r="M19" s="1201">
        <f>'1.16передача и сбыт'!N33</f>
        <v>29.6875</v>
      </c>
      <c r="N19" s="1674" t="e">
        <f>H19*$N$69/$Q$69</f>
        <v>#DIV/0!</v>
      </c>
      <c r="O19" s="948">
        <f>'1.16передача и сбыт'!R33</f>
        <v>59.375</v>
      </c>
      <c r="P19" s="1185"/>
      <c r="Q19" s="901">
        <f>'1.16передача и сбыт'!Q25</f>
        <v>0</v>
      </c>
    </row>
    <row r="20" spans="1:17" s="64" customFormat="1" ht="27" customHeight="1">
      <c r="A20" s="166" t="s">
        <v>188</v>
      </c>
      <c r="B20" s="329" t="s">
        <v>371</v>
      </c>
      <c r="C20" s="74"/>
      <c r="D20" s="74"/>
      <c r="E20" s="309"/>
      <c r="F20" s="372">
        <f>'1.16передача и сбыт'!F31</f>
        <v>0</v>
      </c>
      <c r="G20" s="372">
        <f>'1.16передача и сбыт'!G31</f>
        <v>0</v>
      </c>
      <c r="H20" s="448"/>
      <c r="I20" s="372">
        <f>'1.16передача и сбыт'!I31</f>
        <v>0</v>
      </c>
      <c r="J20" s="1142"/>
      <c r="K20" s="1159">
        <f>'1.16передача и сбыт'!K31</f>
        <v>0</v>
      </c>
      <c r="L20" s="1159">
        <f>'1.16передача и сбыт'!M31</f>
        <v>0</v>
      </c>
      <c r="M20" s="1171">
        <v>0</v>
      </c>
      <c r="N20" s="1273"/>
      <c r="O20" s="401">
        <v>0</v>
      </c>
      <c r="P20" s="1185"/>
      <c r="Q20" s="901"/>
    </row>
    <row r="21" spans="1:17" s="64" customFormat="1" ht="27" customHeight="1">
      <c r="A21" s="166" t="s">
        <v>372</v>
      </c>
      <c r="B21" s="329" t="s">
        <v>373</v>
      </c>
      <c r="C21" s="74"/>
      <c r="D21" s="74"/>
      <c r="E21" s="309"/>
      <c r="F21" s="372">
        <f>'1.16передача и сбыт'!F32</f>
        <v>0</v>
      </c>
      <c r="G21" s="372">
        <f>'1.16передача и сбыт'!G32</f>
        <v>0</v>
      </c>
      <c r="H21" s="448"/>
      <c r="I21" s="372">
        <f>'1.16передача и сбыт'!I32</f>
        <v>0</v>
      </c>
      <c r="J21" s="1142"/>
      <c r="K21" s="1159">
        <f>'1.16передача и сбыт'!K32</f>
        <v>0</v>
      </c>
      <c r="L21" s="1159">
        <f>'1.16передача и сбыт'!M32</f>
        <v>0</v>
      </c>
      <c r="M21" s="1171">
        <v>0</v>
      </c>
      <c r="N21" s="1273"/>
      <c r="O21" s="401">
        <v>0</v>
      </c>
      <c r="P21" s="1185"/>
      <c r="Q21" s="901"/>
    </row>
    <row r="22" spans="1:17" s="72" customFormat="1" ht="13.5" customHeight="1">
      <c r="A22" s="165" t="s">
        <v>16</v>
      </c>
      <c r="B22" s="101" t="s">
        <v>17</v>
      </c>
      <c r="C22" s="123">
        <v>688</v>
      </c>
      <c r="D22" s="123">
        <v>812</v>
      </c>
      <c r="E22" s="308"/>
      <c r="F22" s="374">
        <f>F18*0.306</f>
        <v>573.13800000000003</v>
      </c>
      <c r="G22" s="374">
        <f>G18*0.306</f>
        <v>737.83637999999996</v>
      </c>
      <c r="H22" s="107"/>
      <c r="I22" s="374">
        <v>598</v>
      </c>
      <c r="J22" s="1141"/>
      <c r="K22" s="1158">
        <f>K18*0.306</f>
        <v>752.41483199999993</v>
      </c>
      <c r="L22" s="1158">
        <f>L18*0.306</f>
        <v>237.42888854545038</v>
      </c>
      <c r="M22" s="1158">
        <f>M18*0.306</f>
        <v>237.42888854545038</v>
      </c>
      <c r="N22" s="1273" t="e">
        <f>H22*$N$69/$Q$69</f>
        <v>#DIV/0!</v>
      </c>
      <c r="O22" s="371">
        <f>O18*0.306</f>
        <v>474.85777709090075</v>
      </c>
      <c r="P22" s="1185"/>
      <c r="Q22" s="899"/>
    </row>
    <row r="23" spans="1:17" s="347" customFormat="1" ht="31.5" hidden="1" customHeight="1">
      <c r="A23" s="341"/>
      <c r="B23" s="342" t="s">
        <v>7</v>
      </c>
      <c r="C23" s="343"/>
      <c r="D23" s="343"/>
      <c r="E23" s="344"/>
      <c r="F23" s="373"/>
      <c r="G23" s="373"/>
      <c r="H23" s="1276"/>
      <c r="I23" s="373"/>
      <c r="J23" s="1277"/>
      <c r="K23" s="1161"/>
      <c r="L23" s="1161"/>
      <c r="M23" s="1199"/>
      <c r="N23" s="1278"/>
      <c r="O23" s="401">
        <f>Q23-N23</f>
        <v>0</v>
      </c>
      <c r="P23" s="1185"/>
      <c r="Q23" s="899"/>
    </row>
    <row r="24" spans="1:17" s="72" customFormat="1" ht="13.5" customHeight="1">
      <c r="A24" s="165" t="s">
        <v>18</v>
      </c>
      <c r="B24" s="101" t="s">
        <v>19</v>
      </c>
      <c r="C24" s="102">
        <v>43</v>
      </c>
      <c r="D24" s="102">
        <v>27</v>
      </c>
      <c r="E24" s="308"/>
      <c r="F24" s="371">
        <v>558</v>
      </c>
      <c r="G24" s="371">
        <f>'1.17передача и сбыт'!D14</f>
        <v>637.66</v>
      </c>
      <c r="H24" s="107"/>
      <c r="I24" s="371">
        <v>775</v>
      </c>
      <c r="J24" s="1141"/>
      <c r="K24" s="1158">
        <f>'1.17передача и сбыт'!G14</f>
        <v>785.5</v>
      </c>
      <c r="L24" s="1158">
        <f>'1.17передача и сбыт'!H14</f>
        <v>392.35</v>
      </c>
      <c r="M24" s="1171">
        <f>'1.17передача и сбыт'!I14</f>
        <v>392.35</v>
      </c>
      <c r="N24" s="1273" t="e">
        <f>H24*$N$69/$Q$69</f>
        <v>#DIV/0!</v>
      </c>
      <c r="O24" s="401">
        <f>'1.17передача и сбыт'!J14</f>
        <v>784.7</v>
      </c>
      <c r="P24" s="1185"/>
      <c r="Q24" s="899"/>
    </row>
    <row r="25" spans="1:17" s="72" customFormat="1" ht="13.5" customHeight="1">
      <c r="A25" s="165" t="s">
        <v>20</v>
      </c>
      <c r="B25" s="101" t="s">
        <v>21</v>
      </c>
      <c r="C25" s="102">
        <v>997</v>
      </c>
      <c r="D25" s="102">
        <f>D31+D34</f>
        <v>958</v>
      </c>
      <c r="E25" s="310"/>
      <c r="F25" s="375">
        <f>F26+F27+F28+F29+F30+F31+F34</f>
        <v>1542.5</v>
      </c>
      <c r="G25" s="375">
        <f>G26+G27+G28+G29+G30+G31+G34</f>
        <v>4627.4272999999994</v>
      </c>
      <c r="H25" s="319"/>
      <c r="I25" s="375">
        <f>I26+I27+I28+I29+I30+I31+I34</f>
        <v>346.4</v>
      </c>
      <c r="J25" s="1147"/>
      <c r="K25" s="1162">
        <f>K26+K27+K28+K29+K30+K31+K34</f>
        <v>4847.8356229999999</v>
      </c>
      <c r="L25" s="1162">
        <f>L26+L27+L28+L29+L30+L31+L34</f>
        <v>3326.3045546245003</v>
      </c>
      <c r="M25" s="1162">
        <f>M26+M27+M28+M29+M30+M31+M34</f>
        <v>3326.3045546245003</v>
      </c>
      <c r="N25" s="390" t="e">
        <f>H25*$N$69/$Q$69+300+165.88328</f>
        <v>#DIV/0!</v>
      </c>
      <c r="O25" s="401">
        <f>L25+M25</f>
        <v>6652.6091092490005</v>
      </c>
      <c r="P25" s="1185"/>
      <c r="Q25" s="899">
        <f>Q31+Q34</f>
        <v>0</v>
      </c>
    </row>
    <row r="26" spans="1:17" s="64" customFormat="1" ht="31.5" hidden="1" customHeight="1">
      <c r="A26" s="166" t="s">
        <v>22</v>
      </c>
      <c r="B26" s="63" t="s">
        <v>23</v>
      </c>
      <c r="C26" s="74"/>
      <c r="D26" s="74"/>
      <c r="E26" s="309"/>
      <c r="F26" s="372"/>
      <c r="G26" s="372"/>
      <c r="H26" s="318"/>
      <c r="I26" s="372"/>
      <c r="J26" s="1144"/>
      <c r="K26" s="1159"/>
      <c r="L26" s="1159"/>
      <c r="M26" s="1171">
        <f t="shared" ref="M26:M33" si="0">L26+K26</f>
        <v>0</v>
      </c>
      <c r="N26" s="393"/>
      <c r="O26" s="401">
        <f>Q26-N26</f>
        <v>0</v>
      </c>
      <c r="P26" s="1185"/>
      <c r="Q26" s="899"/>
    </row>
    <row r="27" spans="1:17" s="64" customFormat="1" ht="31.5" hidden="1" customHeight="1">
      <c r="A27" s="166" t="s">
        <v>24</v>
      </c>
      <c r="B27" s="63" t="s">
        <v>25</v>
      </c>
      <c r="C27" s="74"/>
      <c r="D27" s="74"/>
      <c r="E27" s="309"/>
      <c r="F27" s="372"/>
      <c r="G27" s="372"/>
      <c r="H27" s="318"/>
      <c r="I27" s="372"/>
      <c r="J27" s="1144"/>
      <c r="K27" s="1159"/>
      <c r="L27" s="1159"/>
      <c r="M27" s="1171">
        <f t="shared" si="0"/>
        <v>0</v>
      </c>
      <c r="N27" s="393"/>
      <c r="O27" s="401">
        <f>Q27-N27</f>
        <v>0</v>
      </c>
      <c r="P27" s="1185"/>
      <c r="Q27" s="899"/>
    </row>
    <row r="28" spans="1:17" s="64" customFormat="1" ht="31.5" hidden="1" customHeight="1">
      <c r="A28" s="168" t="s">
        <v>26</v>
      </c>
      <c r="B28" s="63" t="s">
        <v>56</v>
      </c>
      <c r="C28" s="76"/>
      <c r="D28" s="76"/>
      <c r="E28" s="309"/>
      <c r="F28" s="372"/>
      <c r="G28" s="372"/>
      <c r="H28" s="318"/>
      <c r="I28" s="372"/>
      <c r="J28" s="1144"/>
      <c r="K28" s="1159"/>
      <c r="L28" s="1159"/>
      <c r="M28" s="1171">
        <f t="shared" si="0"/>
        <v>0</v>
      </c>
      <c r="N28" s="393"/>
      <c r="O28" s="401">
        <f>Q28-N28</f>
        <v>0</v>
      </c>
      <c r="P28" s="1185"/>
      <c r="Q28" s="899"/>
    </row>
    <row r="29" spans="1:17" s="64" customFormat="1" ht="31.5" hidden="1" customHeight="1">
      <c r="A29" s="166" t="s">
        <v>27</v>
      </c>
      <c r="B29" s="63" t="s">
        <v>50</v>
      </c>
      <c r="C29" s="74"/>
      <c r="D29" s="74"/>
      <c r="E29" s="309"/>
      <c r="F29" s="372"/>
      <c r="G29" s="372"/>
      <c r="H29" s="318"/>
      <c r="I29" s="372"/>
      <c r="J29" s="1144"/>
      <c r="K29" s="1159"/>
      <c r="L29" s="1159"/>
      <c r="M29" s="1171">
        <f t="shared" si="0"/>
        <v>0</v>
      </c>
      <c r="N29" s="393"/>
      <c r="O29" s="401">
        <f>Q29-N29</f>
        <v>0</v>
      </c>
      <c r="P29" s="1185"/>
      <c r="Q29" s="899"/>
    </row>
    <row r="30" spans="1:17" s="64" customFormat="1" ht="31.5" hidden="1" customHeight="1">
      <c r="A30" s="166" t="s">
        <v>28</v>
      </c>
      <c r="B30" s="63" t="s">
        <v>29</v>
      </c>
      <c r="C30" s="74"/>
      <c r="D30" s="74"/>
      <c r="E30" s="309"/>
      <c r="F30" s="372"/>
      <c r="G30" s="372"/>
      <c r="H30" s="318"/>
      <c r="I30" s="372"/>
      <c r="J30" s="1144"/>
      <c r="K30" s="1159"/>
      <c r="L30" s="1159"/>
      <c r="M30" s="1171">
        <f t="shared" si="0"/>
        <v>0</v>
      </c>
      <c r="N30" s="393"/>
      <c r="O30" s="401">
        <f>Q30-N30</f>
        <v>0</v>
      </c>
      <c r="P30" s="1185"/>
      <c r="Q30" s="899"/>
    </row>
    <row r="31" spans="1:17" s="64" customFormat="1" ht="26.4" hidden="1">
      <c r="A31" s="166" t="s">
        <v>30</v>
      </c>
      <c r="B31" s="63" t="s">
        <v>51</v>
      </c>
      <c r="C31" s="74">
        <v>86</v>
      </c>
      <c r="D31" s="74">
        <v>86</v>
      </c>
      <c r="E31" s="309"/>
      <c r="F31" s="372">
        <f>F32+F33</f>
        <v>0</v>
      </c>
      <c r="G31" s="372">
        <f>G32+G33</f>
        <v>0</v>
      </c>
      <c r="H31" s="318"/>
      <c r="I31" s="372">
        <f>I32+I33</f>
        <v>0</v>
      </c>
      <c r="J31" s="1144"/>
      <c r="K31" s="1159">
        <f>K32+K33</f>
        <v>0</v>
      </c>
      <c r="L31" s="1159">
        <f>L32+L33</f>
        <v>0</v>
      </c>
      <c r="M31" s="1171">
        <f t="shared" si="0"/>
        <v>0</v>
      </c>
      <c r="N31" s="393" t="e">
        <f>H31*$N$69/$Q$69</f>
        <v>#DIV/0!</v>
      </c>
      <c r="O31" s="401">
        <v>0</v>
      </c>
      <c r="P31" s="1185"/>
      <c r="Q31" s="899"/>
    </row>
    <row r="32" spans="1:17" s="64" customFormat="1" ht="13.5" hidden="1" customHeight="1">
      <c r="A32" s="166" t="s">
        <v>31</v>
      </c>
      <c r="B32" s="63" t="s">
        <v>32</v>
      </c>
      <c r="C32" s="74">
        <v>66</v>
      </c>
      <c r="D32" s="74">
        <v>66</v>
      </c>
      <c r="E32" s="309"/>
      <c r="F32" s="372"/>
      <c r="G32" s="372"/>
      <c r="H32" s="318"/>
      <c r="I32" s="372"/>
      <c r="J32" s="1144"/>
      <c r="K32" s="1159"/>
      <c r="L32" s="1159"/>
      <c r="M32" s="1171">
        <f t="shared" si="0"/>
        <v>0</v>
      </c>
      <c r="N32" s="393" t="e">
        <f>H32*$N$69/$Q$69</f>
        <v>#DIV/0!</v>
      </c>
      <c r="O32" s="401">
        <v>0</v>
      </c>
      <c r="P32" s="1185"/>
      <c r="Q32" s="899"/>
    </row>
    <row r="33" spans="1:17" s="64" customFormat="1" ht="13.5" hidden="1" customHeight="1">
      <c r="A33" s="166" t="s">
        <v>33</v>
      </c>
      <c r="B33" s="63" t="s">
        <v>34</v>
      </c>
      <c r="C33" s="74"/>
      <c r="D33" s="74"/>
      <c r="E33" s="309"/>
      <c r="F33" s="372"/>
      <c r="G33" s="372"/>
      <c r="H33" s="318"/>
      <c r="I33" s="372"/>
      <c r="J33" s="1144"/>
      <c r="K33" s="1159"/>
      <c r="L33" s="1159"/>
      <c r="M33" s="1171">
        <f t="shared" si="0"/>
        <v>0</v>
      </c>
      <c r="N33" s="393" t="e">
        <f>H33*$N$69/$Q$69</f>
        <v>#DIV/0!</v>
      </c>
      <c r="O33" s="401"/>
      <c r="P33" s="1185"/>
      <c r="Q33" s="899"/>
    </row>
    <row r="34" spans="1:17" s="64" customFormat="1" ht="24" customHeight="1">
      <c r="A34" s="166" t="s">
        <v>414</v>
      </c>
      <c r="B34" s="63" t="s">
        <v>52</v>
      </c>
      <c r="C34" s="74">
        <v>911</v>
      </c>
      <c r="D34" s="74">
        <f>D36+D59</f>
        <v>872</v>
      </c>
      <c r="E34" s="309"/>
      <c r="F34" s="372">
        <f>F36+F37+F38+F39+F40</f>
        <v>1542.5</v>
      </c>
      <c r="G34" s="372">
        <f>G36+G37+G38+G39+G40</f>
        <v>4627.4272999999994</v>
      </c>
      <c r="H34" s="320"/>
      <c r="I34" s="372">
        <f>I36+I37+I38+I39+I40</f>
        <v>346.4</v>
      </c>
      <c r="J34" s="1144"/>
      <c r="K34" s="1159">
        <f>K36+K37+K38+K39+K40</f>
        <v>4847.8356229999999</v>
      </c>
      <c r="L34" s="1159">
        <f>L36+L37+L38+L39+L40</f>
        <v>3326.3045546245003</v>
      </c>
      <c r="M34" s="1159">
        <f>M36+M37+M38+M39+M40</f>
        <v>3326.3045546245003</v>
      </c>
      <c r="N34" s="393"/>
      <c r="O34" s="401">
        <f>L34+M34</f>
        <v>6652.6091092490005</v>
      </c>
      <c r="P34" s="1185"/>
      <c r="Q34" s="899">
        <f>Q36+Q59</f>
        <v>0</v>
      </c>
    </row>
    <row r="35" spans="1:17" s="64" customFormat="1" ht="13.5" customHeight="1">
      <c r="A35" s="166"/>
      <c r="B35" s="63" t="s">
        <v>36</v>
      </c>
      <c r="C35" s="74"/>
      <c r="D35" s="74"/>
      <c r="E35" s="309"/>
      <c r="F35" s="372"/>
      <c r="G35" s="372"/>
      <c r="H35" s="318"/>
      <c r="I35" s="372"/>
      <c r="J35" s="1144"/>
      <c r="K35" s="1159"/>
      <c r="L35" s="1159"/>
      <c r="M35" s="1200"/>
      <c r="N35" s="393" t="e">
        <f>H35*$N$69/$Q$69</f>
        <v>#DIV/0!</v>
      </c>
      <c r="O35" s="401"/>
      <c r="P35" s="1185"/>
      <c r="Q35" s="899"/>
    </row>
    <row r="36" spans="1:17" s="64" customFormat="1" ht="13.5" customHeight="1">
      <c r="A36" s="166" t="s">
        <v>493</v>
      </c>
      <c r="B36" s="63" t="s">
        <v>38</v>
      </c>
      <c r="C36" s="74">
        <v>669</v>
      </c>
      <c r="D36" s="74">
        <v>661</v>
      </c>
      <c r="E36" s="309"/>
      <c r="F36" s="376">
        <v>60</v>
      </c>
      <c r="G36" s="376">
        <v>162.57598999999999</v>
      </c>
      <c r="H36" s="448"/>
      <c r="I36" s="376">
        <v>55</v>
      </c>
      <c r="J36" s="1142"/>
      <c r="K36" s="1159">
        <f>5*12+14.3*12+14.465*12</f>
        <v>405.18</v>
      </c>
      <c r="L36" s="1159">
        <f>O36/2</f>
        <v>202.59</v>
      </c>
      <c r="M36" s="1171">
        <f>O36/2</f>
        <v>202.59</v>
      </c>
      <c r="N36" s="1279"/>
      <c r="O36" s="401">
        <f>K36</f>
        <v>405.18</v>
      </c>
      <c r="P36" s="1185"/>
      <c r="Q36" s="899"/>
    </row>
    <row r="37" spans="1:17" s="64" customFormat="1" ht="13.5" customHeight="1">
      <c r="A37" s="168" t="s">
        <v>494</v>
      </c>
      <c r="B37" s="65" t="s">
        <v>361</v>
      </c>
      <c r="C37" s="76"/>
      <c r="D37" s="76"/>
      <c r="E37" s="311"/>
      <c r="F37" s="377">
        <v>16</v>
      </c>
      <c r="G37" s="377">
        <v>17.494789999999998</v>
      </c>
      <c r="H37" s="449"/>
      <c r="I37" s="377">
        <v>20</v>
      </c>
      <c r="J37" s="450"/>
      <c r="K37" s="1163">
        <f>G37</f>
        <v>17.494789999999998</v>
      </c>
      <c r="L37" s="1259">
        <f>O37*0.5</f>
        <v>9.2984808849999983</v>
      </c>
      <c r="M37" s="1280">
        <f>O37*0.5</f>
        <v>9.2984808849999983</v>
      </c>
      <c r="N37" s="1279"/>
      <c r="O37" s="948">
        <f>K37*1.063</f>
        <v>18.596961769999997</v>
      </c>
      <c r="P37" s="1185"/>
      <c r="Q37" s="899"/>
    </row>
    <row r="38" spans="1:17" s="64" customFormat="1" ht="13.5" customHeight="1">
      <c r="A38" s="168" t="s">
        <v>495</v>
      </c>
      <c r="B38" s="65" t="s">
        <v>366</v>
      </c>
      <c r="C38" s="76"/>
      <c r="D38" s="76"/>
      <c r="E38" s="311"/>
      <c r="F38" s="377">
        <v>4</v>
      </c>
      <c r="G38" s="377">
        <v>0</v>
      </c>
      <c r="H38" s="449"/>
      <c r="I38" s="377"/>
      <c r="J38" s="450"/>
      <c r="K38" s="1159">
        <f>G38</f>
        <v>0</v>
      </c>
      <c r="L38" s="1259">
        <f>O38*0.5</f>
        <v>0</v>
      </c>
      <c r="M38" s="1280">
        <f>O38*0.5</f>
        <v>0</v>
      </c>
      <c r="N38" s="1279"/>
      <c r="O38" s="948">
        <f>K38</f>
        <v>0</v>
      </c>
      <c r="P38" s="1185"/>
      <c r="Q38" s="899"/>
    </row>
    <row r="39" spans="1:17" s="64" customFormat="1">
      <c r="A39" s="168" t="s">
        <v>496</v>
      </c>
      <c r="B39" s="65" t="s">
        <v>369</v>
      </c>
      <c r="C39" s="76"/>
      <c r="D39" s="76"/>
      <c r="E39" s="311"/>
      <c r="F39" s="378">
        <v>1440.4</v>
      </c>
      <c r="G39" s="377">
        <v>983.88599999999997</v>
      </c>
      <c r="H39" s="449"/>
      <c r="I39" s="378">
        <v>219.5</v>
      </c>
      <c r="J39" s="450"/>
      <c r="K39" s="1163">
        <f>G39</f>
        <v>983.88599999999997</v>
      </c>
      <c r="L39" s="1163">
        <f>O39*0.5</f>
        <v>491.94299999999998</v>
      </c>
      <c r="M39" s="1171">
        <f>O39*0.5</f>
        <v>491.94299999999998</v>
      </c>
      <c r="N39" s="1279"/>
      <c r="O39" s="401">
        <f>K39</f>
        <v>983.88599999999997</v>
      </c>
      <c r="P39" s="1185"/>
      <c r="Q39" s="899"/>
    </row>
    <row r="40" spans="1:17" s="64" customFormat="1">
      <c r="A40" s="168" t="s">
        <v>497</v>
      </c>
      <c r="B40" s="65" t="s">
        <v>376</v>
      </c>
      <c r="C40" s="76"/>
      <c r="D40" s="76"/>
      <c r="E40" s="311"/>
      <c r="F40" s="378">
        <f>SUM(F42:F59)</f>
        <v>22.1</v>
      </c>
      <c r="G40" s="378">
        <f>SUM(G42:G59)</f>
        <v>3463.4705199999999</v>
      </c>
      <c r="H40" s="449"/>
      <c r="I40" s="378">
        <f>SUM(I42:I59)</f>
        <v>51.9</v>
      </c>
      <c r="J40" s="450"/>
      <c r="K40" s="1163">
        <f>SUM(K42:K59)</f>
        <v>3441.2748329999999</v>
      </c>
      <c r="L40" s="1163">
        <f>SUM(L42:L59)</f>
        <v>2622.4730737395003</v>
      </c>
      <c r="M40" s="1163">
        <f>SUM(M42:M59)</f>
        <v>2622.4730737395003</v>
      </c>
      <c r="N40" s="1279"/>
      <c r="O40" s="401">
        <f>L40+M40</f>
        <v>5244.9461474790005</v>
      </c>
      <c r="P40" s="1185"/>
      <c r="Q40" s="899"/>
    </row>
    <row r="41" spans="1:17" s="64" customFormat="1">
      <c r="A41" s="168"/>
      <c r="B41" s="65" t="s">
        <v>216</v>
      </c>
      <c r="C41" s="76"/>
      <c r="D41" s="76"/>
      <c r="E41" s="311"/>
      <c r="F41" s="377"/>
      <c r="G41" s="377"/>
      <c r="H41" s="449"/>
      <c r="I41" s="377"/>
      <c r="J41" s="450"/>
      <c r="K41" s="1163"/>
      <c r="L41" s="1163"/>
      <c r="M41" s="1171"/>
      <c r="N41" s="1279"/>
      <c r="O41" s="401"/>
      <c r="P41" s="1185"/>
      <c r="Q41" s="899"/>
    </row>
    <row r="42" spans="1:17" s="64" customFormat="1">
      <c r="A42" s="168"/>
      <c r="B42" s="65" t="s">
        <v>465</v>
      </c>
      <c r="C42" s="76"/>
      <c r="D42" s="76"/>
      <c r="E42" s="311"/>
      <c r="F42" s="377">
        <v>0</v>
      </c>
      <c r="G42" s="377">
        <v>3.23855</v>
      </c>
      <c r="H42" s="449"/>
      <c r="I42" s="377"/>
      <c r="J42" s="450"/>
      <c r="K42" s="1181">
        <f>G42*1.06</f>
        <v>3.4328630000000002</v>
      </c>
      <c r="L42" s="1181">
        <f>O42/2</f>
        <v>1.8245666844999999</v>
      </c>
      <c r="M42" s="1268">
        <f>O42/2</f>
        <v>1.8245666844999999</v>
      </c>
      <c r="N42" s="1279"/>
      <c r="O42" s="401">
        <f>K42*1.063</f>
        <v>3.6491333689999998</v>
      </c>
      <c r="P42" s="1185"/>
      <c r="Q42" s="899"/>
    </row>
    <row r="43" spans="1:17" s="64" customFormat="1">
      <c r="A43" s="168"/>
      <c r="B43" s="65" t="s">
        <v>363</v>
      </c>
      <c r="C43" s="76"/>
      <c r="D43" s="76"/>
      <c r="E43" s="311"/>
      <c r="F43" s="377">
        <v>0</v>
      </c>
      <c r="G43" s="377">
        <v>21.117999999999999</v>
      </c>
      <c r="H43" s="449"/>
      <c r="I43" s="377">
        <v>0.9</v>
      </c>
      <c r="J43" s="450"/>
      <c r="K43" s="1163">
        <f t="shared" ref="K43:K48" si="1">G43</f>
        <v>21.117999999999999</v>
      </c>
      <c r="L43" s="1181">
        <f>O43*0.5</f>
        <v>11.224216999999999</v>
      </c>
      <c r="M43" s="1181">
        <f>O43*0.5</f>
        <v>11.224216999999999</v>
      </c>
      <c r="N43" s="1279"/>
      <c r="O43" s="401">
        <f>K43*1.063</f>
        <v>22.448433999999999</v>
      </c>
      <c r="P43" s="1185"/>
      <c r="Q43" s="899"/>
    </row>
    <row r="44" spans="1:17" s="64" customFormat="1" hidden="1">
      <c r="A44" s="168"/>
      <c r="B44" s="65" t="s">
        <v>364</v>
      </c>
      <c r="C44" s="76"/>
      <c r="D44" s="76"/>
      <c r="E44" s="311"/>
      <c r="F44" s="377">
        <v>0</v>
      </c>
      <c r="G44" s="377">
        <v>0</v>
      </c>
      <c r="H44" s="449"/>
      <c r="I44" s="377"/>
      <c r="J44" s="450"/>
      <c r="K44" s="1181">
        <f t="shared" si="1"/>
        <v>0</v>
      </c>
      <c r="L44" s="1181">
        <f t="shared" ref="L44:L49" si="2">O44/2</f>
        <v>0</v>
      </c>
      <c r="M44" s="1181">
        <f t="shared" ref="M44:M49" si="3">O44/2</f>
        <v>0</v>
      </c>
      <c r="N44" s="1279"/>
      <c r="O44" s="401">
        <f>K44*1.065</f>
        <v>0</v>
      </c>
      <c r="P44" s="1185"/>
      <c r="Q44" s="899"/>
    </row>
    <row r="45" spans="1:17" s="64" customFormat="1" hidden="1">
      <c r="A45" s="168"/>
      <c r="B45" s="65" t="s">
        <v>422</v>
      </c>
      <c r="C45" s="76"/>
      <c r="D45" s="76"/>
      <c r="E45" s="311"/>
      <c r="F45" s="377"/>
      <c r="G45" s="377">
        <v>0</v>
      </c>
      <c r="H45" s="449"/>
      <c r="I45" s="377"/>
      <c r="J45" s="450"/>
      <c r="K45" s="1181">
        <f t="shared" si="1"/>
        <v>0</v>
      </c>
      <c r="L45" s="1259">
        <f t="shared" si="2"/>
        <v>0</v>
      </c>
      <c r="M45" s="1259">
        <f t="shared" si="3"/>
        <v>0</v>
      </c>
      <c r="N45" s="1281"/>
      <c r="O45" s="1269">
        <f>K45*1.025</f>
        <v>0</v>
      </c>
      <c r="P45" s="1185"/>
      <c r="Q45" s="899"/>
    </row>
    <row r="46" spans="1:17" s="64" customFormat="1">
      <c r="A46" s="168"/>
      <c r="B46" s="65" t="s">
        <v>423</v>
      </c>
      <c r="C46" s="76"/>
      <c r="D46" s="76"/>
      <c r="E46" s="311"/>
      <c r="F46" s="377">
        <v>8.6</v>
      </c>
      <c r="G46" s="377">
        <v>0.45</v>
      </c>
      <c r="H46" s="449"/>
      <c r="I46" s="377">
        <v>10</v>
      </c>
      <c r="J46" s="450"/>
      <c r="K46" s="1181">
        <f t="shared" si="1"/>
        <v>0.45</v>
      </c>
      <c r="L46" s="1181">
        <f t="shared" si="2"/>
        <v>0.239175</v>
      </c>
      <c r="M46" s="1181">
        <f t="shared" si="3"/>
        <v>0.239175</v>
      </c>
      <c r="N46" s="1279"/>
      <c r="O46" s="1269">
        <f>K46*1.063</f>
        <v>0.47835</v>
      </c>
      <c r="P46" s="1185"/>
      <c r="Q46" s="899"/>
    </row>
    <row r="47" spans="1:17" s="64" customFormat="1" ht="26.4">
      <c r="A47" s="168"/>
      <c r="B47" s="65" t="s">
        <v>427</v>
      </c>
      <c r="C47" s="76"/>
      <c r="D47" s="76"/>
      <c r="E47" s="311"/>
      <c r="F47" s="377">
        <v>2.6</v>
      </c>
      <c r="G47" s="377">
        <v>0</v>
      </c>
      <c r="H47" s="449"/>
      <c r="I47" s="377">
        <v>3</v>
      </c>
      <c r="J47" s="450"/>
      <c r="K47" s="1181">
        <f t="shared" si="1"/>
        <v>0</v>
      </c>
      <c r="L47" s="1181">
        <f t="shared" si="2"/>
        <v>0</v>
      </c>
      <c r="M47" s="1181">
        <f t="shared" si="3"/>
        <v>0</v>
      </c>
      <c r="N47" s="1279"/>
      <c r="O47" s="401">
        <f>K47*1.063</f>
        <v>0</v>
      </c>
      <c r="P47" s="1185"/>
      <c r="Q47" s="899"/>
    </row>
    <row r="48" spans="1:17" s="64" customFormat="1">
      <c r="A48" s="168"/>
      <c r="B48" s="65" t="s">
        <v>463</v>
      </c>
      <c r="C48" s="76"/>
      <c r="D48" s="76"/>
      <c r="E48" s="311"/>
      <c r="F48" s="377">
        <v>1.9</v>
      </c>
      <c r="G48" s="377">
        <v>3.2139700000000002</v>
      </c>
      <c r="H48" s="449"/>
      <c r="I48" s="377">
        <v>28</v>
      </c>
      <c r="J48" s="450"/>
      <c r="K48" s="1181">
        <f t="shared" si="1"/>
        <v>3.2139700000000002</v>
      </c>
      <c r="L48" s="1181">
        <f t="shared" si="2"/>
        <v>1.708225055</v>
      </c>
      <c r="M48" s="1181">
        <f t="shared" si="3"/>
        <v>1.708225055</v>
      </c>
      <c r="N48" s="1279"/>
      <c r="O48" s="948">
        <f>K48*1.063</f>
        <v>3.41645011</v>
      </c>
      <c r="P48" s="1185"/>
      <c r="Q48" s="899"/>
    </row>
    <row r="49" spans="1:17" s="64" customFormat="1">
      <c r="A49" s="168"/>
      <c r="B49" s="65" t="s">
        <v>425</v>
      </c>
      <c r="C49" s="76"/>
      <c r="D49" s="76"/>
      <c r="E49" s="311"/>
      <c r="F49" s="377">
        <v>9</v>
      </c>
      <c r="G49" s="377">
        <v>10.45</v>
      </c>
      <c r="H49" s="449"/>
      <c r="I49" s="377">
        <v>10</v>
      </c>
      <c r="J49" s="450"/>
      <c r="K49" s="1181">
        <f>(1005*12)/1000</f>
        <v>12.06</v>
      </c>
      <c r="L49" s="1181">
        <f t="shared" si="2"/>
        <v>6.4098899999999999</v>
      </c>
      <c r="M49" s="1181">
        <f t="shared" si="3"/>
        <v>6.4098899999999999</v>
      </c>
      <c r="N49" s="1279"/>
      <c r="O49" s="948">
        <f>K49*1.063</f>
        <v>12.81978</v>
      </c>
      <c r="P49" s="1185"/>
      <c r="Q49" s="899"/>
    </row>
    <row r="50" spans="1:17" s="64" customFormat="1">
      <c r="A50" s="168"/>
      <c r="B50" s="65" t="s">
        <v>438</v>
      </c>
      <c r="C50" s="76"/>
      <c r="D50" s="76"/>
      <c r="E50" s="311"/>
      <c r="F50" s="377"/>
      <c r="G50" s="377">
        <v>24</v>
      </c>
      <c r="H50" s="449"/>
      <c r="I50" s="377"/>
      <c r="J50" s="450"/>
      <c r="K50" s="1181"/>
      <c r="L50" s="1181"/>
      <c r="M50" s="1181"/>
      <c r="N50" s="1279"/>
      <c r="O50" s="948"/>
      <c r="P50" s="1185"/>
      <c r="Q50" s="899"/>
    </row>
    <row r="51" spans="1:17" s="64" customFormat="1" ht="24" customHeight="1">
      <c r="A51" s="168"/>
      <c r="B51" s="65" t="s">
        <v>483</v>
      </c>
      <c r="C51" s="76"/>
      <c r="D51" s="76"/>
      <c r="E51" s="311"/>
      <c r="F51" s="377"/>
      <c r="G51" s="377"/>
      <c r="H51" s="449"/>
      <c r="I51" s="377"/>
      <c r="J51" s="450"/>
      <c r="K51" s="1171"/>
      <c r="L51" s="1163">
        <v>750</v>
      </c>
      <c r="M51" s="1163">
        <v>750</v>
      </c>
      <c r="N51" s="1279"/>
      <c r="O51" s="401">
        <f>M51+L51</f>
        <v>1500</v>
      </c>
      <c r="P51" s="1185"/>
      <c r="Q51" s="899"/>
    </row>
    <row r="52" spans="1:17" s="64" customFormat="1" ht="26.4">
      <c r="A52" s="168"/>
      <c r="B52" s="65" t="s">
        <v>492</v>
      </c>
      <c r="C52" s="76"/>
      <c r="D52" s="76"/>
      <c r="E52" s="311"/>
      <c r="F52" s="377"/>
      <c r="G52" s="377"/>
      <c r="H52" s="449"/>
      <c r="I52" s="377"/>
      <c r="J52" s="450"/>
      <c r="K52" s="1163"/>
      <c r="L52" s="1163">
        <v>150</v>
      </c>
      <c r="M52" s="1171">
        <v>150</v>
      </c>
      <c r="N52" s="1279"/>
      <c r="O52" s="401">
        <f>M52+L52</f>
        <v>300</v>
      </c>
      <c r="P52" s="1185"/>
      <c r="Q52" s="899"/>
    </row>
    <row r="53" spans="1:17" s="64" customFormat="1" ht="39.6" hidden="1">
      <c r="A53" s="168"/>
      <c r="B53" s="65" t="s">
        <v>437</v>
      </c>
      <c r="C53" s="76"/>
      <c r="D53" s="76"/>
      <c r="E53" s="311"/>
      <c r="F53" s="377"/>
      <c r="G53" s="377"/>
      <c r="H53" s="449"/>
      <c r="I53" s="377"/>
      <c r="J53" s="450"/>
      <c r="K53" s="1159"/>
      <c r="L53" s="1163">
        <f>O53/2</f>
        <v>0</v>
      </c>
      <c r="M53" s="1171">
        <f>O53/2</f>
        <v>0</v>
      </c>
      <c r="N53" s="1279"/>
      <c r="O53" s="401">
        <f>G53</f>
        <v>0</v>
      </c>
      <c r="P53" s="1185"/>
      <c r="Q53" s="899"/>
    </row>
    <row r="54" spans="1:17" s="64" customFormat="1" ht="24" hidden="1" customHeight="1">
      <c r="A54" s="168"/>
      <c r="B54" s="65" t="s">
        <v>367</v>
      </c>
      <c r="C54" s="76"/>
      <c r="D54" s="76"/>
      <c r="E54" s="311"/>
      <c r="F54" s="377"/>
      <c r="G54" s="377"/>
      <c r="H54" s="449"/>
      <c r="I54" s="377"/>
      <c r="J54" s="450"/>
      <c r="K54" s="1163"/>
      <c r="L54" s="1163"/>
      <c r="M54" s="1171">
        <f>L54+K54</f>
        <v>0</v>
      </c>
      <c r="N54" s="1279"/>
      <c r="O54" s="401"/>
      <c r="P54" s="1185"/>
      <c r="Q54" s="899"/>
    </row>
    <row r="55" spans="1:17" s="64" customFormat="1" ht="13.2" customHeight="1">
      <c r="A55" s="168"/>
      <c r="B55" s="65" t="s">
        <v>464</v>
      </c>
      <c r="C55" s="76"/>
      <c r="D55" s="76"/>
      <c r="E55" s="311"/>
      <c r="F55" s="377"/>
      <c r="G55" s="377">
        <v>18</v>
      </c>
      <c r="H55" s="449"/>
      <c r="I55" s="377"/>
      <c r="J55" s="450"/>
      <c r="K55" s="1163">
        <f>G55</f>
        <v>18</v>
      </c>
      <c r="L55" s="1181">
        <f>O55/2</f>
        <v>9.5670000000000002</v>
      </c>
      <c r="M55" s="1689">
        <f>O55/2</f>
        <v>9.5670000000000002</v>
      </c>
      <c r="N55" s="1279"/>
      <c r="O55" s="401">
        <f>K55*1.063</f>
        <v>19.134</v>
      </c>
      <c r="P55" s="1185"/>
      <c r="Q55" s="899"/>
    </row>
    <row r="56" spans="1:17" s="64" customFormat="1" ht="13.95" customHeight="1" thickBot="1">
      <c r="A56" s="168"/>
      <c r="B56" s="65" t="s">
        <v>368</v>
      </c>
      <c r="C56" s="76"/>
      <c r="D56" s="76"/>
      <c r="E56" s="311"/>
      <c r="F56" s="378">
        <v>0</v>
      </c>
      <c r="G56" s="377">
        <v>3383</v>
      </c>
      <c r="H56" s="449"/>
      <c r="I56" s="378"/>
      <c r="J56" s="450"/>
      <c r="K56" s="1163">
        <f>G56</f>
        <v>3383</v>
      </c>
      <c r="L56" s="1163">
        <f>O56/2</f>
        <v>1691.5</v>
      </c>
      <c r="M56" s="1163">
        <f>O56/2</f>
        <v>1691.5</v>
      </c>
      <c r="N56" s="1279"/>
      <c r="O56" s="401">
        <f>K56</f>
        <v>3383</v>
      </c>
      <c r="P56" s="1185"/>
      <c r="Q56" s="899"/>
    </row>
    <row r="57" spans="1:17" s="64" customFormat="1" ht="24" hidden="1" customHeight="1" thickBot="1">
      <c r="A57" s="166"/>
      <c r="B57" s="63" t="s">
        <v>375</v>
      </c>
      <c r="C57" s="74"/>
      <c r="D57" s="74"/>
      <c r="E57" s="309"/>
      <c r="F57" s="372">
        <v>0</v>
      </c>
      <c r="G57" s="376">
        <v>0</v>
      </c>
      <c r="H57" s="448"/>
      <c r="I57" s="372">
        <v>0</v>
      </c>
      <c r="J57" s="1142"/>
      <c r="K57" s="1159">
        <v>0</v>
      </c>
      <c r="L57" s="1159">
        <f>O57/2</f>
        <v>0</v>
      </c>
      <c r="M57" s="1171">
        <f>O57/2</f>
        <v>0</v>
      </c>
      <c r="N57" s="1279"/>
      <c r="O57" s="401">
        <f>K57*1.025</f>
        <v>0</v>
      </c>
      <c r="P57" s="1185"/>
      <c r="Q57" s="899"/>
    </row>
    <row r="58" spans="1:17" s="64" customFormat="1" hidden="1">
      <c r="A58" s="421"/>
      <c r="B58" s="328"/>
      <c r="C58" s="422"/>
      <c r="D58" s="422"/>
      <c r="E58" s="423"/>
      <c r="F58" s="452"/>
      <c r="G58" s="978"/>
      <c r="H58" s="451"/>
      <c r="I58" s="452"/>
      <c r="J58" s="1148"/>
      <c r="K58" s="1164"/>
      <c r="L58" s="1164"/>
      <c r="M58" s="1171">
        <f>L58+K58</f>
        <v>0</v>
      </c>
      <c r="N58" s="393"/>
      <c r="O58" s="401"/>
      <c r="P58" s="1185"/>
      <c r="Q58" s="899"/>
    </row>
    <row r="59" spans="1:17" s="64" customFormat="1" ht="13.8" hidden="1" thickBot="1">
      <c r="A59" s="168"/>
      <c r="B59" s="65" t="s">
        <v>434</v>
      </c>
      <c r="C59" s="76">
        <v>242</v>
      </c>
      <c r="D59" s="76">
        <v>211</v>
      </c>
      <c r="E59" s="311"/>
      <c r="F59" s="378"/>
      <c r="G59" s="378"/>
      <c r="H59" s="321"/>
      <c r="I59" s="378"/>
      <c r="J59" s="385"/>
      <c r="K59" s="1165"/>
      <c r="L59" s="1163"/>
      <c r="M59" s="1171"/>
      <c r="N59" s="393"/>
      <c r="O59" s="1202"/>
      <c r="P59" s="1185"/>
      <c r="Q59" s="899"/>
    </row>
    <row r="60" spans="1:17" s="68" customFormat="1" ht="19.5" customHeight="1" thickBot="1">
      <c r="A60" s="66" t="s">
        <v>39</v>
      </c>
      <c r="B60" s="67" t="s">
        <v>53</v>
      </c>
      <c r="C60" s="77">
        <v>6249</v>
      </c>
      <c r="D60" s="77">
        <f>D8+D10+D12+D13+D16+D22+D24+D25</f>
        <v>8358.3393949999991</v>
      </c>
      <c r="E60" s="312"/>
      <c r="F60" s="379">
        <v>9024</v>
      </c>
      <c r="G60" s="379">
        <f>G7+G8+G10+G12+G13+G16+G22+G24+G25</f>
        <v>9777.481789999998</v>
      </c>
      <c r="H60" s="322"/>
      <c r="I60" s="379">
        <f>I7+I8+I10+I12+I13+I16+I22+I24+I25+1</f>
        <v>6683.5</v>
      </c>
      <c r="J60" s="386"/>
      <c r="K60" s="1166">
        <f>K7+K8+K10+K12+K13+K16+K22+K24+K25</f>
        <v>11494.470441599999</v>
      </c>
      <c r="L60" s="1166">
        <f>L7+L8+L10+L12+L13+L16+L22+L24+L25</f>
        <v>5229.4208005432783</v>
      </c>
      <c r="M60" s="1166">
        <f>M7+M8+M10+M12+M13+M16+M22+M24+M25</f>
        <v>5229.4208005432783</v>
      </c>
      <c r="N60" s="950" t="e">
        <f>N8+N10+N12+N13+N16+N22+N24+N25</f>
        <v>#DIV/0!</v>
      </c>
      <c r="O60" s="951">
        <f>L60+M60</f>
        <v>10458.841601086557</v>
      </c>
      <c r="P60" s="950"/>
      <c r="Q60" s="902">
        <f>Q8+Q10+Q12+Q13+Q16+Q22+Q24+Q25</f>
        <v>0</v>
      </c>
    </row>
    <row r="61" spans="1:17" s="347" customFormat="1" ht="31.5" hidden="1" customHeight="1">
      <c r="A61" s="348"/>
      <c r="B61" s="349" t="s">
        <v>7</v>
      </c>
      <c r="C61" s="350"/>
      <c r="D61" s="350"/>
      <c r="E61" s="351"/>
      <c r="F61" s="380"/>
      <c r="G61" s="380"/>
      <c r="H61" s="352"/>
      <c r="I61" s="380"/>
      <c r="J61" s="1149"/>
      <c r="K61" s="1167"/>
      <c r="L61" s="1167"/>
      <c r="M61" s="1203"/>
      <c r="N61" s="394"/>
      <c r="O61" s="403"/>
      <c r="P61" s="1187"/>
      <c r="Q61" s="903"/>
    </row>
    <row r="62" spans="1:17" s="347" customFormat="1" ht="30" customHeight="1">
      <c r="A62" s="167" t="s">
        <v>40</v>
      </c>
      <c r="B62" s="62" t="s">
        <v>57</v>
      </c>
      <c r="C62" s="73"/>
      <c r="D62" s="73">
        <v>519</v>
      </c>
      <c r="E62" s="344"/>
      <c r="F62" s="1014">
        <v>4277</v>
      </c>
      <c r="G62" s="1014"/>
      <c r="H62" s="1015"/>
      <c r="I62" s="1014">
        <v>1378</v>
      </c>
      <c r="J62" s="1150"/>
      <c r="K62" s="1168"/>
      <c r="L62" s="1168"/>
      <c r="M62" s="1204"/>
      <c r="N62" s="1017"/>
      <c r="O62" s="1016"/>
      <c r="P62" s="1188"/>
      <c r="Q62" s="900"/>
    </row>
    <row r="63" spans="1:17" s="347" customFormat="1" ht="33.75" customHeight="1" thickBot="1">
      <c r="A63" s="169" t="s">
        <v>41</v>
      </c>
      <c r="B63" s="69" t="s">
        <v>58</v>
      </c>
      <c r="C63" s="78"/>
      <c r="D63" s="78"/>
      <c r="E63" s="353"/>
      <c r="F63" s="1018">
        <v>9140</v>
      </c>
      <c r="G63" s="1018"/>
      <c r="H63" s="1019"/>
      <c r="I63" s="1018">
        <v>1533</v>
      </c>
      <c r="J63" s="1020"/>
      <c r="K63" s="1169"/>
      <c r="L63" s="1169"/>
      <c r="M63" s="1205"/>
      <c r="N63" s="1021"/>
      <c r="O63" s="1206"/>
      <c r="P63" s="1189"/>
      <c r="Q63" s="904"/>
    </row>
    <row r="64" spans="1:17" s="72" customFormat="1" ht="30.75" customHeight="1" thickBot="1">
      <c r="A64" s="70" t="s">
        <v>42</v>
      </c>
      <c r="B64" s="71" t="s">
        <v>54</v>
      </c>
      <c r="C64" s="79">
        <v>6249</v>
      </c>
      <c r="D64" s="79">
        <f>D60+D62</f>
        <v>8877.3393949999991</v>
      </c>
      <c r="E64" s="313"/>
      <c r="F64" s="381">
        <v>4162</v>
      </c>
      <c r="G64" s="381">
        <f>G60</f>
        <v>9777.481789999998</v>
      </c>
      <c r="H64" s="323"/>
      <c r="I64" s="381">
        <f>I60+I62-I63</f>
        <v>6528.5</v>
      </c>
      <c r="J64" s="387"/>
      <c r="K64" s="381">
        <f>K60+K62-K63</f>
        <v>11494.470441599999</v>
      </c>
      <c r="L64" s="381">
        <f>L60+L62-L63</f>
        <v>5229.4208005432783</v>
      </c>
      <c r="M64" s="381">
        <f>M60+M62-M63</f>
        <v>5229.4208005432783</v>
      </c>
      <c r="N64" s="396" t="e">
        <f>N60+N62</f>
        <v>#DIV/0!</v>
      </c>
      <c r="O64" s="381">
        <f>O60+O62-O63</f>
        <v>10458.841601086557</v>
      </c>
      <c r="P64" s="1190"/>
      <c r="Q64" s="905">
        <f>Q60+Q62-Q63</f>
        <v>0</v>
      </c>
    </row>
    <row r="65" spans="1:17" s="347" customFormat="1" ht="13.5" customHeight="1">
      <c r="A65" s="348"/>
      <c r="B65" s="349" t="s">
        <v>43</v>
      </c>
      <c r="C65" s="350"/>
      <c r="D65" s="350"/>
      <c r="E65" s="351"/>
      <c r="F65" s="380"/>
      <c r="G65" s="380"/>
      <c r="H65" s="352"/>
      <c r="I65" s="380"/>
      <c r="J65" s="1149"/>
      <c r="K65" s="1167"/>
      <c r="L65" s="1167"/>
      <c r="M65" s="1203"/>
      <c r="N65" s="394"/>
      <c r="O65" s="403"/>
      <c r="P65" s="1187"/>
      <c r="Q65" s="903"/>
    </row>
    <row r="66" spans="1:17" s="347" customFormat="1" ht="13.5" customHeight="1" thickBot="1">
      <c r="A66" s="167" t="s">
        <v>44</v>
      </c>
      <c r="B66" s="62" t="s">
        <v>45</v>
      </c>
      <c r="C66" s="73"/>
      <c r="D66" s="73"/>
      <c r="E66" s="344"/>
      <c r="F66" s="373"/>
      <c r="G66" s="373"/>
      <c r="H66" s="345"/>
      <c r="I66" s="373"/>
      <c r="J66" s="1146"/>
      <c r="K66" s="1161"/>
      <c r="L66" s="1161"/>
      <c r="M66" s="1199"/>
      <c r="N66" s="395"/>
      <c r="O66" s="404"/>
      <c r="P66" s="1191"/>
      <c r="Q66" s="904"/>
    </row>
    <row r="67" spans="1:17" s="347" customFormat="1" ht="13.5" customHeight="1">
      <c r="A67" s="167" t="s">
        <v>46</v>
      </c>
      <c r="B67" s="62" t="s">
        <v>428</v>
      </c>
      <c r="C67" s="73">
        <v>6249</v>
      </c>
      <c r="D67" s="73">
        <f>D64</f>
        <v>8877.3393949999991</v>
      </c>
      <c r="E67" s="344"/>
      <c r="F67" s="373">
        <f>F64</f>
        <v>4162</v>
      </c>
      <c r="G67" s="373">
        <f>G64</f>
        <v>9777.481789999998</v>
      </c>
      <c r="H67" s="354"/>
      <c r="I67" s="373">
        <f>I64</f>
        <v>6528.5</v>
      </c>
      <c r="J67" s="1146"/>
      <c r="K67" s="1161">
        <f>K64</f>
        <v>11494.470441599999</v>
      </c>
      <c r="L67" s="1161">
        <f>L64</f>
        <v>5229.4208005432783</v>
      </c>
      <c r="M67" s="1161">
        <f>M64</f>
        <v>5229.4208005432783</v>
      </c>
      <c r="N67" s="397" t="e">
        <f>N64</f>
        <v>#DIV/0!</v>
      </c>
      <c r="O67" s="1207">
        <f>O64</f>
        <v>10458.841601086557</v>
      </c>
      <c r="P67" s="1192"/>
      <c r="Q67" s="906">
        <f>Q64</f>
        <v>0</v>
      </c>
    </row>
    <row r="68" spans="1:17" s="347" customFormat="1" ht="13.5" hidden="1" customHeight="1">
      <c r="A68" s="167" t="s">
        <v>48</v>
      </c>
      <c r="B68" s="62" t="s">
        <v>49</v>
      </c>
      <c r="C68" s="73"/>
      <c r="D68" s="73"/>
      <c r="E68" s="344"/>
      <c r="F68" s="373"/>
      <c r="G68" s="373"/>
      <c r="H68" s="345"/>
      <c r="I68" s="373"/>
      <c r="J68" s="1146"/>
      <c r="K68" s="1161"/>
      <c r="L68" s="1161"/>
      <c r="M68" s="1199"/>
      <c r="N68" s="392"/>
      <c r="O68" s="402"/>
      <c r="P68" s="1188"/>
      <c r="Q68" s="900"/>
    </row>
    <row r="69" spans="1:17" s="72" customFormat="1" ht="13.5" customHeight="1">
      <c r="A69" s="170">
        <v>14</v>
      </c>
      <c r="B69" s="101" t="s">
        <v>429</v>
      </c>
      <c r="C69" s="102">
        <v>3720</v>
      </c>
      <c r="D69" s="103">
        <f>'[4]1.2.2'!D20*1000</f>
        <v>4141.9999999999991</v>
      </c>
      <c r="E69" s="314"/>
      <c r="F69" s="382">
        <f>'1.2.2'!C21*1000</f>
        <v>11760</v>
      </c>
      <c r="G69" s="382">
        <f>'1.2.2'!D21*1000</f>
        <v>10675</v>
      </c>
      <c r="H69" s="317"/>
      <c r="I69" s="382">
        <v>11685</v>
      </c>
      <c r="J69" s="1151"/>
      <c r="K69" s="1171">
        <f>'1.2.2'!F21*1000</f>
        <v>8050.0000000000009</v>
      </c>
      <c r="L69" s="1171">
        <f>'1.2.2'!G21*1000</f>
        <v>4461</v>
      </c>
      <c r="M69" s="1171">
        <f>'1.2.2'!H21*1000</f>
        <v>4666</v>
      </c>
      <c r="N69" s="390">
        <f>'1.2.2'!L20*1000</f>
        <v>0</v>
      </c>
      <c r="O69" s="401">
        <f>'1.2.2'!I21*1000</f>
        <v>9126.9999999999982</v>
      </c>
      <c r="P69" s="1185"/>
      <c r="Q69" s="897">
        <f>'1.2.2'!O20*1000</f>
        <v>0</v>
      </c>
    </row>
    <row r="70" spans="1:17" s="72" customFormat="1" ht="13.5" customHeight="1">
      <c r="A70" s="945">
        <v>15</v>
      </c>
      <c r="B70" s="101" t="s">
        <v>419</v>
      </c>
      <c r="C70" s="102"/>
      <c r="D70" s="103"/>
      <c r="E70" s="944"/>
      <c r="F70" s="946">
        <f>F67/F69</f>
        <v>0.35391156462585033</v>
      </c>
      <c r="G70" s="946">
        <f>G67/G69</f>
        <v>0.91592335269320824</v>
      </c>
      <c r="H70" s="317"/>
      <c r="I70" s="946">
        <f>I67/I69</f>
        <v>0.55870774497218656</v>
      </c>
      <c r="J70" s="1151"/>
      <c r="K70" s="1172">
        <f>K67/K69</f>
        <v>1.4278845269068319</v>
      </c>
      <c r="L70" s="1172">
        <f>L67/L69</f>
        <v>1.1722530375573366</v>
      </c>
      <c r="M70" s="1172">
        <f>M67/M69</f>
        <v>1.1207502787276635</v>
      </c>
      <c r="N70" s="390"/>
      <c r="O70" s="946">
        <f>O67/O69</f>
        <v>1.1459232607742478</v>
      </c>
      <c r="P70" s="1185"/>
      <c r="Q70" s="897"/>
    </row>
    <row r="71" spans="1:17" s="347" customFormat="1" ht="13.5" customHeight="1">
      <c r="A71" s="355">
        <v>16</v>
      </c>
      <c r="B71" s="62" t="s">
        <v>61</v>
      </c>
      <c r="C71" s="346"/>
      <c r="D71" s="346"/>
      <c r="E71" s="344"/>
      <c r="F71" s="1318">
        <v>37.6</v>
      </c>
      <c r="G71" s="1001">
        <f>'1.21передача и сбыт'!D28</f>
        <v>62.5</v>
      </c>
      <c r="H71" s="1675"/>
      <c r="I71" s="1001">
        <v>0</v>
      </c>
      <c r="J71" s="1676"/>
      <c r="K71" s="1173">
        <f>'1.21передача и сбыт'!F28</f>
        <v>75</v>
      </c>
      <c r="L71" s="1173">
        <f>'1.21передача и сбыт'!G28</f>
        <v>16.245000000000001</v>
      </c>
      <c r="M71" s="1208">
        <f>'1.21передача и сбыт'!H28</f>
        <v>16.245000000000001</v>
      </c>
      <c r="N71" s="1677"/>
      <c r="O71" s="1022">
        <f>'1.21передача и сбыт'!I28</f>
        <v>32.470020000000005</v>
      </c>
      <c r="P71" s="1188"/>
      <c r="Q71" s="900"/>
    </row>
    <row r="72" spans="1:17" s="347" customFormat="1" ht="13.5" customHeight="1">
      <c r="A72" s="355">
        <v>17</v>
      </c>
      <c r="B72" s="62" t="s">
        <v>62</v>
      </c>
      <c r="C72" s="346">
        <f>C64+C71</f>
        <v>6249</v>
      </c>
      <c r="D72" s="346">
        <f>D64+D71</f>
        <v>8877.3393949999991</v>
      </c>
      <c r="E72" s="356"/>
      <c r="F72" s="1001">
        <f>F64+F71</f>
        <v>4199.6000000000004</v>
      </c>
      <c r="G72" s="373">
        <f>G64+G71</f>
        <v>9839.981789999998</v>
      </c>
      <c r="H72" s="354"/>
      <c r="I72" s="1001">
        <f>I64+I71</f>
        <v>6528.5</v>
      </c>
      <c r="J72" s="1146"/>
      <c r="K72" s="1161">
        <f>K64+K71</f>
        <v>11569.470441599999</v>
      </c>
      <c r="L72" s="1161">
        <f>L64+L71</f>
        <v>5245.6658005432782</v>
      </c>
      <c r="M72" s="1161">
        <f>M64+M71</f>
        <v>5245.6658005432782</v>
      </c>
      <c r="N72" s="398" t="e">
        <f>N64+N71</f>
        <v>#DIV/0!</v>
      </c>
      <c r="O72" s="1209">
        <f>O64+O71</f>
        <v>10491.311621086557</v>
      </c>
      <c r="P72" s="1193"/>
      <c r="Q72" s="907"/>
    </row>
    <row r="73" spans="1:17" s="357" customFormat="1" ht="28.5" customHeight="1">
      <c r="A73" s="947">
        <v>18</v>
      </c>
      <c r="B73" s="880" t="s">
        <v>420</v>
      </c>
      <c r="C73" s="881">
        <f>C72/C69</f>
        <v>1.6798387096774194</v>
      </c>
      <c r="D73" s="881">
        <f>D72/D69</f>
        <v>2.1432494917914053</v>
      </c>
      <c r="E73" s="881"/>
      <c r="F73" s="1002">
        <v>0.35699999999999998</v>
      </c>
      <c r="G73" s="1002">
        <f>G72/G69</f>
        <v>0.92177815362997639</v>
      </c>
      <c r="H73" s="998"/>
      <c r="I73" s="1002">
        <v>0.55900000000000005</v>
      </c>
      <c r="J73" s="1153"/>
      <c r="K73" s="1287">
        <f t="shared" ref="K73:Q73" si="4">K72/K69</f>
        <v>1.4372012970931674</v>
      </c>
      <c r="L73" s="1287">
        <f t="shared" si="4"/>
        <v>1.1758945977456352</v>
      </c>
      <c r="M73" s="1287">
        <f t="shared" si="4"/>
        <v>1.1242318475232058</v>
      </c>
      <c r="N73" s="1213" t="e">
        <f t="shared" si="4"/>
        <v>#DIV/0!</v>
      </c>
      <c r="O73" s="1002">
        <f t="shared" si="4"/>
        <v>1.1494808393871545</v>
      </c>
      <c r="P73" s="1194"/>
      <c r="Q73" s="908" t="e">
        <f t="shared" si="4"/>
        <v>#DIV/0!</v>
      </c>
    </row>
    <row r="74" spans="1:17" s="105" customFormat="1" ht="21" customHeight="1">
      <c r="A74" s="171">
        <v>19</v>
      </c>
      <c r="B74" s="104" t="s">
        <v>353</v>
      </c>
      <c r="C74" s="108">
        <f>C72-C76</f>
        <v>4880</v>
      </c>
      <c r="D74" s="108">
        <f>D72-D76</f>
        <v>7356.3393949999991</v>
      </c>
      <c r="E74" s="315"/>
      <c r="F74" s="371">
        <v>2082</v>
      </c>
      <c r="G74" s="371">
        <f>G72-G76</f>
        <v>9208.9377899999981</v>
      </c>
      <c r="H74" s="999"/>
      <c r="I74" s="371">
        <v>4251</v>
      </c>
      <c r="J74" s="1154"/>
      <c r="K74" s="1158">
        <f t="shared" ref="K74:Q74" si="5">K72-K76</f>
        <v>9424.6704415999993</v>
      </c>
      <c r="L74" s="1158">
        <f t="shared" si="5"/>
        <v>4997.4327765432781</v>
      </c>
      <c r="M74" s="1158">
        <f t="shared" si="5"/>
        <v>4997.4327765432781</v>
      </c>
      <c r="N74" s="1000" t="e">
        <f t="shared" si="5"/>
        <v>#DIV/0!</v>
      </c>
      <c r="O74" s="1288">
        <f t="shared" si="5"/>
        <v>9994.8455730865571</v>
      </c>
      <c r="P74" s="1193"/>
      <c r="Q74" s="909">
        <f t="shared" si="5"/>
        <v>0</v>
      </c>
    </row>
    <row r="75" spans="1:17" s="357" customFormat="1" ht="13.5" customHeight="1">
      <c r="A75" s="883">
        <v>20</v>
      </c>
      <c r="B75" s="880" t="s">
        <v>66</v>
      </c>
      <c r="C75" s="881">
        <f>C74/C69</f>
        <v>1.3118279569892473</v>
      </c>
      <c r="D75" s="881">
        <f>D74/D69</f>
        <v>1.7760355854659586</v>
      </c>
      <c r="E75" s="881"/>
      <c r="F75" s="1002">
        <f>F74/F69</f>
        <v>0.17704081632653063</v>
      </c>
      <c r="G75" s="882">
        <f>G74/G69</f>
        <v>0.86266396159250569</v>
      </c>
      <c r="H75" s="881"/>
      <c r="I75" s="1002">
        <f>I74/I69</f>
        <v>0.3637997432605905</v>
      </c>
      <c r="J75" s="1155"/>
      <c r="K75" s="1176">
        <f t="shared" ref="K75:Q75" si="6">K74/K69</f>
        <v>1.1707665144844719</v>
      </c>
      <c r="L75" s="1176">
        <f t="shared" si="6"/>
        <v>1.12024944553761</v>
      </c>
      <c r="M75" s="1176">
        <f t="shared" si="6"/>
        <v>1.0710314566102181</v>
      </c>
      <c r="N75" s="424" t="e">
        <f t="shared" si="6"/>
        <v>#DIV/0!</v>
      </c>
      <c r="O75" s="882">
        <f t="shared" si="6"/>
        <v>1.095085523511182</v>
      </c>
      <c r="P75" s="1194"/>
      <c r="Q75" s="910" t="e">
        <f t="shared" si="6"/>
        <v>#DIV/0!</v>
      </c>
    </row>
    <row r="76" spans="1:17" s="105" customFormat="1" ht="26.25" customHeight="1">
      <c r="A76" s="172">
        <v>21</v>
      </c>
      <c r="B76" s="106" t="s">
        <v>67</v>
      </c>
      <c r="C76" s="108">
        <v>1369</v>
      </c>
      <c r="D76" s="108">
        <v>1521</v>
      </c>
      <c r="E76" s="315"/>
      <c r="F76" s="371">
        <f>F13</f>
        <v>2118</v>
      </c>
      <c r="G76" s="371">
        <f>G13</f>
        <v>631.04399999999998</v>
      </c>
      <c r="H76" s="315"/>
      <c r="I76" s="371">
        <f>I13</f>
        <v>2278</v>
      </c>
      <c r="J76" s="1145"/>
      <c r="K76" s="1158">
        <f t="shared" ref="K76:Q76" si="7">K13</f>
        <v>2144.8000000000002</v>
      </c>
      <c r="L76" s="1158">
        <f t="shared" si="7"/>
        <v>248.233024</v>
      </c>
      <c r="M76" s="1158">
        <f t="shared" si="7"/>
        <v>248.233024</v>
      </c>
      <c r="N76" s="399">
        <f t="shared" si="7"/>
        <v>0</v>
      </c>
      <c r="O76" s="1211">
        <f t="shared" si="7"/>
        <v>496.466048</v>
      </c>
      <c r="P76" s="1195"/>
      <c r="Q76" s="911">
        <f t="shared" si="7"/>
        <v>0</v>
      </c>
    </row>
    <row r="77" spans="1:17" s="357" customFormat="1" ht="13.5" customHeight="1" thickBot="1">
      <c r="A77" s="884">
        <v>22</v>
      </c>
      <c r="B77" s="885" t="s">
        <v>68</v>
      </c>
      <c r="C77" s="886">
        <v>0.37</v>
      </c>
      <c r="D77" s="886">
        <f>D13/D69</f>
        <v>0.36720344640270408</v>
      </c>
      <c r="E77" s="886"/>
      <c r="F77" s="1003">
        <v>0.18</v>
      </c>
      <c r="G77" s="888">
        <f>G13/G69</f>
        <v>5.9114192037470724E-2</v>
      </c>
      <c r="H77" s="887"/>
      <c r="I77" s="1315">
        <v>0.19500000000000001</v>
      </c>
      <c r="J77" s="1156"/>
      <c r="K77" s="1177">
        <f t="shared" ref="K77:Q77" si="8">K13/K69</f>
        <v>0.26643478260869563</v>
      </c>
      <c r="L77" s="1177">
        <f t="shared" si="8"/>
        <v>5.5645152208025107E-2</v>
      </c>
      <c r="M77" s="1177">
        <f t="shared" si="8"/>
        <v>5.3200390912987568E-2</v>
      </c>
      <c r="N77" s="425" t="e">
        <f t="shared" si="8"/>
        <v>#DIV/0!</v>
      </c>
      <c r="O77" s="888">
        <f t="shared" si="8"/>
        <v>5.4395315875972398E-2</v>
      </c>
      <c r="P77" s="1196"/>
      <c r="Q77" s="912" t="e">
        <f t="shared" si="8"/>
        <v>#DIV/0!</v>
      </c>
    </row>
    <row r="78" spans="1:17"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</row>
    <row r="80" spans="1:17" ht="15" customHeight="1">
      <c r="A80" s="110" t="s">
        <v>377</v>
      </c>
      <c r="B80" s="454"/>
      <c r="C80" s="455"/>
      <c r="D80" s="455"/>
      <c r="E80" s="455"/>
      <c r="F80" s="455"/>
      <c r="G80" s="455"/>
      <c r="H80" s="455"/>
      <c r="I80" s="455"/>
      <c r="J80" s="456"/>
      <c r="K80" s="456"/>
      <c r="L80" s="18"/>
      <c r="M80" s="456" t="s">
        <v>436</v>
      </c>
      <c r="N80" s="360"/>
      <c r="O80" s="360"/>
      <c r="P80" s="360"/>
      <c r="Q80" s="360"/>
    </row>
    <row r="81" spans="1:17">
      <c r="A81" s="110" t="s">
        <v>378</v>
      </c>
      <c r="B81" s="110"/>
      <c r="C81" s="453"/>
      <c r="D81" s="453"/>
      <c r="E81" s="453"/>
      <c r="F81" s="453"/>
      <c r="G81" s="453"/>
      <c r="H81" s="453"/>
      <c r="I81" s="453"/>
      <c r="J81" s="453"/>
      <c r="K81" s="453"/>
      <c r="N81" s="361"/>
    </row>
    <row r="82" spans="1:17" ht="17.25" customHeight="1">
      <c r="A82" s="110" t="s">
        <v>379</v>
      </c>
      <c r="B82" s="110"/>
      <c r="C82" s="453"/>
      <c r="D82" s="453"/>
      <c r="E82" s="453"/>
      <c r="F82" s="453"/>
      <c r="G82" s="453"/>
      <c r="H82" s="453"/>
      <c r="I82" s="453"/>
      <c r="J82" s="453"/>
      <c r="K82" s="453"/>
      <c r="Q82" s="362"/>
    </row>
    <row r="85" spans="1:17">
      <c r="N85" s="363"/>
      <c r="O85" s="363"/>
      <c r="P85" s="363"/>
      <c r="Q85" s="363"/>
    </row>
    <row r="86" spans="1:17">
      <c r="N86" s="364"/>
      <c r="O86" s="364"/>
      <c r="P86" s="364"/>
      <c r="Q86" s="364"/>
    </row>
    <row r="87" spans="1:17" ht="15.6">
      <c r="N87" s="365"/>
      <c r="O87" s="366"/>
      <c r="P87" s="366"/>
      <c r="Q87" s="367"/>
    </row>
  </sheetData>
  <mergeCells count="2">
    <mergeCell ref="A2:Q2"/>
    <mergeCell ref="B1:M1"/>
  </mergeCells>
  <phoneticPr fontId="4" type="noConversion"/>
  <pageMargins left="0.82677165354330717" right="0.19685039370078741" top="0" bottom="0" header="0.27559055118110237" footer="0"/>
  <pageSetup paperSize="9" scale="6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Y54"/>
  <sheetViews>
    <sheetView view="pageBreakPreview" zoomScale="80" zoomScaleNormal="80" zoomScaleSheetLayoutView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I33" sqref="I33"/>
    </sheetView>
  </sheetViews>
  <sheetFormatPr defaultRowHeight="13.2"/>
  <cols>
    <col min="1" max="1" width="6.109375" customWidth="1"/>
    <col min="2" max="2" width="58.33203125" customWidth="1"/>
    <col min="3" max="3" width="7.109375" style="2" customWidth="1"/>
    <col min="4" max="4" width="9.33203125" style="124" hidden="1" customWidth="1"/>
    <col min="5" max="5" width="9.44140625" style="124" hidden="1" customWidth="1"/>
    <col min="6" max="6" width="10.6640625" style="124" hidden="1" customWidth="1"/>
    <col min="7" max="7" width="10.5546875" style="124" customWidth="1"/>
    <col min="8" max="8" width="10.6640625" style="150" hidden="1" customWidth="1"/>
    <col min="9" max="9" width="11" style="124" customWidth="1"/>
    <col min="10" max="10" width="9.109375" style="124" hidden="1" customWidth="1"/>
    <col min="11" max="11" width="12.33203125" bestFit="1" customWidth="1"/>
    <col min="12" max="12" width="12.33203125" customWidth="1"/>
    <col min="13" max="13" width="12.44140625" customWidth="1"/>
    <col min="14" max="14" width="11.44140625" customWidth="1"/>
    <col min="15" max="17" width="10.44140625" hidden="1" customWidth="1"/>
    <col min="18" max="19" width="10.44140625" customWidth="1"/>
    <col min="20" max="20" width="16.109375" customWidth="1"/>
    <col min="21" max="24" width="10.44140625" hidden="1" customWidth="1"/>
    <col min="25" max="25" width="12.6640625" hidden="1" customWidth="1"/>
  </cols>
  <sheetData>
    <row r="1" spans="1:25" ht="15.6">
      <c r="B1" s="419" t="s">
        <v>359</v>
      </c>
      <c r="C1" s="92"/>
      <c r="D1" s="11"/>
      <c r="E1" s="11"/>
      <c r="F1" s="11"/>
      <c r="G1" s="11"/>
      <c r="H1" s="11"/>
      <c r="I1" s="11"/>
      <c r="J1" s="11"/>
      <c r="K1" s="13"/>
      <c r="L1" s="13"/>
      <c r="M1" s="13"/>
      <c r="N1" s="13"/>
      <c r="O1" s="13"/>
      <c r="P1" s="13"/>
      <c r="R1" s="13"/>
      <c r="S1" s="13"/>
      <c r="T1" s="13" t="s">
        <v>76</v>
      </c>
      <c r="U1" s="13"/>
      <c r="V1" s="13"/>
      <c r="W1" s="13"/>
      <c r="X1" s="13"/>
      <c r="Y1" s="13"/>
    </row>
    <row r="2" spans="1:25" hidden="1">
      <c r="A2" s="3"/>
    </row>
    <row r="3" spans="1:25" hidden="1">
      <c r="A3" s="3"/>
    </row>
    <row r="4" spans="1:25" ht="12.75" customHeight="1">
      <c r="A4" s="1759" t="s">
        <v>317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</row>
    <row r="5" spans="1:25" ht="12.75" customHeight="1">
      <c r="A5" s="1759"/>
      <c r="B5" s="1759"/>
      <c r="C5" s="1759"/>
      <c r="D5" s="1759"/>
      <c r="E5" s="1759"/>
      <c r="F5" s="1759"/>
      <c r="G5" s="1759"/>
      <c r="H5" s="1759"/>
      <c r="I5" s="1759"/>
      <c r="J5" s="1759"/>
      <c r="K5" s="1759"/>
      <c r="L5" s="1759"/>
      <c r="M5" s="1759"/>
      <c r="N5" s="1759"/>
      <c r="O5" s="1759"/>
      <c r="P5" s="1759"/>
      <c r="Q5" s="1759"/>
      <c r="R5" s="1759"/>
      <c r="S5" s="1759"/>
      <c r="T5" s="1759"/>
      <c r="U5" s="1759"/>
      <c r="V5" s="1759"/>
      <c r="W5" s="1759"/>
      <c r="X5" s="1759"/>
      <c r="Y5" s="1759"/>
    </row>
    <row r="6" spans="1:25" ht="15.75" customHeight="1">
      <c r="A6" s="1760" t="s">
        <v>445</v>
      </c>
      <c r="B6" s="1760"/>
      <c r="C6" s="1760"/>
      <c r="D6" s="1760"/>
      <c r="E6" s="1760"/>
      <c r="F6" s="1760"/>
      <c r="G6" s="1760"/>
      <c r="H6" s="1760"/>
      <c r="I6" s="1760"/>
      <c r="J6" s="1760"/>
      <c r="K6" s="1760"/>
      <c r="L6" s="1760"/>
      <c r="M6" s="1760"/>
      <c r="N6" s="1760"/>
      <c r="O6" s="1760"/>
      <c r="P6" s="1760"/>
      <c r="Q6" s="1760"/>
      <c r="R6" s="1760"/>
      <c r="S6" s="1760"/>
      <c r="T6" s="1760"/>
      <c r="U6" s="1760"/>
      <c r="V6" s="1760"/>
      <c r="W6" s="1760"/>
      <c r="X6" s="1760"/>
      <c r="Y6" s="1760"/>
    </row>
    <row r="7" spans="1:25" ht="12" customHeight="1">
      <c r="A7" s="113"/>
      <c r="B7" s="113"/>
      <c r="C7" s="91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57"/>
      <c r="S7" s="113"/>
      <c r="T7" s="113"/>
      <c r="U7" s="157"/>
      <c r="V7" s="113"/>
      <c r="W7" s="113"/>
      <c r="X7" s="113"/>
      <c r="Y7" s="113"/>
    </row>
    <row r="8" spans="1:25" ht="12" customHeight="1" thickBot="1">
      <c r="A8" s="1"/>
      <c r="C8" s="125"/>
      <c r="D8" s="4"/>
      <c r="E8" s="4"/>
      <c r="F8" s="4"/>
      <c r="G8" s="4"/>
      <c r="H8" s="151"/>
      <c r="I8" s="4"/>
      <c r="J8" s="4"/>
    </row>
    <row r="9" spans="1:25" ht="63.75" customHeight="1" thickBot="1">
      <c r="A9" s="727" t="s">
        <v>77</v>
      </c>
      <c r="B9" s="727" t="s">
        <v>78</v>
      </c>
      <c r="C9" s="728" t="s">
        <v>79</v>
      </c>
      <c r="D9" s="729" t="s">
        <v>80</v>
      </c>
      <c r="E9" s="148" t="s">
        <v>81</v>
      </c>
      <c r="F9" s="148" t="s">
        <v>82</v>
      </c>
      <c r="G9" s="1005" t="s">
        <v>466</v>
      </c>
      <c r="H9" s="148" t="s">
        <v>83</v>
      </c>
      <c r="I9" s="1006" t="s">
        <v>450</v>
      </c>
      <c r="J9" s="731" t="s">
        <v>354</v>
      </c>
      <c r="K9" s="1005" t="s">
        <v>468</v>
      </c>
      <c r="L9" s="732" t="s">
        <v>460</v>
      </c>
      <c r="M9" s="733" t="s">
        <v>453</v>
      </c>
      <c r="N9" s="733" t="s">
        <v>454</v>
      </c>
      <c r="O9" s="731" t="s">
        <v>394</v>
      </c>
      <c r="P9" s="149" t="s">
        <v>395</v>
      </c>
      <c r="Q9" s="149" t="s">
        <v>396</v>
      </c>
      <c r="R9" s="733" t="s">
        <v>455</v>
      </c>
      <c r="S9" s="734" t="s">
        <v>448</v>
      </c>
      <c r="T9" s="298"/>
      <c r="U9" s="243" t="s">
        <v>356</v>
      </c>
      <c r="V9" s="250" t="s">
        <v>357</v>
      </c>
      <c r="W9" s="269" t="s">
        <v>356</v>
      </c>
      <c r="X9" s="257" t="s">
        <v>357</v>
      </c>
      <c r="Y9" s="279" t="s">
        <v>355</v>
      </c>
    </row>
    <row r="10" spans="1:25" s="114" customFormat="1" ht="16.5" customHeight="1" thickBot="1">
      <c r="A10" s="735">
        <v>1</v>
      </c>
      <c r="B10" s="736">
        <v>2</v>
      </c>
      <c r="C10" s="737">
        <v>3</v>
      </c>
      <c r="D10" s="738">
        <v>4</v>
      </c>
      <c r="E10" s="739">
        <v>5</v>
      </c>
      <c r="F10" s="739">
        <v>4</v>
      </c>
      <c r="G10" s="740">
        <v>4</v>
      </c>
      <c r="H10" s="739">
        <v>6</v>
      </c>
      <c r="I10" s="741">
        <v>5</v>
      </c>
      <c r="J10" s="742">
        <v>5</v>
      </c>
      <c r="K10" s="741">
        <v>6</v>
      </c>
      <c r="L10" s="737">
        <v>7</v>
      </c>
      <c r="M10" s="737">
        <v>8</v>
      </c>
      <c r="N10" s="737">
        <v>9</v>
      </c>
      <c r="O10" s="742">
        <v>5</v>
      </c>
      <c r="P10" s="740">
        <v>5</v>
      </c>
      <c r="Q10" s="740">
        <v>5</v>
      </c>
      <c r="R10" s="936">
        <v>10</v>
      </c>
      <c r="S10" s="743">
        <v>11</v>
      </c>
      <c r="T10" s="744">
        <v>12</v>
      </c>
      <c r="U10" s="244">
        <f>T10+1</f>
        <v>13</v>
      </c>
      <c r="V10" s="251">
        <f>U10+1</f>
        <v>14</v>
      </c>
      <c r="W10" s="283">
        <v>14</v>
      </c>
      <c r="X10" s="258">
        <v>15</v>
      </c>
      <c r="Y10" s="280">
        <v>16</v>
      </c>
    </row>
    <row r="11" spans="1:25" s="114" customFormat="1" ht="16.5" customHeight="1" thickBot="1">
      <c r="A11" s="745"/>
      <c r="B11" s="746" t="s">
        <v>397</v>
      </c>
      <c r="C11" s="747"/>
      <c r="D11" s="748"/>
      <c r="E11" s="749"/>
      <c r="F11" s="749"/>
      <c r="G11" s="749"/>
      <c r="H11" s="749"/>
      <c r="I11" s="750"/>
      <c r="J11" s="751"/>
      <c r="K11" s="752"/>
      <c r="L11" s="753"/>
      <c r="M11" s="753"/>
      <c r="N11" s="753"/>
      <c r="O11" s="751"/>
      <c r="P11" s="754"/>
      <c r="Q11" s="754"/>
      <c r="R11" s="937"/>
      <c r="S11" s="755"/>
      <c r="T11" s="756"/>
      <c r="U11" s="244"/>
      <c r="V11" s="251"/>
      <c r="W11" s="283"/>
      <c r="X11" s="258"/>
      <c r="Y11" s="280"/>
    </row>
    <row r="12" spans="1:25" s="12" customFormat="1">
      <c r="A12" s="757" t="s">
        <v>3</v>
      </c>
      <c r="B12" s="757" t="s">
        <v>398</v>
      </c>
      <c r="C12" s="758"/>
      <c r="D12" s="759">
        <v>10</v>
      </c>
      <c r="E12" s="115">
        <v>12</v>
      </c>
      <c r="F12" s="126"/>
      <c r="G12" s="761">
        <v>4</v>
      </c>
      <c r="H12" s="760"/>
      <c r="I12" s="761">
        <v>4</v>
      </c>
      <c r="J12" s="762"/>
      <c r="K12" s="763">
        <v>4</v>
      </c>
      <c r="L12" s="763">
        <v>3</v>
      </c>
      <c r="M12" s="763">
        <v>3</v>
      </c>
      <c r="N12" s="763">
        <v>3</v>
      </c>
      <c r="O12" s="765"/>
      <c r="P12" s="136"/>
      <c r="Q12" s="136"/>
      <c r="R12" s="764">
        <v>3</v>
      </c>
      <c r="S12" s="153"/>
      <c r="T12" s="299"/>
      <c r="U12" s="245">
        <v>11</v>
      </c>
      <c r="V12" s="252">
        <v>11</v>
      </c>
      <c r="W12" s="284">
        <v>11</v>
      </c>
      <c r="X12" s="259">
        <v>11</v>
      </c>
      <c r="Y12" s="281">
        <v>11</v>
      </c>
    </row>
    <row r="13" spans="1:25" s="12" customFormat="1">
      <c r="A13" s="757"/>
      <c r="B13" s="757" t="s">
        <v>399</v>
      </c>
      <c r="C13" s="758" t="s">
        <v>84</v>
      </c>
      <c r="D13" s="759">
        <v>6</v>
      </c>
      <c r="E13" s="115">
        <v>7</v>
      </c>
      <c r="F13" s="126"/>
      <c r="G13" s="766">
        <v>4</v>
      </c>
      <c r="H13" s="126"/>
      <c r="I13" s="766">
        <v>4</v>
      </c>
      <c r="J13" s="767"/>
      <c r="K13" s="768">
        <v>4</v>
      </c>
      <c r="L13" s="768">
        <v>3</v>
      </c>
      <c r="M13" s="769">
        <v>3</v>
      </c>
      <c r="N13" s="769">
        <v>3</v>
      </c>
      <c r="O13" s="765"/>
      <c r="P13" s="136"/>
      <c r="Q13" s="136"/>
      <c r="R13" s="769">
        <v>3</v>
      </c>
      <c r="S13" s="142"/>
      <c r="T13" s="299"/>
      <c r="U13" s="246">
        <f>$H$13</f>
        <v>0</v>
      </c>
      <c r="V13" s="253">
        <f>$H$13</f>
        <v>0</v>
      </c>
      <c r="W13" s="285">
        <v>5</v>
      </c>
      <c r="X13" s="261">
        <v>5</v>
      </c>
      <c r="Y13" s="270">
        <f>$H$13</f>
        <v>0</v>
      </c>
    </row>
    <row r="14" spans="1:25" s="12" customFormat="1" ht="25.5" customHeight="1">
      <c r="A14" s="770">
        <v>2</v>
      </c>
      <c r="B14" s="757" t="s">
        <v>85</v>
      </c>
      <c r="C14" s="758" t="s">
        <v>86</v>
      </c>
      <c r="D14" s="759">
        <v>5867</v>
      </c>
      <c r="E14" s="115">
        <v>6270</v>
      </c>
      <c r="F14" s="126"/>
      <c r="G14" s="771">
        <v>11458</v>
      </c>
      <c r="H14" s="126"/>
      <c r="I14" s="771">
        <f>(658852+124025)/3.8/12*0.95</f>
        <v>16309.937500000002</v>
      </c>
      <c r="J14" s="767"/>
      <c r="K14" s="768">
        <v>11962.152</v>
      </c>
      <c r="L14" s="768">
        <f>(137645+38115)/3/3</f>
        <v>19528.888888888887</v>
      </c>
      <c r="M14" s="769">
        <f>K14*1.058</f>
        <v>12655.956816</v>
      </c>
      <c r="N14" s="769">
        <f>M14</f>
        <v>12655.956816</v>
      </c>
      <c r="O14" s="765"/>
      <c r="P14" s="136"/>
      <c r="Q14" s="136"/>
      <c r="R14" s="938">
        <f>K14*1.058</f>
        <v>12655.956816</v>
      </c>
      <c r="S14" s="142"/>
      <c r="T14" s="299"/>
      <c r="U14" s="246">
        <f>K14</f>
        <v>11962.152</v>
      </c>
      <c r="V14" s="253">
        <f>K14*1.051</f>
        <v>12572.221751999999</v>
      </c>
      <c r="W14" s="285">
        <f>H14</f>
        <v>0</v>
      </c>
      <c r="X14" s="261">
        <f>H14</f>
        <v>0</v>
      </c>
      <c r="Y14" s="270">
        <f>H14</f>
        <v>0</v>
      </c>
    </row>
    <row r="15" spans="1:25" s="12" customFormat="1" ht="39.6" customHeight="1">
      <c r="A15" s="757" t="s">
        <v>189</v>
      </c>
      <c r="B15" s="757" t="s">
        <v>400</v>
      </c>
      <c r="C15" s="758"/>
      <c r="D15" s="759"/>
      <c r="E15" s="115"/>
      <c r="F15" s="126"/>
      <c r="G15" s="771">
        <f>G17+G18+G19</f>
        <v>0</v>
      </c>
      <c r="H15" s="126"/>
      <c r="I15" s="771">
        <f>I17+I18+I19</f>
        <v>0</v>
      </c>
      <c r="J15" s="767"/>
      <c r="K15" s="771">
        <f>K17+K18+K19</f>
        <v>0</v>
      </c>
      <c r="L15" s="771">
        <f>L17+L18+L19</f>
        <v>0</v>
      </c>
      <c r="M15" s="773">
        <f>M17+M18+M19</f>
        <v>0</v>
      </c>
      <c r="N15" s="773">
        <f>N17+N18+N19</f>
        <v>0</v>
      </c>
      <c r="O15" s="765"/>
      <c r="P15" s="136"/>
      <c r="Q15" s="136"/>
      <c r="R15" s="938"/>
      <c r="S15" s="142"/>
      <c r="T15" s="299"/>
      <c r="U15" s="246"/>
      <c r="V15" s="253"/>
      <c r="W15" s="285"/>
      <c r="X15" s="261"/>
      <c r="Y15" s="270"/>
    </row>
    <row r="16" spans="1:25" s="12" customFormat="1">
      <c r="A16" s="757" t="s">
        <v>401</v>
      </c>
      <c r="B16" s="757" t="s">
        <v>402</v>
      </c>
      <c r="C16" s="758" t="s">
        <v>88</v>
      </c>
      <c r="D16" s="759">
        <v>4</v>
      </c>
      <c r="E16" s="115">
        <v>4</v>
      </c>
      <c r="F16" s="126"/>
      <c r="G16" s="771"/>
      <c r="H16" s="126"/>
      <c r="I16" s="771"/>
      <c r="J16" s="767"/>
      <c r="K16" s="774"/>
      <c r="L16" s="772"/>
      <c r="M16" s="772"/>
      <c r="N16" s="772"/>
      <c r="O16" s="765"/>
      <c r="P16" s="136"/>
      <c r="Q16" s="136"/>
      <c r="R16" s="938"/>
      <c r="S16" s="142"/>
      <c r="T16" s="299"/>
      <c r="U16" s="246">
        <f>K16</f>
        <v>0</v>
      </c>
      <c r="V16" s="253">
        <f>U16</f>
        <v>0</v>
      </c>
      <c r="W16" s="272">
        <f>S16</f>
        <v>0</v>
      </c>
      <c r="X16" s="261">
        <f>T16</f>
        <v>0</v>
      </c>
      <c r="Y16" s="270">
        <f>U16</f>
        <v>0</v>
      </c>
    </row>
    <row r="17" spans="1:25" s="12" customFormat="1" ht="18" customHeight="1">
      <c r="A17" s="757" t="s">
        <v>403</v>
      </c>
      <c r="B17" s="757" t="s">
        <v>404</v>
      </c>
      <c r="C17" s="758" t="s">
        <v>89</v>
      </c>
      <c r="D17" s="759">
        <v>235</v>
      </c>
      <c r="E17" s="115">
        <f>E14*4%</f>
        <v>250.8</v>
      </c>
      <c r="F17" s="115"/>
      <c r="G17" s="775"/>
      <c r="H17" s="115"/>
      <c r="I17" s="775"/>
      <c r="J17" s="765"/>
      <c r="K17" s="774"/>
      <c r="L17" s="772"/>
      <c r="M17" s="772"/>
      <c r="N17" s="772"/>
      <c r="O17" s="765"/>
      <c r="P17" s="136"/>
      <c r="Q17" s="136"/>
      <c r="R17" s="938"/>
      <c r="S17" s="142"/>
      <c r="T17" s="299"/>
      <c r="U17" s="246">
        <f>U14*U16%</f>
        <v>0</v>
      </c>
      <c r="V17" s="253">
        <f>V14*V16%</f>
        <v>0</v>
      </c>
      <c r="W17" s="272">
        <f>W14*W16%</f>
        <v>0</v>
      </c>
      <c r="X17" s="261">
        <f>X14*X16%</f>
        <v>0</v>
      </c>
      <c r="Y17" s="270">
        <f>Y14*Y16%</f>
        <v>0</v>
      </c>
    </row>
    <row r="18" spans="1:25" s="12" customFormat="1" ht="18" customHeight="1">
      <c r="A18" s="757" t="s">
        <v>405</v>
      </c>
      <c r="B18" s="757" t="s">
        <v>406</v>
      </c>
      <c r="C18" s="758" t="s">
        <v>89</v>
      </c>
      <c r="D18" s="759"/>
      <c r="E18" s="115"/>
      <c r="F18" s="115"/>
      <c r="G18" s="775"/>
      <c r="H18" s="115"/>
      <c r="I18" s="775"/>
      <c r="J18" s="765"/>
      <c r="K18" s="774"/>
      <c r="L18" s="772"/>
      <c r="M18" s="772"/>
      <c r="N18" s="772"/>
      <c r="O18" s="765"/>
      <c r="P18" s="136"/>
      <c r="Q18" s="136"/>
      <c r="R18" s="938"/>
      <c r="S18" s="142"/>
      <c r="T18" s="299"/>
      <c r="U18" s="246"/>
      <c r="V18" s="253"/>
      <c r="W18" s="272"/>
      <c r="X18" s="261"/>
      <c r="Y18" s="270"/>
    </row>
    <row r="19" spans="1:25" s="12" customFormat="1" ht="18" customHeight="1">
      <c r="A19" s="757" t="s">
        <v>407</v>
      </c>
      <c r="B19" s="757" t="s">
        <v>408</v>
      </c>
      <c r="C19" s="758" t="s">
        <v>89</v>
      </c>
      <c r="D19" s="759"/>
      <c r="E19" s="115"/>
      <c r="F19" s="115"/>
      <c r="G19" s="775"/>
      <c r="H19" s="115"/>
      <c r="I19" s="775"/>
      <c r="J19" s="765"/>
      <c r="K19" s="774"/>
      <c r="L19" s="772"/>
      <c r="M19" s="772"/>
      <c r="N19" s="772"/>
      <c r="O19" s="765"/>
      <c r="P19" s="136"/>
      <c r="Q19" s="136"/>
      <c r="R19" s="938"/>
      <c r="S19" s="142"/>
      <c r="T19" s="299"/>
      <c r="U19" s="246"/>
      <c r="V19" s="253"/>
      <c r="W19" s="272"/>
      <c r="X19" s="261"/>
      <c r="Y19" s="270"/>
    </row>
    <row r="20" spans="1:25" s="12" customFormat="1">
      <c r="A20" s="757" t="s">
        <v>181</v>
      </c>
      <c r="B20" s="757" t="s">
        <v>90</v>
      </c>
      <c r="C20" s="758" t="s">
        <v>89</v>
      </c>
      <c r="D20" s="759"/>
      <c r="E20" s="115"/>
      <c r="F20" s="126"/>
      <c r="G20" s="1012">
        <v>3552</v>
      </c>
      <c r="H20" s="126"/>
      <c r="I20" s="776">
        <f>I22+I23</f>
        <v>3010.833333333333</v>
      </c>
      <c r="J20" s="767"/>
      <c r="K20" s="776">
        <v>3708.2611999999999</v>
      </c>
      <c r="L20" s="776">
        <f>L22+L23</f>
        <v>6741.1111111111104</v>
      </c>
      <c r="M20" s="777">
        <f>M14*0.31</f>
        <v>3923.3466129600001</v>
      </c>
      <c r="N20" s="777">
        <f>N14*0.31</f>
        <v>3923.3466129600001</v>
      </c>
      <c r="O20" s="765"/>
      <c r="P20" s="136"/>
      <c r="Q20" s="136"/>
      <c r="R20" s="938">
        <f>R14*0.31</f>
        <v>3923.3466129600001</v>
      </c>
      <c r="S20" s="142"/>
      <c r="T20" s="299"/>
      <c r="U20" s="246"/>
      <c r="V20" s="253"/>
      <c r="W20" s="272"/>
      <c r="X20" s="261"/>
      <c r="Y20" s="270"/>
    </row>
    <row r="21" spans="1:25" s="12" customFormat="1">
      <c r="A21" s="757"/>
      <c r="B21" s="757" t="s">
        <v>87</v>
      </c>
      <c r="C21" s="758" t="s">
        <v>88</v>
      </c>
      <c r="D21" s="759">
        <v>40</v>
      </c>
      <c r="E21" s="115">
        <v>40</v>
      </c>
      <c r="F21" s="115"/>
      <c r="G21" s="778">
        <v>31</v>
      </c>
      <c r="H21" s="115"/>
      <c r="I21" s="1007">
        <v>39</v>
      </c>
      <c r="J21" s="765"/>
      <c r="K21" s="774">
        <v>31</v>
      </c>
      <c r="L21" s="1008">
        <v>33.5</v>
      </c>
      <c r="M21" s="775">
        <v>31</v>
      </c>
      <c r="N21" s="775">
        <v>31</v>
      </c>
      <c r="O21" s="765"/>
      <c r="P21" s="136"/>
      <c r="Q21" s="136"/>
      <c r="R21" s="775">
        <v>31</v>
      </c>
      <c r="S21" s="142"/>
      <c r="T21" s="299"/>
      <c r="U21" s="246">
        <f>K21</f>
        <v>31</v>
      </c>
      <c r="V21" s="253">
        <f>U21</f>
        <v>31</v>
      </c>
      <c r="W21" s="272">
        <f>S21</f>
        <v>0</v>
      </c>
      <c r="X21" s="261">
        <f>T21</f>
        <v>0</v>
      </c>
      <c r="Y21" s="270">
        <f>U21</f>
        <v>31</v>
      </c>
    </row>
    <row r="22" spans="1:25" s="12" customFormat="1" ht="16.5" customHeight="1">
      <c r="A22" s="757" t="s">
        <v>401</v>
      </c>
      <c r="B22" s="757" t="s">
        <v>409</v>
      </c>
      <c r="C22" s="758" t="s">
        <v>89</v>
      </c>
      <c r="D22" s="759">
        <v>2347</v>
      </c>
      <c r="E22" s="115">
        <f>E14*40%</f>
        <v>2508</v>
      </c>
      <c r="F22" s="115"/>
      <c r="G22" s="775"/>
      <c r="H22" s="115"/>
      <c r="I22" s="775">
        <f>(112790+21325+3000+7405)/3.8/12*0.95</f>
        <v>3010.833333333333</v>
      </c>
      <c r="J22" s="765"/>
      <c r="K22" s="768"/>
      <c r="L22" s="768">
        <f>(60670)/3/3</f>
        <v>6741.1111111111104</v>
      </c>
      <c r="M22" s="769"/>
      <c r="N22" s="772"/>
      <c r="O22" s="765"/>
      <c r="P22" s="136"/>
      <c r="Q22" s="136"/>
      <c r="R22" s="938"/>
      <c r="S22" s="142"/>
      <c r="T22" s="299"/>
      <c r="U22" s="246">
        <f>U14*U21%</f>
        <v>3708.26712</v>
      </c>
      <c r="V22" s="253">
        <f>V14*V21%</f>
        <v>3897.3887431199996</v>
      </c>
      <c r="W22" s="272">
        <f>W14*W21%</f>
        <v>0</v>
      </c>
      <c r="X22" s="261">
        <f>X14*X21%</f>
        <v>0</v>
      </c>
      <c r="Y22" s="270">
        <f>Y14*Y21%</f>
        <v>0</v>
      </c>
    </row>
    <row r="23" spans="1:25" s="12" customFormat="1" ht="16.5" customHeight="1">
      <c r="A23" s="757" t="s">
        <v>403</v>
      </c>
      <c r="B23" s="757" t="s">
        <v>410</v>
      </c>
      <c r="C23" s="758" t="s">
        <v>89</v>
      </c>
      <c r="D23" s="759"/>
      <c r="E23" s="115"/>
      <c r="F23" s="115"/>
      <c r="G23" s="775"/>
      <c r="H23" s="115"/>
      <c r="I23" s="775"/>
      <c r="J23" s="765"/>
      <c r="K23" s="768"/>
      <c r="L23" s="769"/>
      <c r="M23" s="769"/>
      <c r="N23" s="772"/>
      <c r="O23" s="765"/>
      <c r="P23" s="136"/>
      <c r="Q23" s="136"/>
      <c r="R23" s="938"/>
      <c r="S23" s="142"/>
      <c r="T23" s="299"/>
      <c r="U23" s="246"/>
      <c r="V23" s="253"/>
      <c r="W23" s="272"/>
      <c r="X23" s="261"/>
      <c r="Y23" s="270"/>
    </row>
    <row r="24" spans="1:25" s="12" customFormat="1" ht="16.5" customHeight="1">
      <c r="A24" s="757" t="s">
        <v>182</v>
      </c>
      <c r="B24" s="757" t="s">
        <v>411</v>
      </c>
      <c r="C24" s="758"/>
      <c r="D24" s="759"/>
      <c r="E24" s="115"/>
      <c r="F24" s="115"/>
      <c r="G24" s="775"/>
      <c r="H24" s="115"/>
      <c r="I24" s="775"/>
      <c r="J24" s="765"/>
      <c r="K24" s="774"/>
      <c r="L24" s="772"/>
      <c r="M24" s="772"/>
      <c r="N24" s="772"/>
      <c r="O24" s="765"/>
      <c r="P24" s="136"/>
      <c r="Q24" s="136"/>
      <c r="R24" s="938"/>
      <c r="S24" s="142"/>
      <c r="T24" s="299"/>
      <c r="U24" s="246"/>
      <c r="V24" s="253"/>
      <c r="W24" s="272"/>
      <c r="X24" s="261"/>
      <c r="Y24" s="270"/>
    </row>
    <row r="25" spans="1:25" s="12" customFormat="1" ht="32.25" customHeight="1">
      <c r="A25" s="757" t="s">
        <v>412</v>
      </c>
      <c r="B25" s="757" t="s">
        <v>92</v>
      </c>
      <c r="C25" s="758"/>
      <c r="D25" s="759"/>
      <c r="E25" s="115"/>
      <c r="F25" s="126"/>
      <c r="G25" s="779"/>
      <c r="H25" s="126"/>
      <c r="I25" s="779"/>
      <c r="J25" s="767"/>
      <c r="K25" s="774"/>
      <c r="L25" s="772"/>
      <c r="M25" s="772"/>
      <c r="N25" s="772"/>
      <c r="O25" s="765"/>
      <c r="P25" s="136"/>
      <c r="Q25" s="136"/>
      <c r="R25" s="938"/>
      <c r="S25" s="142"/>
      <c r="T25" s="299"/>
      <c r="U25" s="246"/>
      <c r="V25" s="253"/>
      <c r="W25" s="272"/>
      <c r="X25" s="261"/>
      <c r="Y25" s="270"/>
    </row>
    <row r="26" spans="1:25" s="12" customFormat="1" ht="19.5" customHeight="1">
      <c r="A26" s="757"/>
      <c r="B26" s="757" t="s">
        <v>87</v>
      </c>
      <c r="C26" s="758" t="s">
        <v>88</v>
      </c>
      <c r="D26" s="759">
        <v>160</v>
      </c>
      <c r="E26" s="115">
        <v>160</v>
      </c>
      <c r="F26" s="115"/>
      <c r="G26" s="778">
        <v>160</v>
      </c>
      <c r="H26" s="115"/>
      <c r="I26" s="778">
        <v>160</v>
      </c>
      <c r="J26" s="765"/>
      <c r="K26" s="778">
        <v>160</v>
      </c>
      <c r="L26" s="778">
        <v>160</v>
      </c>
      <c r="M26" s="772">
        <v>160</v>
      </c>
      <c r="N26" s="772">
        <v>160</v>
      </c>
      <c r="O26" s="765"/>
      <c r="P26" s="136"/>
      <c r="Q26" s="136"/>
      <c r="R26" s="772">
        <v>160</v>
      </c>
      <c r="S26" s="142"/>
      <c r="T26" s="299"/>
      <c r="U26" s="246">
        <f>K26</f>
        <v>160</v>
      </c>
      <c r="V26" s="253">
        <f>U26</f>
        <v>160</v>
      </c>
      <c r="W26" s="272">
        <f>S26</f>
        <v>0</v>
      </c>
      <c r="X26" s="261">
        <f>T26</f>
        <v>0</v>
      </c>
      <c r="Y26" s="270">
        <f>U26</f>
        <v>160</v>
      </c>
    </row>
    <row r="27" spans="1:25" s="12" customFormat="1">
      <c r="A27" s="757"/>
      <c r="B27" s="757" t="s">
        <v>91</v>
      </c>
      <c r="C27" s="758" t="s">
        <v>89</v>
      </c>
      <c r="D27" s="759">
        <v>13518</v>
      </c>
      <c r="E27" s="115">
        <f>(E14+E17+E22)*1.6</f>
        <v>14446.08</v>
      </c>
      <c r="F27" s="115"/>
      <c r="G27" s="778">
        <v>24015</v>
      </c>
      <c r="H27" s="115"/>
      <c r="I27" s="778">
        <f>(I14+I15+I20+I24)*1.6</f>
        <v>30913.233333333337</v>
      </c>
      <c r="J27" s="765"/>
      <c r="K27" s="778">
        <f>(K14+K15+K20+K24)*1.6</f>
        <v>25072.661120000001</v>
      </c>
      <c r="L27" s="778">
        <f>(L14+L15+L20+L24)*1.6</f>
        <v>42032</v>
      </c>
      <c r="M27" s="772">
        <f>(M14+M15+M20+M24)*1.6</f>
        <v>26526.885486336003</v>
      </c>
      <c r="N27" s="772">
        <f>(N14+N15+N20+N24)*1.6</f>
        <v>26526.885486336003</v>
      </c>
      <c r="O27" s="765"/>
      <c r="P27" s="136"/>
      <c r="Q27" s="136"/>
      <c r="R27" s="772">
        <f>(R14+R15+R20+R24)*1.6</f>
        <v>26526.885486336003</v>
      </c>
      <c r="S27" s="142"/>
      <c r="T27" s="299"/>
      <c r="U27" s="246">
        <f>(U14+U17+U22)*U26%</f>
        <v>25072.670592000002</v>
      </c>
      <c r="V27" s="253">
        <f>(V14+V17+V22)*V26%</f>
        <v>26351.376792192001</v>
      </c>
      <c r="W27" s="272">
        <f>(W14+W17+W22)*W26%</f>
        <v>0</v>
      </c>
      <c r="X27" s="261">
        <f>(X14+X17+X22)*X26%</f>
        <v>0</v>
      </c>
      <c r="Y27" s="270">
        <f>(Y14+Y17+Y22)*Y26%</f>
        <v>0</v>
      </c>
    </row>
    <row r="28" spans="1:25" s="12" customFormat="1" ht="13.8" thickBot="1">
      <c r="A28" s="780"/>
      <c r="B28" s="746" t="s">
        <v>93</v>
      </c>
      <c r="C28" s="781" t="s">
        <v>89</v>
      </c>
      <c r="D28" s="782">
        <v>21967</v>
      </c>
      <c r="E28" s="116">
        <f>E14+E17+E22+E27</f>
        <v>23474.879999999997</v>
      </c>
      <c r="F28" s="116"/>
      <c r="G28" s="784">
        <v>39025</v>
      </c>
      <c r="H28" s="783"/>
      <c r="I28" s="784">
        <f>I14+I15+I20+I24+I27</f>
        <v>50234.004166666673</v>
      </c>
      <c r="J28" s="785"/>
      <c r="K28" s="784">
        <f>K14+K15+K20+K24+K27</f>
        <v>40743.07432</v>
      </c>
      <c r="L28" s="784">
        <f>L14+L15+L20+L24+L27</f>
        <v>68302</v>
      </c>
      <c r="M28" s="786">
        <f>M14+M15+M20+M24+M27</f>
        <v>43106.188915296007</v>
      </c>
      <c r="N28" s="786">
        <f>N14+N15+N20+N24+N27</f>
        <v>43106.188915296007</v>
      </c>
      <c r="O28" s="785"/>
      <c r="P28" s="137"/>
      <c r="Q28" s="137"/>
      <c r="R28" s="786">
        <f>R14+R15+R20+R24+R27</f>
        <v>43106.188915296007</v>
      </c>
      <c r="S28" s="145"/>
      <c r="T28" s="300"/>
      <c r="U28" s="247">
        <f>U14+U17+U22+U27</f>
        <v>40743.089712000001</v>
      </c>
      <c r="V28" s="254">
        <f>V14+V17+V22+V27</f>
        <v>42820.987287312004</v>
      </c>
      <c r="W28" s="274">
        <f>W14+W17+W22+W27</f>
        <v>0</v>
      </c>
      <c r="X28" s="266">
        <f>X14+X17+X22+X27</f>
        <v>0</v>
      </c>
      <c r="Y28" s="271">
        <f>Y14+Y17+Y22+Y27</f>
        <v>0</v>
      </c>
    </row>
    <row r="29" spans="1:25" s="12" customFormat="1" ht="39.75" customHeight="1" thickBot="1">
      <c r="A29" s="787" t="s">
        <v>8</v>
      </c>
      <c r="B29" s="787" t="s">
        <v>94</v>
      </c>
      <c r="C29" s="788" t="s">
        <v>95</v>
      </c>
      <c r="D29" s="789">
        <f>D28*D12*12/1000</f>
        <v>2636.04</v>
      </c>
      <c r="E29" s="117">
        <f>E28*E12*12/1000</f>
        <v>3380.3827199999992</v>
      </c>
      <c r="F29" s="117"/>
      <c r="G29" s="1264">
        <f>G28*G12*12/1000</f>
        <v>1873.2</v>
      </c>
      <c r="H29" s="117"/>
      <c r="I29" s="790">
        <f>I28*I12*12/1000</f>
        <v>2411.2322000000004</v>
      </c>
      <c r="J29" s="791"/>
      <c r="K29" s="1264">
        <f>K28*K12*12/1000</f>
        <v>1955.66756736</v>
      </c>
      <c r="L29" s="931">
        <f>L28*L12*12/1000</f>
        <v>2458.8719999999998</v>
      </c>
      <c r="M29" s="792">
        <f>M28*M12*6/1000</f>
        <v>775.91140047532804</v>
      </c>
      <c r="N29" s="792">
        <f>N28*N12*6/1000</f>
        <v>775.91140047532804</v>
      </c>
      <c r="O29" s="791"/>
      <c r="P29" s="138"/>
      <c r="Q29" s="138"/>
      <c r="R29" s="790">
        <f>R28*R12*12/1000</f>
        <v>1551.8228009506561</v>
      </c>
      <c r="S29" s="143"/>
      <c r="T29" s="301"/>
      <c r="U29" s="248">
        <f>U28*U12*6/1000</f>
        <v>2689.043920992</v>
      </c>
      <c r="V29" s="255">
        <f>V28*V12*6/1000</f>
        <v>2826.1851609625924</v>
      </c>
      <c r="W29" s="286">
        <f>W28*W12*6/1000</f>
        <v>0</v>
      </c>
      <c r="X29" s="263">
        <f>X28*X12*6/1000</f>
        <v>0</v>
      </c>
      <c r="Y29" s="268">
        <f>Y28*Y12*12/1000</f>
        <v>0</v>
      </c>
    </row>
    <row r="30" spans="1:25" s="12" customFormat="1" ht="24" customHeight="1">
      <c r="A30" s="793">
        <v>4</v>
      </c>
      <c r="B30" s="794" t="s">
        <v>374</v>
      </c>
      <c r="C30" s="795" t="s">
        <v>95</v>
      </c>
      <c r="D30" s="796"/>
      <c r="E30" s="797"/>
      <c r="F30" s="797"/>
      <c r="G30" s="799"/>
      <c r="H30" s="798"/>
      <c r="I30" s="799"/>
      <c r="J30" s="800"/>
      <c r="K30" s="801"/>
      <c r="L30" s="802"/>
      <c r="M30" s="802"/>
      <c r="N30" s="802"/>
      <c r="O30" s="800"/>
      <c r="P30" s="803"/>
      <c r="Q30" s="803"/>
      <c r="R30" s="940"/>
      <c r="S30" s="804"/>
      <c r="T30" s="805"/>
      <c r="U30" s="806"/>
      <c r="V30" s="807"/>
      <c r="W30" s="808"/>
      <c r="X30" s="809"/>
      <c r="Y30" s="810"/>
    </row>
    <row r="31" spans="1:25" s="12" customFormat="1" ht="27.6" customHeight="1">
      <c r="A31" s="793">
        <v>5</v>
      </c>
      <c r="B31" s="794" t="s">
        <v>371</v>
      </c>
      <c r="C31" s="811" t="s">
        <v>95</v>
      </c>
      <c r="D31" s="796"/>
      <c r="E31" s="797"/>
      <c r="F31" s="797"/>
      <c r="G31" s="799"/>
      <c r="H31" s="798"/>
      <c r="I31" s="799"/>
      <c r="J31" s="800"/>
      <c r="K31" s="801"/>
      <c r="L31" s="802"/>
      <c r="M31" s="802"/>
      <c r="N31" s="802"/>
      <c r="O31" s="800"/>
      <c r="P31" s="803"/>
      <c r="Q31" s="803"/>
      <c r="R31" s="940"/>
      <c r="S31" s="804"/>
      <c r="T31" s="805"/>
      <c r="U31" s="806"/>
      <c r="V31" s="807"/>
      <c r="W31" s="808"/>
      <c r="X31" s="809"/>
      <c r="Y31" s="810"/>
    </row>
    <row r="32" spans="1:25" s="12" customFormat="1" ht="30.6" customHeight="1">
      <c r="A32" s="793">
        <v>6</v>
      </c>
      <c r="B32" s="794" t="s">
        <v>373</v>
      </c>
      <c r="C32" s="811" t="s">
        <v>95</v>
      </c>
      <c r="D32" s="796"/>
      <c r="E32" s="797"/>
      <c r="F32" s="797"/>
      <c r="G32" s="799"/>
      <c r="H32" s="798"/>
      <c r="I32" s="799"/>
      <c r="J32" s="800"/>
      <c r="K32" s="812"/>
      <c r="L32" s="799"/>
      <c r="M32" s="813"/>
      <c r="N32" s="799"/>
      <c r="O32" s="800"/>
      <c r="P32" s="803"/>
      <c r="Q32" s="803"/>
      <c r="R32" s="940"/>
      <c r="S32" s="804"/>
      <c r="T32" s="805"/>
      <c r="U32" s="806"/>
      <c r="V32" s="807"/>
      <c r="W32" s="808"/>
      <c r="X32" s="809"/>
      <c r="Y32" s="810"/>
    </row>
    <row r="33" spans="1:25" s="12" customFormat="1" ht="15.6" customHeight="1" thickBot="1">
      <c r="A33" s="814">
        <v>7</v>
      </c>
      <c r="B33" s="815" t="s">
        <v>96</v>
      </c>
      <c r="C33" s="781" t="s">
        <v>95</v>
      </c>
      <c r="D33" s="816">
        <v>22</v>
      </c>
      <c r="E33" s="118">
        <v>20</v>
      </c>
      <c r="F33" s="127"/>
      <c r="G33" s="1671">
        <v>38</v>
      </c>
      <c r="H33" s="127"/>
      <c r="I33" s="817">
        <f>12916/1000</f>
        <v>12.916</v>
      </c>
      <c r="J33" s="818"/>
      <c r="K33" s="819">
        <v>47.5</v>
      </c>
      <c r="L33" s="819">
        <v>88</v>
      </c>
      <c r="M33" s="820">
        <f>K33*1.25/2</f>
        <v>29.6875</v>
      </c>
      <c r="N33" s="820">
        <f>M33</f>
        <v>29.6875</v>
      </c>
      <c r="O33" s="821"/>
      <c r="P33" s="139"/>
      <c r="Q33" s="139"/>
      <c r="R33" s="942">
        <f>M33+N33</f>
        <v>59.375</v>
      </c>
      <c r="S33" s="144"/>
      <c r="T33" s="302"/>
      <c r="U33" s="249">
        <f>K33/2</f>
        <v>23.75</v>
      </c>
      <c r="V33" s="256">
        <f>Y33-U33</f>
        <v>-23.75</v>
      </c>
      <c r="W33" s="287">
        <f>Y33/2</f>
        <v>0</v>
      </c>
      <c r="X33" s="264">
        <f>Y33/2</f>
        <v>0</v>
      </c>
      <c r="Y33" s="282">
        <f>H33</f>
        <v>0</v>
      </c>
    </row>
    <row r="34" spans="1:25" s="12" customFormat="1" ht="21" hidden="1" customHeight="1">
      <c r="A34" s="822" t="s">
        <v>97</v>
      </c>
      <c r="B34" s="822" t="s">
        <v>98</v>
      </c>
      <c r="C34" s="823" t="s">
        <v>99</v>
      </c>
      <c r="D34" s="824"/>
      <c r="E34" s="119"/>
      <c r="F34" s="128"/>
      <c r="G34" s="825"/>
      <c r="H34" s="128"/>
      <c r="I34" s="825"/>
      <c r="J34" s="826"/>
      <c r="K34" s="827"/>
      <c r="L34" s="827"/>
      <c r="M34" s="828"/>
      <c r="N34" s="828"/>
      <c r="O34" s="829"/>
      <c r="P34" s="140"/>
      <c r="Q34" s="140"/>
      <c r="R34" s="939"/>
      <c r="S34" s="145"/>
      <c r="T34" s="300"/>
      <c r="U34" s="247"/>
      <c r="V34" s="254"/>
      <c r="W34" s="288"/>
      <c r="X34" s="262"/>
      <c r="Y34" s="271"/>
    </row>
    <row r="35" spans="1:25" s="12" customFormat="1" ht="27" customHeight="1" thickBot="1">
      <c r="A35" s="830">
        <v>8</v>
      </c>
      <c r="B35" s="831" t="s">
        <v>100</v>
      </c>
      <c r="C35" s="832" t="s">
        <v>99</v>
      </c>
      <c r="D35" s="833">
        <f>D29+D33</f>
        <v>2658.04</v>
      </c>
      <c r="E35" s="120">
        <f>E29+E33</f>
        <v>3400.3827199999992</v>
      </c>
      <c r="F35" s="120"/>
      <c r="G35" s="129">
        <f>G29+G30+G31+G32+G33</f>
        <v>1911.2</v>
      </c>
      <c r="H35" s="120"/>
      <c r="I35" s="129">
        <f>I29+I30+I31+I32+I33</f>
        <v>2424.1482000000005</v>
      </c>
      <c r="J35" s="835"/>
      <c r="K35" s="129">
        <v>2003.168306176</v>
      </c>
      <c r="L35" s="933">
        <f>L29+L30+L31+L32+L33</f>
        <v>2546.8719999999998</v>
      </c>
      <c r="M35" s="836">
        <f>M29+M30+M31+M32+M33</f>
        <v>805.59890047532804</v>
      </c>
      <c r="N35" s="836">
        <f>N29+N30+N31+N32+N33</f>
        <v>805.59890047532804</v>
      </c>
      <c r="O35" s="835"/>
      <c r="P35" s="141"/>
      <c r="Q35" s="141"/>
      <c r="R35" s="836">
        <f>R29+R30+R31+R32+R33</f>
        <v>1611.1978009506561</v>
      </c>
      <c r="S35" s="129"/>
      <c r="T35" s="303"/>
      <c r="U35" s="248">
        <f>U29+U33</f>
        <v>2712.793920992</v>
      </c>
      <c r="V35" s="255">
        <f>V29+V33</f>
        <v>2802.4351609625924</v>
      </c>
      <c r="W35" s="289">
        <f>W29+W33</f>
        <v>0</v>
      </c>
      <c r="X35" s="129">
        <f>X29+X33</f>
        <v>0</v>
      </c>
      <c r="Y35" s="267">
        <f>Y29+Y33</f>
        <v>0</v>
      </c>
    </row>
    <row r="36" spans="1:25" s="12" customFormat="1" ht="45.75" hidden="1" customHeight="1">
      <c r="A36" s="815" t="s">
        <v>9</v>
      </c>
      <c r="B36" s="815" t="s">
        <v>101</v>
      </c>
      <c r="C36" s="837"/>
      <c r="D36" s="816"/>
      <c r="E36" s="118"/>
      <c r="F36" s="127"/>
      <c r="G36" s="838"/>
      <c r="H36" s="127"/>
      <c r="I36" s="838"/>
      <c r="J36" s="818"/>
      <c r="K36" s="839"/>
      <c r="L36" s="840"/>
      <c r="M36" s="840"/>
      <c r="N36" s="840"/>
      <c r="O36" s="821"/>
      <c r="P36" s="139"/>
      <c r="Q36" s="139"/>
      <c r="R36" s="941"/>
      <c r="S36" s="144"/>
      <c r="T36" s="302"/>
      <c r="U36" s="249"/>
      <c r="V36" s="256"/>
      <c r="W36" s="287"/>
      <c r="X36" s="264"/>
      <c r="Y36" s="282"/>
    </row>
    <row r="37" spans="1:25" s="12" customFormat="1" ht="33" hidden="1" customHeight="1">
      <c r="A37" s="757" t="s">
        <v>102</v>
      </c>
      <c r="B37" s="757" t="s">
        <v>103</v>
      </c>
      <c r="C37" s="758" t="s">
        <v>84</v>
      </c>
      <c r="D37" s="759"/>
      <c r="E37" s="115"/>
      <c r="F37" s="126"/>
      <c r="G37" s="779"/>
      <c r="H37" s="126"/>
      <c r="I37" s="779"/>
      <c r="J37" s="767"/>
      <c r="K37" s="774"/>
      <c r="L37" s="772"/>
      <c r="M37" s="772"/>
      <c r="N37" s="772"/>
      <c r="O37" s="765"/>
      <c r="P37" s="136"/>
      <c r="Q37" s="136"/>
      <c r="R37" s="938"/>
      <c r="S37" s="142"/>
      <c r="T37" s="299"/>
      <c r="U37" s="246"/>
      <c r="V37" s="253"/>
      <c r="W37" s="285"/>
      <c r="X37" s="261"/>
      <c r="Y37" s="270"/>
    </row>
    <row r="38" spans="1:25" s="12" customFormat="1" ht="13.8" hidden="1" thickBot="1">
      <c r="A38" s="757" t="s">
        <v>104</v>
      </c>
      <c r="B38" s="757" t="s">
        <v>105</v>
      </c>
      <c r="C38" s="758" t="s">
        <v>89</v>
      </c>
      <c r="D38" s="759"/>
      <c r="E38" s="115"/>
      <c r="F38" s="126"/>
      <c r="G38" s="779"/>
      <c r="H38" s="126"/>
      <c r="I38" s="779"/>
      <c r="J38" s="767"/>
      <c r="K38" s="774"/>
      <c r="L38" s="772"/>
      <c r="M38" s="772"/>
      <c r="N38" s="772"/>
      <c r="O38" s="765"/>
      <c r="P38" s="136"/>
      <c r="Q38" s="136"/>
      <c r="R38" s="938"/>
      <c r="S38" s="142"/>
      <c r="T38" s="299"/>
      <c r="U38" s="246"/>
      <c r="V38" s="253"/>
      <c r="W38" s="285"/>
      <c r="X38" s="261"/>
      <c r="Y38" s="270"/>
    </row>
    <row r="39" spans="1:25" s="12" customFormat="1" ht="13.5" hidden="1" customHeight="1" thickBot="1">
      <c r="A39" s="757" t="s">
        <v>106</v>
      </c>
      <c r="B39" s="757" t="s">
        <v>96</v>
      </c>
      <c r="C39" s="758" t="s">
        <v>95</v>
      </c>
      <c r="D39" s="759"/>
      <c r="E39" s="115"/>
      <c r="F39" s="126"/>
      <c r="G39" s="779"/>
      <c r="H39" s="126"/>
      <c r="I39" s="779"/>
      <c r="J39" s="767"/>
      <c r="K39" s="774"/>
      <c r="L39" s="772"/>
      <c r="M39" s="772"/>
      <c r="N39" s="772"/>
      <c r="O39" s="765"/>
      <c r="P39" s="136"/>
      <c r="Q39" s="136"/>
      <c r="R39" s="938"/>
      <c r="S39" s="142"/>
      <c r="T39" s="299"/>
      <c r="U39" s="246"/>
      <c r="V39" s="253"/>
      <c r="W39" s="285"/>
      <c r="X39" s="261"/>
      <c r="Y39" s="270"/>
    </row>
    <row r="40" spans="1:25" s="12" customFormat="1" ht="22.5" hidden="1" customHeight="1">
      <c r="A40" s="757" t="s">
        <v>107</v>
      </c>
      <c r="B40" s="757" t="s">
        <v>98</v>
      </c>
      <c r="C40" s="758" t="s">
        <v>95</v>
      </c>
      <c r="D40" s="759"/>
      <c r="E40" s="115"/>
      <c r="F40" s="126"/>
      <c r="G40" s="779"/>
      <c r="H40" s="126"/>
      <c r="I40" s="779"/>
      <c r="J40" s="767"/>
      <c r="K40" s="774"/>
      <c r="L40" s="772"/>
      <c r="M40" s="772"/>
      <c r="N40" s="772"/>
      <c r="O40" s="765"/>
      <c r="P40" s="136"/>
      <c r="Q40" s="136"/>
      <c r="R40" s="938"/>
      <c r="S40" s="142"/>
      <c r="T40" s="299"/>
      <c r="U40" s="246"/>
      <c r="V40" s="253"/>
      <c r="W40" s="285"/>
      <c r="X40" s="261"/>
      <c r="Y40" s="270"/>
    </row>
    <row r="41" spans="1:25" s="12" customFormat="1" ht="24" hidden="1" customHeight="1">
      <c r="A41" s="757" t="s">
        <v>108</v>
      </c>
      <c r="B41" s="757" t="s">
        <v>109</v>
      </c>
      <c r="C41" s="758" t="s">
        <v>95</v>
      </c>
      <c r="D41" s="759"/>
      <c r="E41" s="115"/>
      <c r="F41" s="126"/>
      <c r="G41" s="779"/>
      <c r="H41" s="126"/>
      <c r="I41" s="779"/>
      <c r="J41" s="767"/>
      <c r="K41" s="774"/>
      <c r="L41" s="772"/>
      <c r="M41" s="772"/>
      <c r="N41" s="772"/>
      <c r="O41" s="765"/>
      <c r="P41" s="136"/>
      <c r="Q41" s="136"/>
      <c r="R41" s="938"/>
      <c r="S41" s="142"/>
      <c r="T41" s="299"/>
      <c r="U41" s="246"/>
      <c r="V41" s="253"/>
      <c r="W41" s="285"/>
      <c r="X41" s="261"/>
      <c r="Y41" s="271"/>
    </row>
    <row r="42" spans="1:25" s="12" customFormat="1">
      <c r="A42" s="770">
        <v>9</v>
      </c>
      <c r="B42" s="841" t="s">
        <v>413</v>
      </c>
      <c r="C42" s="758"/>
      <c r="D42" s="759"/>
      <c r="E42" s="115"/>
      <c r="F42" s="126"/>
      <c r="G42" s="779"/>
      <c r="H42" s="126"/>
      <c r="I42" s="779"/>
      <c r="J42" s="767"/>
      <c r="K42" s="774"/>
      <c r="L42" s="772"/>
      <c r="M42" s="772"/>
      <c r="N42" s="772"/>
      <c r="O42" s="765"/>
      <c r="P42" s="136"/>
      <c r="Q42" s="136"/>
      <c r="R42" s="938"/>
      <c r="S42" s="142"/>
      <c r="T42" s="299"/>
      <c r="U42" s="246"/>
      <c r="V42" s="253"/>
      <c r="W42" s="285"/>
      <c r="X42" s="260"/>
      <c r="Y42" s="294"/>
    </row>
    <row r="43" spans="1:25" s="12" customFormat="1" ht="27" customHeight="1">
      <c r="A43" s="757" t="s">
        <v>414</v>
      </c>
      <c r="B43" s="757" t="s">
        <v>110</v>
      </c>
      <c r="C43" s="758" t="s">
        <v>84</v>
      </c>
      <c r="D43" s="759">
        <v>10</v>
      </c>
      <c r="E43" s="115">
        <v>12</v>
      </c>
      <c r="F43" s="126"/>
      <c r="G43" s="842">
        <f>G12</f>
        <v>4</v>
      </c>
      <c r="H43" s="126"/>
      <c r="I43" s="842">
        <f>I12</f>
        <v>4</v>
      </c>
      <c r="J43" s="767"/>
      <c r="K43" s="842">
        <f>K12</f>
        <v>4</v>
      </c>
      <c r="L43" s="842">
        <f>L12</f>
        <v>3</v>
      </c>
      <c r="M43" s="843">
        <f>M12</f>
        <v>3</v>
      </c>
      <c r="N43" s="843">
        <f>N12</f>
        <v>3</v>
      </c>
      <c r="O43" s="844"/>
      <c r="P43" s="115"/>
      <c r="Q43" s="765"/>
      <c r="R43" s="843">
        <f>R12</f>
        <v>3</v>
      </c>
      <c r="S43" s="142"/>
      <c r="T43" s="299"/>
      <c r="U43" s="142">
        <f>I43</f>
        <v>4</v>
      </c>
      <c r="V43" s="275">
        <f>J43</f>
        <v>0</v>
      </c>
      <c r="W43" s="272">
        <f>W12</f>
        <v>11</v>
      </c>
      <c r="X43" s="291">
        <f>X12</f>
        <v>11</v>
      </c>
      <c r="Y43" s="295">
        <f>Y12</f>
        <v>11</v>
      </c>
    </row>
    <row r="44" spans="1:25" s="12" customFormat="1" ht="25.5" customHeight="1">
      <c r="A44" s="757" t="s">
        <v>415</v>
      </c>
      <c r="B44" s="757" t="s">
        <v>416</v>
      </c>
      <c r="C44" s="758" t="s">
        <v>89</v>
      </c>
      <c r="D44" s="759"/>
      <c r="E44" s="115"/>
      <c r="F44" s="126"/>
      <c r="G44" s="845">
        <v>653</v>
      </c>
      <c r="H44" s="130"/>
      <c r="I44" s="845">
        <f>I45</f>
        <v>1041.6666666666667</v>
      </c>
      <c r="J44" s="846"/>
      <c r="K44" s="1009"/>
      <c r="L44" s="934">
        <f>L45</f>
        <v>1666.6666666666667</v>
      </c>
      <c r="M44" s="847">
        <f>M45</f>
        <v>722</v>
      </c>
      <c r="N44" s="847">
        <f>N45</f>
        <v>722</v>
      </c>
      <c r="O44" s="848"/>
      <c r="P44" s="130"/>
      <c r="Q44" s="849"/>
      <c r="R44" s="847">
        <f>R45</f>
        <v>721.55600000000004</v>
      </c>
      <c r="S44" s="146"/>
      <c r="T44" s="304"/>
      <c r="U44" s="146">
        <f>S44</f>
        <v>0</v>
      </c>
      <c r="V44" s="276">
        <f>T44</f>
        <v>0</v>
      </c>
      <c r="W44" s="273">
        <f>H44</f>
        <v>0</v>
      </c>
      <c r="X44" s="292">
        <f>V44</f>
        <v>0</v>
      </c>
      <c r="Y44" s="296">
        <f>H44</f>
        <v>0</v>
      </c>
    </row>
    <row r="45" spans="1:25" s="12" customFormat="1" ht="25.5" customHeight="1">
      <c r="A45" s="757"/>
      <c r="B45" s="757" t="s">
        <v>417</v>
      </c>
      <c r="C45" s="758" t="s">
        <v>89</v>
      </c>
      <c r="D45" s="759"/>
      <c r="E45" s="115"/>
      <c r="F45" s="126"/>
      <c r="G45" s="1009">
        <v>653</v>
      </c>
      <c r="H45" s="130"/>
      <c r="I45" s="845">
        <f>(10000+40000)/4/12</f>
        <v>1041.6666666666667</v>
      </c>
      <c r="J45" s="846"/>
      <c r="K45" s="1009"/>
      <c r="L45" s="1314">
        <f>60000/12/3</f>
        <v>1666.6666666666667</v>
      </c>
      <c r="M45" s="847">
        <v>722</v>
      </c>
      <c r="N45" s="847">
        <f>M45</f>
        <v>722</v>
      </c>
      <c r="O45" s="848"/>
      <c r="P45" s="130"/>
      <c r="Q45" s="849"/>
      <c r="R45" s="943">
        <f>682*1.058</f>
        <v>721.55600000000004</v>
      </c>
      <c r="S45" s="146"/>
      <c r="T45" s="304"/>
      <c r="U45" s="146"/>
      <c r="V45" s="276"/>
      <c r="W45" s="851"/>
      <c r="X45" s="292"/>
      <c r="Y45" s="296"/>
    </row>
    <row r="46" spans="1:25" s="12" customFormat="1" ht="15.75" customHeight="1" thickBot="1">
      <c r="A46" s="822"/>
      <c r="B46" s="822" t="s">
        <v>111</v>
      </c>
      <c r="C46" s="852" t="s">
        <v>112</v>
      </c>
      <c r="D46" s="824"/>
      <c r="E46" s="119"/>
      <c r="F46" s="128"/>
      <c r="G46" s="935">
        <v>31</v>
      </c>
      <c r="H46" s="853"/>
      <c r="I46" s="854">
        <f>I44*I43*12/1000</f>
        <v>50</v>
      </c>
      <c r="J46" s="855"/>
      <c r="K46" s="1265">
        <v>33</v>
      </c>
      <c r="L46" s="854">
        <f>L44*L43*12/1000</f>
        <v>60</v>
      </c>
      <c r="M46" s="1010">
        <f>M44*M43*6/1000</f>
        <v>12.996</v>
      </c>
      <c r="N46" s="1010">
        <f>N44*N43*6/1000</f>
        <v>12.996</v>
      </c>
      <c r="O46" s="856"/>
      <c r="P46" s="853"/>
      <c r="Q46" s="857"/>
      <c r="R46" s="935">
        <f>R44*R43*12/1000</f>
        <v>25.976016000000005</v>
      </c>
      <c r="S46" s="858"/>
      <c r="T46" s="859"/>
      <c r="U46" s="154">
        <f>S46</f>
        <v>0</v>
      </c>
      <c r="V46" s="277">
        <f>T46</f>
        <v>0</v>
      </c>
      <c r="W46" s="290">
        <f>W44*W43*6/1000</f>
        <v>0</v>
      </c>
      <c r="X46" s="265">
        <f>X44*X43*6/1000</f>
        <v>0</v>
      </c>
      <c r="Y46" s="296">
        <f>Y44*Y43*12/1000</f>
        <v>0</v>
      </c>
    </row>
    <row r="47" spans="1:25" s="12" customFormat="1" ht="30" customHeight="1" thickBot="1">
      <c r="A47" s="860">
        <v>10</v>
      </c>
      <c r="B47" s="861" t="s">
        <v>113</v>
      </c>
      <c r="C47" s="862" t="s">
        <v>112</v>
      </c>
      <c r="D47" s="863">
        <f>D29+D46</f>
        <v>2636.04</v>
      </c>
      <c r="E47" s="864">
        <f>E29+E46</f>
        <v>3380.3827199999992</v>
      </c>
      <c r="F47" s="865"/>
      <c r="G47" s="874">
        <f>G35+G46</f>
        <v>1942.2</v>
      </c>
      <c r="H47" s="866"/>
      <c r="I47" s="867">
        <f>I35+I46</f>
        <v>2474.1482000000005</v>
      </c>
      <c r="J47" s="868"/>
      <c r="K47" s="874">
        <v>2003</v>
      </c>
      <c r="L47" s="1011">
        <f>L35+L46</f>
        <v>2606.8719999999998</v>
      </c>
      <c r="M47" s="869">
        <f>M35+M46</f>
        <v>818.59490047532802</v>
      </c>
      <c r="N47" s="869">
        <f>N35+N46</f>
        <v>818.59490047532802</v>
      </c>
      <c r="O47" s="868"/>
      <c r="P47" s="866"/>
      <c r="Q47" s="870"/>
      <c r="R47" s="869">
        <f>R35+R46</f>
        <v>1637.1738169506561</v>
      </c>
      <c r="S47" s="871"/>
      <c r="T47" s="872"/>
      <c r="U47" s="142">
        <f>U29+U46</f>
        <v>2689.043920992</v>
      </c>
      <c r="V47" s="275">
        <f>V29+V46</f>
        <v>2826.1851609625924</v>
      </c>
      <c r="W47" s="272">
        <f>W29+W46</f>
        <v>0</v>
      </c>
      <c r="X47" s="291">
        <f>X29+X46</f>
        <v>0</v>
      </c>
      <c r="Y47" s="295">
        <f>Y29+Y46</f>
        <v>0</v>
      </c>
    </row>
    <row r="48" spans="1:25" s="12" customFormat="1" ht="29.25" customHeight="1" thickBot="1">
      <c r="A48" s="860">
        <v>11</v>
      </c>
      <c r="B48" s="861" t="s">
        <v>114</v>
      </c>
      <c r="C48" s="862" t="s">
        <v>89</v>
      </c>
      <c r="D48" s="873">
        <v>22150</v>
      </c>
      <c r="E48" s="866">
        <f>E47/E43/12*1000</f>
        <v>23474.879999999994</v>
      </c>
      <c r="F48" s="865"/>
      <c r="G48" s="874">
        <v>40468</v>
      </c>
      <c r="H48" s="866"/>
      <c r="I48" s="874">
        <f>I47/I43/12*1000</f>
        <v>51544.75416666668</v>
      </c>
      <c r="J48" s="870"/>
      <c r="K48" s="874">
        <v>41733</v>
      </c>
      <c r="L48" s="874">
        <f>L47/L43/12*1000</f>
        <v>72413.111111111109</v>
      </c>
      <c r="M48" s="875">
        <f>M47/M43/6*1000</f>
        <v>45477.494470851554</v>
      </c>
      <c r="N48" s="875">
        <f>N47/N43/6*1000</f>
        <v>45477.494470851554</v>
      </c>
      <c r="O48" s="870"/>
      <c r="P48" s="865"/>
      <c r="Q48" s="865"/>
      <c r="R48" s="874">
        <f>R47/R43/12*1000</f>
        <v>45477.050470851558</v>
      </c>
      <c r="S48" s="871"/>
      <c r="T48" s="872"/>
      <c r="U48" s="147">
        <f>U47/U43/12*1000</f>
        <v>56021.748354000003</v>
      </c>
      <c r="V48" s="278" t="e">
        <f>V47/V43/12*1000</f>
        <v>#DIV/0!</v>
      </c>
      <c r="W48" s="274">
        <f>W47/W43/6*1000</f>
        <v>0</v>
      </c>
      <c r="X48" s="293">
        <f>X47/X43/6*1000</f>
        <v>0</v>
      </c>
      <c r="Y48" s="297">
        <f>Y47/Y43/12*1000</f>
        <v>0</v>
      </c>
    </row>
    <row r="50" spans="2:25" ht="15.6">
      <c r="B50" s="17"/>
      <c r="C50" s="121"/>
      <c r="D50" s="16"/>
      <c r="E50" s="16"/>
      <c r="F50" s="16"/>
      <c r="G50" s="16"/>
      <c r="H50" s="152"/>
      <c r="I50" s="17"/>
      <c r="J50" s="16"/>
      <c r="R50" s="155"/>
      <c r="T50" s="158"/>
      <c r="U50" s="155"/>
      <c r="Y50" s="158"/>
    </row>
    <row r="51" spans="2:25" ht="15.6">
      <c r="B51" s="876" t="s">
        <v>377</v>
      </c>
      <c r="C51" s="877"/>
      <c r="D51" s="878"/>
      <c r="E51" s="878"/>
      <c r="G51" s="16"/>
      <c r="H51" s="152"/>
      <c r="I51" s="17"/>
      <c r="J51" s="16"/>
      <c r="K51" s="726" t="s">
        <v>436</v>
      </c>
      <c r="L51" s="726"/>
      <c r="R51" s="155"/>
      <c r="T51" s="158"/>
      <c r="U51" s="155"/>
      <c r="Y51" s="158"/>
    </row>
    <row r="52" spans="2:25" ht="15.6">
      <c r="B52" s="876" t="s">
        <v>378</v>
      </c>
      <c r="C52" s="877"/>
      <c r="D52" s="878"/>
      <c r="E52" s="878"/>
      <c r="F52" s="878"/>
      <c r="G52" s="16"/>
      <c r="H52" s="152"/>
      <c r="I52" s="17"/>
      <c r="J52" s="16"/>
      <c r="R52" s="155"/>
      <c r="T52" s="158"/>
      <c r="U52" s="155"/>
      <c r="Y52" s="158"/>
    </row>
    <row r="53" spans="2:25" ht="15.6">
      <c r="B53" s="876" t="s">
        <v>379</v>
      </c>
      <c r="C53" s="877"/>
      <c r="D53" s="878"/>
      <c r="E53" s="878"/>
      <c r="F53" s="878"/>
      <c r="G53" s="16"/>
      <c r="H53" s="152"/>
      <c r="I53" s="17"/>
      <c r="J53" s="16"/>
      <c r="R53" s="155"/>
      <c r="T53" s="158"/>
      <c r="U53" s="155"/>
      <c r="Y53" s="158"/>
    </row>
    <row r="54" spans="2:25">
      <c r="S54" s="156"/>
      <c r="T54" s="156"/>
      <c r="V54" s="156"/>
      <c r="W54" s="156"/>
      <c r="X54" s="156"/>
      <c r="Y54" s="156"/>
    </row>
  </sheetData>
  <mergeCells count="2">
    <mergeCell ref="A4:Y5"/>
    <mergeCell ref="A6:Y6"/>
  </mergeCells>
  <phoneticPr fontId="4" type="noConversion"/>
  <pageMargins left="0.70866141732283472" right="0.70866141732283472" top="0.47244094488188981" bottom="0.55118110236220474" header="0.31496062992125984" footer="0.31496062992125984"/>
  <pageSetup paperSize="9" scale="62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19"/>
  <sheetViews>
    <sheetView workbookViewId="0">
      <selection activeCell="J15" sqref="J15"/>
    </sheetView>
  </sheetViews>
  <sheetFormatPr defaultRowHeight="13.2"/>
  <cols>
    <col min="1" max="1" width="4.109375" style="426" customWidth="1"/>
    <col min="2" max="2" width="39.5546875" style="426" customWidth="1"/>
    <col min="3" max="3" width="14.109375" style="426" customWidth="1"/>
    <col min="4" max="4" width="11.109375" style="426" customWidth="1"/>
    <col min="5" max="5" width="10.6640625" style="426" customWidth="1"/>
    <col min="6" max="6" width="9.6640625" style="426" hidden="1" customWidth="1"/>
    <col min="7" max="7" width="9.6640625" style="426" customWidth="1"/>
    <col min="8" max="8" width="10.6640625" style="426" customWidth="1"/>
    <col min="9" max="9" width="10.109375" style="426" customWidth="1"/>
    <col min="10" max="10" width="12.109375" style="426" customWidth="1"/>
    <col min="11" max="16384" width="8.88671875" style="426"/>
  </cols>
  <sheetData>
    <row r="1" spans="1:12" ht="15.6">
      <c r="B1" s="427" t="s">
        <v>359</v>
      </c>
      <c r="C1" s="428"/>
      <c r="D1" s="428"/>
      <c r="E1" s="428"/>
      <c r="F1" s="428"/>
      <c r="G1" s="428"/>
      <c r="H1" s="428"/>
      <c r="I1" s="428"/>
      <c r="J1" s="429"/>
    </row>
    <row r="2" spans="1:12">
      <c r="A2" s="430"/>
      <c r="J2" s="429" t="s">
        <v>115</v>
      </c>
    </row>
    <row r="3" spans="1:12">
      <c r="A3" s="1761" t="s">
        <v>116</v>
      </c>
      <c r="B3" s="1761"/>
      <c r="C3" s="1761"/>
      <c r="D3" s="1761"/>
      <c r="E3" s="1761"/>
      <c r="F3" s="1761"/>
      <c r="G3" s="1761"/>
      <c r="H3" s="1761"/>
      <c r="I3" s="1761"/>
      <c r="J3" s="1761"/>
    </row>
    <row r="4" spans="1:12">
      <c r="A4" s="1761" t="s">
        <v>430</v>
      </c>
      <c r="B4" s="1761"/>
      <c r="C4" s="1761"/>
      <c r="D4" s="1761"/>
      <c r="E4" s="1761"/>
      <c r="F4" s="1761"/>
      <c r="G4" s="1761"/>
      <c r="H4" s="1761"/>
      <c r="I4" s="1761"/>
      <c r="J4" s="1761"/>
    </row>
    <row r="5" spans="1:12">
      <c r="A5" s="1761"/>
      <c r="B5" s="1761"/>
      <c r="C5" s="1761"/>
      <c r="D5" s="1761"/>
      <c r="E5" s="1761"/>
      <c r="F5" s="1761"/>
      <c r="G5" s="1761"/>
      <c r="H5" s="1761"/>
      <c r="I5" s="1761"/>
      <c r="J5" s="1761"/>
    </row>
    <row r="6" spans="1:12" ht="13.8" thickBot="1">
      <c r="B6" s="431"/>
      <c r="C6" s="431"/>
      <c r="D6" s="431"/>
      <c r="E6" s="431"/>
      <c r="F6" s="431"/>
      <c r="G6" s="431"/>
      <c r="H6" s="431"/>
      <c r="I6" s="431"/>
      <c r="J6" s="431" t="s">
        <v>95</v>
      </c>
    </row>
    <row r="7" spans="1:12" ht="41.4" thickBot="1">
      <c r="A7" s="1227" t="s">
        <v>117</v>
      </c>
      <c r="B7" s="1224" t="s">
        <v>118</v>
      </c>
      <c r="C7" s="732" t="s">
        <v>466</v>
      </c>
      <c r="D7" s="732" t="s">
        <v>467</v>
      </c>
      <c r="E7" s="732" t="s">
        <v>468</v>
      </c>
      <c r="F7" s="1235"/>
      <c r="G7" s="732" t="s">
        <v>469</v>
      </c>
      <c r="H7" s="732" t="s">
        <v>453</v>
      </c>
      <c r="I7" s="732" t="s">
        <v>454</v>
      </c>
      <c r="J7" s="732" t="s">
        <v>455</v>
      </c>
      <c r="K7" s="1241" t="s">
        <v>470</v>
      </c>
    </row>
    <row r="8" spans="1:12" ht="24">
      <c r="A8" s="1228" t="s">
        <v>119</v>
      </c>
      <c r="B8" s="1225" t="s">
        <v>120</v>
      </c>
      <c r="C8" s="1230">
        <v>11878.44</v>
      </c>
      <c r="D8" s="1231">
        <v>13899.5</v>
      </c>
      <c r="E8" s="1230">
        <v>14803</v>
      </c>
      <c r="F8" s="1236"/>
      <c r="G8" s="1231">
        <v>22629</v>
      </c>
      <c r="H8" s="1231">
        <v>20813</v>
      </c>
      <c r="I8" s="1231">
        <v>20813</v>
      </c>
      <c r="J8" s="1231">
        <v>20813</v>
      </c>
      <c r="K8" s="1242"/>
    </row>
    <row r="9" spans="1:12">
      <c r="A9" s="1228" t="s">
        <v>121</v>
      </c>
      <c r="B9" s="1225" t="s">
        <v>122</v>
      </c>
      <c r="C9" s="1230">
        <v>0</v>
      </c>
      <c r="D9" s="1231">
        <v>8729.5</v>
      </c>
      <c r="E9" s="1230">
        <v>0</v>
      </c>
      <c r="F9" s="1236"/>
      <c r="G9" s="1231">
        <v>0</v>
      </c>
      <c r="H9" s="1231">
        <v>0</v>
      </c>
      <c r="I9" s="1231">
        <v>0</v>
      </c>
      <c r="J9" s="1231">
        <v>0</v>
      </c>
      <c r="K9" s="1242"/>
    </row>
    <row r="10" spans="1:12">
      <c r="A10" s="1228" t="s">
        <v>123</v>
      </c>
      <c r="B10" s="1225" t="s">
        <v>124</v>
      </c>
      <c r="C10" s="1230">
        <v>0</v>
      </c>
      <c r="D10" s="1231">
        <v>0</v>
      </c>
      <c r="E10" s="1230">
        <v>0</v>
      </c>
      <c r="F10" s="1236"/>
      <c r="G10" s="1231">
        <v>1816</v>
      </c>
      <c r="H10" s="1231">
        <v>0</v>
      </c>
      <c r="I10" s="1231">
        <v>0</v>
      </c>
      <c r="J10" s="1231">
        <v>0</v>
      </c>
      <c r="K10" s="1242"/>
    </row>
    <row r="11" spans="1:12" ht="24">
      <c r="A11" s="1228" t="s">
        <v>133</v>
      </c>
      <c r="B11" s="1225" t="s">
        <v>318</v>
      </c>
      <c r="C11" s="1230">
        <v>11878.44</v>
      </c>
      <c r="D11" s="1230">
        <v>22629</v>
      </c>
      <c r="E11" s="1230">
        <v>14803</v>
      </c>
      <c r="F11" s="1237"/>
      <c r="G11" s="1230">
        <v>20813</v>
      </c>
      <c r="H11" s="1230">
        <v>20813</v>
      </c>
      <c r="I11" s="1230">
        <v>20813</v>
      </c>
      <c r="J11" s="1230">
        <v>20813</v>
      </c>
      <c r="K11" s="1243"/>
    </row>
    <row r="12" spans="1:12" ht="24">
      <c r="A12" s="1228" t="s">
        <v>141</v>
      </c>
      <c r="B12" s="1225" t="s">
        <v>125</v>
      </c>
      <c r="C12" s="1230">
        <v>11878.44</v>
      </c>
      <c r="D12" s="1231">
        <v>18504</v>
      </c>
      <c r="E12" s="1231">
        <v>14803</v>
      </c>
      <c r="F12" s="1238"/>
      <c r="G12" s="1231">
        <v>21790.799999999999</v>
      </c>
      <c r="H12" s="1231">
        <v>20813</v>
      </c>
      <c r="I12" s="1231">
        <v>20813</v>
      </c>
      <c r="J12" s="1231">
        <v>20813</v>
      </c>
      <c r="K12" s="1242"/>
    </row>
    <row r="13" spans="1:12">
      <c r="A13" s="1228" t="s">
        <v>142</v>
      </c>
      <c r="B13" s="1225" t="s">
        <v>126</v>
      </c>
      <c r="C13" s="1232">
        <v>21.3</v>
      </c>
      <c r="D13" s="1232">
        <f>D14/D12*100</f>
        <v>3.4460657155209686</v>
      </c>
      <c r="E13" s="1232">
        <v>5.24</v>
      </c>
      <c r="F13" s="1237"/>
      <c r="G13" s="1232">
        <f>G14/G12*100</f>
        <v>3.6047322723351143</v>
      </c>
      <c r="H13" s="1232">
        <f>H14/H12*100</f>
        <v>1.8851198769999522</v>
      </c>
      <c r="I13" s="1232">
        <f>I14/I12*100</f>
        <v>1.8851198769999522</v>
      </c>
      <c r="J13" s="1232">
        <f>J14/J12*100</f>
        <v>3.7702397539999044</v>
      </c>
      <c r="K13" s="1244" t="e">
        <f>K14/K12*100</f>
        <v>#DIV/0!</v>
      </c>
      <c r="L13" s="1299"/>
    </row>
    <row r="14" spans="1:12" ht="13.8" thickBot="1">
      <c r="A14" s="1229" t="s">
        <v>143</v>
      </c>
      <c r="B14" s="1226" t="s">
        <v>127</v>
      </c>
      <c r="C14" s="1233">
        <v>557.55999999999995</v>
      </c>
      <c r="D14" s="1234">
        <v>637.66</v>
      </c>
      <c r="E14" s="1233">
        <v>775</v>
      </c>
      <c r="F14" s="1239"/>
      <c r="G14" s="1233">
        <v>785.5</v>
      </c>
      <c r="H14" s="1240">
        <v>392.35</v>
      </c>
      <c r="I14" s="1234">
        <v>392.35</v>
      </c>
      <c r="J14" s="1233">
        <v>784.7</v>
      </c>
      <c r="K14" s="1245"/>
    </row>
    <row r="15" spans="1:12">
      <c r="A15" s="432"/>
      <c r="I15" s="1299"/>
    </row>
    <row r="17" spans="2:13" ht="15.6">
      <c r="B17" s="110" t="s">
        <v>377</v>
      </c>
      <c r="C17" s="433"/>
      <c r="D17" s="433"/>
      <c r="E17" s="456" t="s">
        <v>436</v>
      </c>
      <c r="F17" s="433"/>
      <c r="G17" s="433"/>
      <c r="J17" s="434"/>
      <c r="L17" s="435"/>
      <c r="M17" s="435"/>
    </row>
    <row r="18" spans="2:13">
      <c r="B18" s="110" t="s">
        <v>378</v>
      </c>
    </row>
    <row r="19" spans="2:13">
      <c r="B19" s="110" t="s">
        <v>379</v>
      </c>
    </row>
  </sheetData>
  <mergeCells count="3">
    <mergeCell ref="A3:J3"/>
    <mergeCell ref="A4:J4"/>
    <mergeCell ref="A5:J5"/>
  </mergeCells>
  <phoneticPr fontId="4" type="noConversion"/>
  <pageMargins left="0.43307086614173229" right="0.19685039370078741" top="0.74803149606299213" bottom="0.74803149606299213" header="0.31496062992125984" footer="0.31496062992125984"/>
  <pageSetup paperSize="9" scale="9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11</vt:i4>
      </vt:variant>
    </vt:vector>
  </HeadingPairs>
  <TitlesOfParts>
    <vt:vector size="31" baseType="lpstr">
      <vt:lpstr>1.1.2</vt:lpstr>
      <vt:lpstr>1.2.2</vt:lpstr>
      <vt:lpstr>1.3</vt:lpstr>
      <vt:lpstr>1.4</vt:lpstr>
      <vt:lpstr>1.5</vt:lpstr>
      <vt:lpstr>1.6</vt:lpstr>
      <vt:lpstr>1.15передача и сбыт</vt:lpstr>
      <vt:lpstr>1.16передача и сбыт</vt:lpstr>
      <vt:lpstr>1.17передача и сбыт</vt:lpstr>
      <vt:lpstr>1.21передача и сбыт</vt:lpstr>
      <vt:lpstr>1.24</vt:lpstr>
      <vt:lpstr>1.25</vt:lpstr>
      <vt:lpstr>1.15передача</vt:lpstr>
      <vt:lpstr>1.16передача</vt:lpstr>
      <vt:lpstr>1.17передача</vt:lpstr>
      <vt:lpstr>1.21передача</vt:lpstr>
      <vt:lpstr>1.15сбыт</vt:lpstr>
      <vt:lpstr>1.16сбыт</vt:lpstr>
      <vt:lpstr>1.17сбыт</vt:lpstr>
      <vt:lpstr>1.21сбыт</vt:lpstr>
      <vt:lpstr>'1.15передача и сбыт'!Заголовки_для_печати</vt:lpstr>
      <vt:lpstr>'1.1.2'!Область_печати</vt:lpstr>
      <vt:lpstr>'1.15передача и сбыт'!Область_печати</vt:lpstr>
      <vt:lpstr>'1.16передача и сбыт'!Область_печати</vt:lpstr>
      <vt:lpstr>'1.2.2'!Область_печати</vt:lpstr>
      <vt:lpstr>'1.24'!Область_печати</vt:lpstr>
      <vt:lpstr>'1.25'!Область_печати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</vt:vector>
  </TitlesOfParts>
  <Company>ПСРМЗ Холдинг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Аврамец Инна Сергеевна</cp:lastModifiedBy>
  <cp:lastPrinted>2016-04-27T03:54:42Z</cp:lastPrinted>
  <dcterms:created xsi:type="dcterms:W3CDTF">2006-10-21T06:27:40Z</dcterms:created>
  <dcterms:modified xsi:type="dcterms:W3CDTF">2016-05-04T23:51:55Z</dcterms:modified>
</cp:coreProperties>
</file>