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80" windowWidth="12120" windowHeight="7710" tabRatio="729" activeTab="18"/>
  </bookViews>
  <sheets>
    <sheet name="Реестр" sheetId="1" r:id="rId1"/>
    <sheet name="1" sheetId="2" r:id="rId2"/>
    <sheet name="2" sheetId="3" r:id="rId3"/>
    <sheet name="П1.3 2017г." sheetId="4" r:id="rId4"/>
    <sheet name="4 " sheetId="5" r:id="rId5"/>
    <sheet name="5 " sheetId="6" r:id="rId6"/>
    <sheet name="6 2017 год " sheetId="7" r:id="rId7"/>
    <sheet name="1.15" sheetId="8" r:id="rId8"/>
    <sheet name="1.15 сбыт" sheetId="9" state="hidden" r:id="rId9"/>
    <sheet name="1.15 передача" sheetId="10" state="hidden" r:id="rId10"/>
    <sheet name="1.16" sheetId="11" r:id="rId11"/>
    <sheet name="1.16 сбыт" sheetId="12" state="hidden" r:id="rId12"/>
    <sheet name="1.16 передача" sheetId="13" state="hidden" r:id="rId13"/>
    <sheet name="1.17" sheetId="14" r:id="rId14"/>
    <sheet name="1.17 сбыт" sheetId="15" state="hidden" r:id="rId15"/>
    <sheet name="1.17 передача" sheetId="16" state="hidden" r:id="rId16"/>
    <sheet name="1.21.3" sheetId="17" state="hidden" r:id="rId17"/>
    <sheet name="1.24" sheetId="18" r:id="rId18"/>
    <sheet name="1.25" sheetId="19" r:id="rId19"/>
    <sheet name="2.1" sheetId="20" r:id="rId20"/>
    <sheet name="2.2" sheetId="21" r:id="rId21"/>
  </sheets>
  <externalReferences>
    <externalReference r:id="rId24"/>
    <externalReference r:id="rId25"/>
  </externalReferences>
  <definedNames>
    <definedName name="Z_5B78C4A7_341D_498B_96E5_9430E4487E17_.wvu.Cols" localSheetId="18" hidden="1">'1.25'!$D:$H</definedName>
    <definedName name="Z_5B78C4A7_341D_498B_96E5_9430E4487E17_.wvu.Cols" localSheetId="2" hidden="1">'2'!$D:$D,'2'!$G:$J</definedName>
    <definedName name="Z_5B78C4A7_341D_498B_96E5_9430E4487E17_.wvu.PrintArea" localSheetId="1" hidden="1">'1'!$A$1:$J$41</definedName>
    <definedName name="Z_5B78C4A7_341D_498B_96E5_9430E4487E17_.wvu.PrintArea" localSheetId="18" hidden="1">'1.25'!$A$1:$O$42</definedName>
    <definedName name="Z_5B78C4A7_341D_498B_96E5_9430E4487E17_.wvu.PrintArea" localSheetId="2" hidden="1">'2'!$A$1:$O$53</definedName>
    <definedName name="Z_5B78C4A7_341D_498B_96E5_9430E4487E17_.wvu.PrintArea" localSheetId="20" hidden="1">'2.2'!$A$1:$G$76</definedName>
    <definedName name="Z_5B78C4A7_341D_498B_96E5_9430E4487E17_.wvu.PrintArea" localSheetId="4" hidden="1">'4 '!$A$1:$AU$34</definedName>
    <definedName name="Z_5B78C4A7_341D_498B_96E5_9430E4487E17_.wvu.PrintArea" localSheetId="5" hidden="1">'5 '!$A$1:$AP$33</definedName>
    <definedName name="Z_5B78C4A7_341D_498B_96E5_9430E4487E17_.wvu.PrintArea" localSheetId="6" hidden="1">'6 2017 год '!$A$1:$R$70</definedName>
    <definedName name="Z_5B78C4A7_341D_498B_96E5_9430E4487E17_.wvu.PrintArea" localSheetId="3" hidden="1">'П1.3 2017г.'!$A$1:$AL$41</definedName>
    <definedName name="Z_5B78C4A7_341D_498B_96E5_9430E4487E17_.wvu.PrintTitles" localSheetId="6" hidden="1">'6 2017 год '!$6:$8</definedName>
    <definedName name="Z_5B78C4A7_341D_498B_96E5_9430E4487E17_.wvu.Rows" localSheetId="1" hidden="1">'1'!$2:$18</definedName>
    <definedName name="Z_5B78C4A7_341D_498B_96E5_9430E4487E17_.wvu.Rows" localSheetId="2" hidden="1">'2'!$2:$25,'2'!$45:$45,'2'!$50:$50</definedName>
    <definedName name="Z_5B78C4A7_341D_498B_96E5_9430E4487E17_.wvu.Rows" localSheetId="4" hidden="1">'4 '!$24:$24,'4 '!$26:$26</definedName>
    <definedName name="Z_5B78C4A7_341D_498B_96E5_9430E4487E17_.wvu.Rows" localSheetId="5" hidden="1">'5 '!$21:$22</definedName>
    <definedName name="Z_5B78C4A7_341D_498B_96E5_9430E4487E17_.wvu.Rows" localSheetId="6" hidden="1">'6 2017 год '!$14:$15,'6 2017 год '!$22:$23,'6 2017 год '!#REF!,'6 2017 год '!$37:$38,'6 2017 год '!$40:$48</definedName>
    <definedName name="Z_7514D7FE_294B_4E2A_BF32_7E032C9422E9_.wvu.Cols" localSheetId="1" hidden="1">'1'!#REF!</definedName>
    <definedName name="Z_7514D7FE_294B_4E2A_BF32_7E032C9422E9_.wvu.Cols" localSheetId="2" hidden="1">'2'!$G:$J</definedName>
    <definedName name="Z_7514D7FE_294B_4E2A_BF32_7E032C9422E9_.wvu.PrintArea" localSheetId="1" hidden="1">'1'!$A$1:$C$40</definedName>
    <definedName name="Z_7514D7FE_294B_4E2A_BF32_7E032C9422E9_.wvu.PrintArea" localSheetId="2" hidden="1">'2'!$A$1:$G$53</definedName>
    <definedName name="Z_7514D7FE_294B_4E2A_BF32_7E032C9422E9_.wvu.PrintArea" localSheetId="4" hidden="1">'4 '!$A$1:$Q$34</definedName>
    <definedName name="Z_7514D7FE_294B_4E2A_BF32_7E032C9422E9_.wvu.PrintArea" localSheetId="5" hidden="1">'5 '!$A$1:$Q$31</definedName>
    <definedName name="Z_7514D7FE_294B_4E2A_BF32_7E032C9422E9_.wvu.Rows" localSheetId="4" hidden="1">'4 '!$21:$22,'4 '!$24:$24,'4 '!$26:$26</definedName>
    <definedName name="Z_7514D7FE_294B_4E2A_BF32_7E032C9422E9_.wvu.Rows" localSheetId="5" hidden="1">'5 '!$21:$22</definedName>
    <definedName name="Z_8BD9712B_522F_412B_8E30_18ACC906BD4B_.wvu.Cols" localSheetId="18" hidden="1">'1.25'!$D:$H</definedName>
    <definedName name="Z_8BD9712B_522F_412B_8E30_18ACC906BD4B_.wvu.Cols" localSheetId="2" hidden="1">'2'!$D:$D,'2'!$G:$J</definedName>
    <definedName name="Z_8BD9712B_522F_412B_8E30_18ACC906BD4B_.wvu.PrintArea" localSheetId="1" hidden="1">'1'!$A$1:$J$41</definedName>
    <definedName name="Z_8BD9712B_522F_412B_8E30_18ACC906BD4B_.wvu.PrintArea" localSheetId="18" hidden="1">'1.25'!$A$1:$O$42</definedName>
    <definedName name="Z_8BD9712B_522F_412B_8E30_18ACC906BD4B_.wvu.PrintArea" localSheetId="2" hidden="1">'2'!$A$1:$O$53</definedName>
    <definedName name="Z_8BD9712B_522F_412B_8E30_18ACC906BD4B_.wvu.PrintArea" localSheetId="20" hidden="1">'2.2'!$A$1:$G$76</definedName>
    <definedName name="Z_8BD9712B_522F_412B_8E30_18ACC906BD4B_.wvu.PrintArea" localSheetId="4" hidden="1">'4 '!$A$1:$AU$34</definedName>
    <definedName name="Z_8BD9712B_522F_412B_8E30_18ACC906BD4B_.wvu.PrintArea" localSheetId="5" hidden="1">'5 '!$A$1:$AP$33</definedName>
    <definedName name="Z_8BD9712B_522F_412B_8E30_18ACC906BD4B_.wvu.PrintArea" localSheetId="6" hidden="1">'6 2017 год '!$A$1:$R$70</definedName>
    <definedName name="Z_8BD9712B_522F_412B_8E30_18ACC906BD4B_.wvu.PrintArea" localSheetId="3" hidden="1">'П1.3 2017г.'!$A$1:$AL$41</definedName>
    <definedName name="Z_8BD9712B_522F_412B_8E30_18ACC906BD4B_.wvu.PrintTitles" localSheetId="6" hidden="1">'6 2017 год '!$6:$8</definedName>
    <definedName name="Z_8BD9712B_522F_412B_8E30_18ACC906BD4B_.wvu.Rows" localSheetId="1" hidden="1">'1'!$2:$18</definedName>
    <definedName name="Z_8BD9712B_522F_412B_8E30_18ACC906BD4B_.wvu.Rows" localSheetId="2" hidden="1">'2'!$2:$25,'2'!$45:$45,'2'!$50:$50</definedName>
    <definedName name="Z_8BD9712B_522F_412B_8E30_18ACC906BD4B_.wvu.Rows" localSheetId="4" hidden="1">'4 '!$24:$24,'4 '!$26:$26</definedName>
    <definedName name="Z_8BD9712B_522F_412B_8E30_18ACC906BD4B_.wvu.Rows" localSheetId="5" hidden="1">'5 '!$21:$22</definedName>
    <definedName name="Z_8BD9712B_522F_412B_8E30_18ACC906BD4B_.wvu.Rows" localSheetId="6" hidden="1">'6 2017 год '!$14:$15,'6 2017 год '!$22:$23,'6 2017 год '!#REF!,'6 2017 год '!$37:$38,'6 2017 год '!$40:$48</definedName>
    <definedName name="Z_8EC3C0C1_A42C_4CA5_A503_C2942BB73B27_.wvu.Cols" localSheetId="18" hidden="1">'1.25'!$D:$H</definedName>
    <definedName name="Z_8EC3C0C1_A42C_4CA5_A503_C2942BB73B27_.wvu.Cols" localSheetId="2" hidden="1">'2'!$D:$D,'2'!$G:$J</definedName>
    <definedName name="Z_8EC3C0C1_A42C_4CA5_A503_C2942BB73B27_.wvu.PrintArea" localSheetId="1" hidden="1">'1'!$A$1:$J$41</definedName>
    <definedName name="Z_8EC3C0C1_A42C_4CA5_A503_C2942BB73B27_.wvu.PrintArea" localSheetId="18" hidden="1">'1.25'!$A$1:$O$42</definedName>
    <definedName name="Z_8EC3C0C1_A42C_4CA5_A503_C2942BB73B27_.wvu.PrintArea" localSheetId="2" hidden="1">'2'!$A$1:$O$53</definedName>
    <definedName name="Z_8EC3C0C1_A42C_4CA5_A503_C2942BB73B27_.wvu.PrintArea" localSheetId="20" hidden="1">'2.2'!$A$1:$G$76</definedName>
    <definedName name="Z_8EC3C0C1_A42C_4CA5_A503_C2942BB73B27_.wvu.PrintArea" localSheetId="4" hidden="1">'4 '!$A$1:$AU$34</definedName>
    <definedName name="Z_8EC3C0C1_A42C_4CA5_A503_C2942BB73B27_.wvu.PrintArea" localSheetId="5" hidden="1">'5 '!$A$1:$AP$33</definedName>
    <definedName name="Z_8EC3C0C1_A42C_4CA5_A503_C2942BB73B27_.wvu.PrintArea" localSheetId="6" hidden="1">'6 2017 год '!$A$1:$R$70</definedName>
    <definedName name="Z_8EC3C0C1_A42C_4CA5_A503_C2942BB73B27_.wvu.PrintArea" localSheetId="3" hidden="1">'П1.3 2017г.'!$A$1:$AV$41</definedName>
    <definedName name="Z_8EC3C0C1_A42C_4CA5_A503_C2942BB73B27_.wvu.PrintTitles" localSheetId="6" hidden="1">'6 2017 год '!$6:$8</definedName>
    <definedName name="Z_8EC3C0C1_A42C_4CA5_A503_C2942BB73B27_.wvu.Rows" localSheetId="1" hidden="1">'1'!$2:$18</definedName>
    <definedName name="Z_8EC3C0C1_A42C_4CA5_A503_C2942BB73B27_.wvu.Rows" localSheetId="2" hidden="1">'2'!$2:$25,'2'!$45:$45,'2'!$50:$50</definedName>
    <definedName name="Z_8EC3C0C1_A42C_4CA5_A503_C2942BB73B27_.wvu.Rows" localSheetId="4" hidden="1">'4 '!$24:$24,'4 '!$26:$26</definedName>
    <definedName name="Z_8EC3C0C1_A42C_4CA5_A503_C2942BB73B27_.wvu.Rows" localSheetId="5" hidden="1">'5 '!$21:$22</definedName>
    <definedName name="Z_8EC3C0C1_A42C_4CA5_A503_C2942BB73B27_.wvu.Rows" localSheetId="6" hidden="1">'6 2017 год '!$14:$15,'6 2017 год '!$22:$23,'6 2017 год '!#REF!,'6 2017 год '!$37:$38,'6 2017 год '!$40:$48</definedName>
    <definedName name="Z_C1FE1A1A_99F3_4F27_A8EA_DE93B0C5A2B7_.wvu.Rows" localSheetId="6" hidden="1">'6 2017 год '!$40:$48</definedName>
    <definedName name="Z_D1825583_090D_414C_8BED_CF3013019234_.wvu.Rows" localSheetId="6" hidden="1">'6 2017 год '!$40:$48</definedName>
    <definedName name="Z_E8E7A2BB_ACF4_4E40_B74E_E0A17321413E_.wvu.Cols" localSheetId="18" hidden="1">'1.25'!$D:$H</definedName>
    <definedName name="Z_E8E7A2BB_ACF4_4E40_B74E_E0A17321413E_.wvu.Cols" localSheetId="2" hidden="1">'2'!$D:$D,'2'!$G:$J</definedName>
    <definedName name="Z_E8E7A2BB_ACF4_4E40_B74E_E0A17321413E_.wvu.PrintArea" localSheetId="1" hidden="1">'1'!$A$1:$J$41</definedName>
    <definedName name="Z_E8E7A2BB_ACF4_4E40_B74E_E0A17321413E_.wvu.PrintArea" localSheetId="18" hidden="1">'1.25'!$A$1:$O$42</definedName>
    <definedName name="Z_E8E7A2BB_ACF4_4E40_B74E_E0A17321413E_.wvu.PrintArea" localSheetId="2" hidden="1">'2'!$A$1:$O$53</definedName>
    <definedName name="Z_E8E7A2BB_ACF4_4E40_B74E_E0A17321413E_.wvu.PrintArea" localSheetId="20" hidden="1">'2.2'!$A$1:$G$76</definedName>
    <definedName name="Z_E8E7A2BB_ACF4_4E40_B74E_E0A17321413E_.wvu.PrintArea" localSheetId="4" hidden="1">'4 '!$A$1:$AU$34</definedName>
    <definedName name="Z_E8E7A2BB_ACF4_4E40_B74E_E0A17321413E_.wvu.PrintArea" localSheetId="5" hidden="1">'5 '!$A$1:$AP$33</definedName>
    <definedName name="Z_E8E7A2BB_ACF4_4E40_B74E_E0A17321413E_.wvu.PrintArea" localSheetId="6" hidden="1">'6 2017 год '!$A$1:$R$70</definedName>
    <definedName name="Z_E8E7A2BB_ACF4_4E40_B74E_E0A17321413E_.wvu.PrintArea" localSheetId="3" hidden="1">'П1.3 2017г.'!$A$1:$AL$41</definedName>
    <definedName name="Z_E8E7A2BB_ACF4_4E40_B74E_E0A17321413E_.wvu.PrintTitles" localSheetId="6" hidden="1">'6 2017 год '!$6:$8</definedName>
    <definedName name="Z_E8E7A2BB_ACF4_4E40_B74E_E0A17321413E_.wvu.Rows" localSheetId="1" hidden="1">'1'!$2:$18</definedName>
    <definedName name="Z_E8E7A2BB_ACF4_4E40_B74E_E0A17321413E_.wvu.Rows" localSheetId="2" hidden="1">'2'!$2:$25,'2'!$45:$45,'2'!$50:$50</definedName>
    <definedName name="Z_E8E7A2BB_ACF4_4E40_B74E_E0A17321413E_.wvu.Rows" localSheetId="4" hidden="1">'4 '!$24:$24,'4 '!$26:$26</definedName>
    <definedName name="Z_E8E7A2BB_ACF4_4E40_B74E_E0A17321413E_.wvu.Rows" localSheetId="5" hidden="1">'5 '!$21:$22</definedName>
    <definedName name="Z_E8E7A2BB_ACF4_4E40_B74E_E0A17321413E_.wvu.Rows" localSheetId="6" hidden="1">'6 2017 год '!$14:$15,'6 2017 год '!$22:$23,'6 2017 год '!#REF!,'6 2017 год '!$37:$38,'6 2017 год '!$40:$48</definedName>
    <definedName name="_xlnm.Print_Titles" localSheetId="6">'6 2017 год '!$6:$8</definedName>
    <definedName name="_xlnm.Print_Area" localSheetId="1">'1'!$A$1:$M$45</definedName>
    <definedName name="_xlnm.Print_Area" localSheetId="7">'1.15'!$A$1:$R$35</definedName>
    <definedName name="_xlnm.Print_Area" localSheetId="9">'1.15 передача'!$A$1:$O$35</definedName>
    <definedName name="_xlnm.Print_Area" localSheetId="8">'1.15 сбыт'!$A$1:$O$35</definedName>
    <definedName name="_xlnm.Print_Area" localSheetId="10">'1.16'!$A$1:$V$56</definedName>
    <definedName name="_xlnm.Print_Area" localSheetId="12">'1.16 передача'!$A$1:$M$54</definedName>
    <definedName name="_xlnm.Print_Area" localSheetId="11">'1.16 сбыт'!$A$1:$M$54</definedName>
    <definedName name="_xlnm.Print_Area" localSheetId="13">'1.17'!$A$1:$J$21</definedName>
    <definedName name="_xlnm.Print_Area" localSheetId="15">'1.17 передача'!$A$1:$G$25</definedName>
    <definedName name="_xlnm.Print_Area" localSheetId="14">'1.17 сбыт'!$A$1:$F$20</definedName>
    <definedName name="_xlnm.Print_Area" localSheetId="17">'1.24'!$A$1:$J$45</definedName>
    <definedName name="_xlnm.Print_Area" localSheetId="18">'1.25'!$A$1:$Q$45</definedName>
    <definedName name="_xlnm.Print_Area" localSheetId="2">'2'!$A$1:$O$54</definedName>
    <definedName name="_xlnm.Print_Area" localSheetId="19">'2.1'!$A$1:$G$70</definedName>
    <definedName name="_xlnm.Print_Area" localSheetId="20">'2.2'!$A$1:$G$80</definedName>
    <definedName name="_xlnm.Print_Area" localSheetId="4">'4 '!$A$1:$AU$39</definedName>
    <definedName name="_xlnm.Print_Area" localSheetId="5">'5 '!$A$1:$AU$33</definedName>
    <definedName name="_xlnm.Print_Area" localSheetId="6">'6 2017 год '!$A$1:$R$87</definedName>
    <definedName name="_xlnm.Print_Area" localSheetId="0">'Реестр'!$A$1:$C$23</definedName>
  </definedNames>
  <calcPr fullCalcOnLoad="1"/>
</workbook>
</file>

<file path=xl/comments3.xml><?xml version="1.0" encoding="utf-8"?>
<comments xmlns="http://schemas.openxmlformats.org/spreadsheetml/2006/main">
  <authors>
    <author>Пользователь</author>
  </authors>
  <commentList>
    <comment ref="D16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1112
</t>
        </r>
      </text>
    </comment>
  </commentList>
</comments>
</file>

<file path=xl/sharedStrings.xml><?xml version="1.0" encoding="utf-8"?>
<sst xmlns="http://schemas.openxmlformats.org/spreadsheetml/2006/main" count="1727" uniqueCount="613">
  <si>
    <t>Расчет полезного отпуска электрической энергии по ПЭ</t>
  </si>
  <si>
    <t>Центральный энергоузел</t>
  </si>
  <si>
    <t>млн.кВтч</t>
  </si>
  <si>
    <t>п.п.</t>
  </si>
  <si>
    <t>Показатели</t>
  </si>
  <si>
    <t>Базовый период               2005 г.</t>
  </si>
  <si>
    <t>Утверждено УРТ АКО на 2005 год</t>
  </si>
  <si>
    <t>Период регулирования    2007 г.</t>
  </si>
  <si>
    <t>1.</t>
  </si>
  <si>
    <t>Выработка электроэнергии , всего</t>
  </si>
  <si>
    <t>в т.ч. ТЭС</t>
  </si>
  <si>
    <t xml:space="preserve">           ГЭС</t>
  </si>
  <si>
    <t>2.</t>
  </si>
  <si>
    <t>Покупная электроэнергия от других собственников</t>
  </si>
  <si>
    <t>3.</t>
  </si>
  <si>
    <t>Расход электроэнергии на собственные нужды</t>
  </si>
  <si>
    <t>в том числе:                                                                                                   на ТЭС</t>
  </si>
  <si>
    <t xml:space="preserve">                                                                                                                             - на производство электроэнергии</t>
  </si>
  <si>
    <t>то же в %</t>
  </si>
  <si>
    <t>- на производство теплоэнергии</t>
  </si>
  <si>
    <t>то же в кВт.ч/Гкал</t>
  </si>
  <si>
    <t>на ГЭС</t>
  </si>
  <si>
    <t>4.</t>
  </si>
  <si>
    <t>Отпуск электроэнергии с шин (п.1-п.3), всего</t>
  </si>
  <si>
    <t>5.</t>
  </si>
  <si>
    <t>Расход электроэнергии на производственные  и хозяйственные нужды ПЭ</t>
  </si>
  <si>
    <t>6.</t>
  </si>
  <si>
    <t>Потери электроэнергии в пристанционных узлах</t>
  </si>
  <si>
    <t>7.</t>
  </si>
  <si>
    <t>Полезный отпуск ПЭ,  (п.4+п.2-п.5-п.6)</t>
  </si>
  <si>
    <t>в том числе:                                                                                                     на генераторном напряжении</t>
  </si>
  <si>
    <t>Таблица № П1.2.2</t>
  </si>
  <si>
    <t>Расчет полезного отпуска электрической энергии по ЭСО</t>
  </si>
  <si>
    <t>Полезный отпуск ПЭ,  (строка 7 т.1.2.1)</t>
  </si>
  <si>
    <t>2.1.</t>
  </si>
  <si>
    <t>с оптового рынка</t>
  </si>
  <si>
    <t>2.2</t>
  </si>
  <si>
    <t>от блок-станций</t>
  </si>
  <si>
    <t>2.3.</t>
  </si>
  <si>
    <t>Потери электроэнергии в сетях</t>
  </si>
  <si>
    <t>то же в % к отпуску в сеть</t>
  </si>
  <si>
    <t>Расход электроэнергии на производственные и хозяйственные нужды</t>
  </si>
  <si>
    <t>в том числе производственные нужды:                                                                                                 на холодный резерв станций</t>
  </si>
  <si>
    <t>для ЦТП</t>
  </si>
  <si>
    <t>для ПНС</t>
  </si>
  <si>
    <t>Полезный отпуск электроэнергии ЭСО , всего</t>
  </si>
  <si>
    <t>в том числе:</t>
  </si>
  <si>
    <t>5.1.</t>
  </si>
  <si>
    <t>5.2.</t>
  </si>
  <si>
    <t>Отпуск электроэнергии по прямым договорам (транзит)</t>
  </si>
  <si>
    <t>5.3.</t>
  </si>
  <si>
    <t xml:space="preserve"> Баланс мощности ПЭ в годовом совмещенном максимуме  графика электрической нагрузки ОЭС</t>
  </si>
  <si>
    <t>Единица измерения</t>
  </si>
  <si>
    <t xml:space="preserve">Установленная мощность эл. станций ПЭ </t>
  </si>
  <si>
    <t>тыс. кВт</t>
  </si>
  <si>
    <t>Снижение мощности из-за вывода оборудования в консервацию</t>
  </si>
  <si>
    <t>-</t>
  </si>
  <si>
    <t>Нормативные, согласованные с ОРГРЭС ограничения мощности</t>
  </si>
  <si>
    <t>Прочие ограничения</t>
  </si>
  <si>
    <t>Располагаемая мощность ПЭ</t>
  </si>
  <si>
    <t>Снижение мощности из-за вывода оборудования в реконструкцию и во все виды ремонтов</t>
  </si>
  <si>
    <t>Рабочая мощность ПЭ</t>
  </si>
  <si>
    <t>Мощность на собственнные нужды</t>
  </si>
  <si>
    <t>Полезная мощность ПЭ</t>
  </si>
  <si>
    <t>в том числе:
на генераторном напряжении</t>
  </si>
  <si>
    <t xml:space="preserve"> Баланс мощности ЭСО в годовом совмещенном максимуме  графика электрической нагрузки ОЭС</t>
  </si>
  <si>
    <t xml:space="preserve">Поступление мощности в сеть ЭСО от ПЭ </t>
  </si>
  <si>
    <t>1.1.</t>
  </si>
  <si>
    <t>Собственных станций</t>
  </si>
  <si>
    <t>1.2.</t>
  </si>
  <si>
    <t>От блокстанций</t>
  </si>
  <si>
    <t>1.3.</t>
  </si>
  <si>
    <t>С оптового рынка</t>
  </si>
  <si>
    <t>1.4.</t>
  </si>
  <si>
    <t xml:space="preserve">Потери в сети </t>
  </si>
  <si>
    <t>Полезный отпуск мощности ЭСО</t>
  </si>
  <si>
    <t>в том числе</t>
  </si>
  <si>
    <t>Максимум нагрузки собственных потребителей ЭСО</t>
  </si>
  <si>
    <t>Передача мощности другим ЭСО</t>
  </si>
  <si>
    <t xml:space="preserve">Передача мощности на оптовый рынок </t>
  </si>
  <si>
    <t>Таблица № П1.3.</t>
  </si>
  <si>
    <t>Ед.изм.</t>
  </si>
  <si>
    <t>ВН</t>
  </si>
  <si>
    <t>СН1</t>
  </si>
  <si>
    <t>СН11</t>
  </si>
  <si>
    <t>НН</t>
  </si>
  <si>
    <t>Всего</t>
  </si>
  <si>
    <t>Технические потери</t>
  </si>
  <si>
    <t>Потери холостого хода в трансформаторах (а*б*в)</t>
  </si>
  <si>
    <t>а</t>
  </si>
  <si>
    <t>Норматив потерь</t>
  </si>
  <si>
    <t>б</t>
  </si>
  <si>
    <t>Суммарная мощность трансформаторов</t>
  </si>
  <si>
    <t>в</t>
  </si>
  <si>
    <t>Продолжительность периода</t>
  </si>
  <si>
    <t>тыс.кВтч в год/шт.</t>
  </si>
  <si>
    <t>Количество</t>
  </si>
  <si>
    <t>шт.</t>
  </si>
  <si>
    <t xml:space="preserve">тыс. кВтч в год/км </t>
  </si>
  <si>
    <t>Протяженность линий</t>
  </si>
  <si>
    <t>км</t>
  </si>
  <si>
    <t xml:space="preserve">Потери электрической энергии на корону, всего </t>
  </si>
  <si>
    <t>1.5.</t>
  </si>
  <si>
    <t>1.5.1.</t>
  </si>
  <si>
    <t>1.6.</t>
  </si>
  <si>
    <t>Нагрузочные потери, всего</t>
  </si>
  <si>
    <t>1.6.1.</t>
  </si>
  <si>
    <t>%</t>
  </si>
  <si>
    <t>Отпуск в сеть ВН, СН1 и СН11</t>
  </si>
  <si>
    <t>1.6.2.</t>
  </si>
  <si>
    <t>Нагрузочные потери в сети НН (а*б)</t>
  </si>
  <si>
    <t xml:space="preserve">Протяженность линий 0,4 кВ </t>
  </si>
  <si>
    <t>Расход электроэнергии на собственные нужды подстанций</t>
  </si>
  <si>
    <t>Потери, обусловленные погрешностями приборов учета</t>
  </si>
  <si>
    <t>Итого</t>
  </si>
  <si>
    <t>Таблица № П1.4.</t>
  </si>
  <si>
    <t>Баланс электрической энергии по сетям ВН, СН1, СН11 и НН  по ЭСО (по региональным электрическим сетям)</t>
  </si>
  <si>
    <t/>
  </si>
  <si>
    <t xml:space="preserve">Поступление эл.энергии в сеть , ВСЕГО </t>
  </si>
  <si>
    <t>из смежной сети, всего</t>
  </si>
  <si>
    <t>в том числе из сети</t>
  </si>
  <si>
    <t>СН2</t>
  </si>
  <si>
    <t>от электростанций ПЭ (ЭСО)</t>
  </si>
  <si>
    <t xml:space="preserve">поступление эл. энергии от других организаций </t>
  </si>
  <si>
    <t xml:space="preserve">Потери электроэнергии в сети </t>
  </si>
  <si>
    <t>то же в % (п.1.1/п.1.3)</t>
  </si>
  <si>
    <t>в т.ч. на нужды тепловых сетей</t>
  </si>
  <si>
    <t xml:space="preserve">Полезный отпуск из сети </t>
  </si>
  <si>
    <t>то же с учетом энергии на нужды тепловых сетей</t>
  </si>
  <si>
    <t>4.1.</t>
  </si>
  <si>
    <t>из них:</t>
  </si>
  <si>
    <t>потребителям, присоединенным к центру питания</t>
  </si>
  <si>
    <t>на генераторном напряжении</t>
  </si>
  <si>
    <t>4.2.</t>
  </si>
  <si>
    <t>4.3.</t>
  </si>
  <si>
    <t>сальдо переток в другие организации</t>
  </si>
  <si>
    <t>Таблица № П1.6.</t>
  </si>
  <si>
    <t>Структура полезного отпуска электрической энергии (мощности) по группам потребителей</t>
  </si>
  <si>
    <t>№</t>
  </si>
  <si>
    <t>Группа потребителей</t>
  </si>
  <si>
    <t>Число часов использо-вания, час</t>
  </si>
  <si>
    <t xml:space="preserve">Доля потребления на разных диапазонах напряжений, % </t>
  </si>
  <si>
    <t xml:space="preserve">Всего </t>
  </si>
  <si>
    <t>Население</t>
  </si>
  <si>
    <t>Транзит</t>
  </si>
  <si>
    <t>ВСЕГО</t>
  </si>
  <si>
    <t>Реализация</t>
  </si>
  <si>
    <t xml:space="preserve">МО  </t>
  </si>
  <si>
    <t>МО население</t>
  </si>
  <si>
    <t>Бюджетные потребители</t>
  </si>
  <si>
    <t>Прочие потребители</t>
  </si>
  <si>
    <t>Всего полезный отпуск</t>
  </si>
  <si>
    <t>2005г. утверждено</t>
  </si>
  <si>
    <t>2005г. факт</t>
  </si>
  <si>
    <t>2006г. утверждено</t>
  </si>
  <si>
    <t>2006г. I кв факт</t>
  </si>
  <si>
    <t>Мощность на производственные и хозяйственные нужды</t>
  </si>
  <si>
    <t>СН</t>
  </si>
  <si>
    <t>2.2.</t>
  </si>
  <si>
    <t>6.1.</t>
  </si>
  <si>
    <t>6.2.</t>
  </si>
  <si>
    <t>6.3.</t>
  </si>
  <si>
    <t>Таблица N П1.25</t>
  </si>
  <si>
    <t>Расчет ставки по оплате</t>
  </si>
  <si>
    <t>технологического расхода (потерь) электрической</t>
  </si>
  <si>
    <t>энергии на ее передачу по сетям</t>
  </si>
  <si>
    <t>Ожидаемое 2006г.</t>
  </si>
  <si>
    <t>Средневзвешенный тариф на электрическую энергию</t>
  </si>
  <si>
    <t>руб/МВт.ч</t>
  </si>
  <si>
    <t>Отпуск электрической энергии в  сеть  с учетом    величины      сальдо-перетока электроэнергии</t>
  </si>
  <si>
    <t xml:space="preserve">млн.кВт.ч      </t>
  </si>
  <si>
    <t xml:space="preserve">ВН  </t>
  </si>
  <si>
    <t>в т.ч. СНI.</t>
  </si>
  <si>
    <t xml:space="preserve">НН </t>
  </si>
  <si>
    <t xml:space="preserve">Потери электрической энергии           </t>
  </si>
  <si>
    <t>3.1.</t>
  </si>
  <si>
    <t>3.2.</t>
  </si>
  <si>
    <t>Полезный отпуск электроэнергии.</t>
  </si>
  <si>
    <t>Расходы на компенсацию потерь.</t>
  </si>
  <si>
    <t>тыс. руб</t>
  </si>
  <si>
    <t xml:space="preserve">Ставка на оплату технологического расхода (потерь)  электрической энергии на ее передачу по сетям                </t>
  </si>
  <si>
    <t xml:space="preserve">ВН </t>
  </si>
  <si>
    <t xml:space="preserve">СН  </t>
  </si>
  <si>
    <t>Таблица № П1.5.</t>
  </si>
  <si>
    <t xml:space="preserve">Поступление мощности в сеть , ВСЕГО </t>
  </si>
  <si>
    <t xml:space="preserve">от электростанций ПЭ </t>
  </si>
  <si>
    <t xml:space="preserve">от других организаций </t>
  </si>
  <si>
    <t>полезный отпуск мощности из сети</t>
  </si>
  <si>
    <t>полезный отпуск из сети (с учетом нужд ТС)</t>
  </si>
  <si>
    <t>Полезный отпуск мощности потребителям</t>
  </si>
  <si>
    <t xml:space="preserve">в т.ч.                                                                                                                      Заявленная (расчетная) мощность собственных потребителей, пользующихся региональными электрическими сетями </t>
  </si>
  <si>
    <t>Заявленная (расчетная) мощность потребителей оптового рынка</t>
  </si>
  <si>
    <t>Потребителям, рассчитывающимся по прямым договорам</t>
  </si>
  <si>
    <t>тыс.кВтч в год/км.</t>
  </si>
  <si>
    <t>Потери на корону в линиях напряжением _110_кВ (а*б)</t>
  </si>
  <si>
    <t>Нагрузочные потери в сети ВН, СН1, СН11 (а*б*в)</t>
  </si>
  <si>
    <t>Поправочный коэффициент</t>
  </si>
  <si>
    <t>14.</t>
  </si>
  <si>
    <t xml:space="preserve">СН </t>
  </si>
  <si>
    <t>Объем полезного отпуска электроэнергии, млн.кВтч.</t>
  </si>
  <si>
    <t xml:space="preserve">Заявленная (расчетная) мощность, млн.кВт. </t>
  </si>
  <si>
    <t xml:space="preserve"> - " -</t>
  </si>
  <si>
    <t>Наименование</t>
  </si>
  <si>
    <t>млн. кВтч</t>
  </si>
  <si>
    <t>кВт/МВА</t>
  </si>
  <si>
    <t>МВА</t>
  </si>
  <si>
    <t>час</t>
  </si>
  <si>
    <t>Потери в шунтирующих реакторах (а*б)</t>
  </si>
  <si>
    <t>Потери в БСК и СТК (а*б)</t>
  </si>
  <si>
    <t>Потери в синхронных компенсаторах (СК)</t>
  </si>
  <si>
    <t>Базовые потребители</t>
  </si>
  <si>
    <t>население</t>
  </si>
  <si>
    <t>нас. пункты</t>
  </si>
  <si>
    <t>в том числе                     Бюджетные потребители</t>
  </si>
  <si>
    <t>ПРИЛОЖЕНИЕ 2.</t>
  </si>
  <si>
    <t>Таблица № П2.1</t>
  </si>
  <si>
    <t xml:space="preserve">Система условных единиц для распределения общей суммы тарифной выручки по классам напряжения. </t>
  </si>
  <si>
    <t xml:space="preserve">Объем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опор.  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</si>
  <si>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</si>
  <si>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</si>
  <si>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</si>
  <si>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</si>
  <si>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</si>
  <si>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</si>
  <si>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</si>
  <si>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у</t>
  </si>
  <si>
    <t xml:space="preserve">7 = 5 * 6 </t>
  </si>
  <si>
    <t>ВЛЭП</t>
  </si>
  <si>
    <t>металл</t>
  </si>
  <si>
    <t>400-500</t>
  </si>
  <si>
    <t>ж/бетон</t>
  </si>
  <si>
    <t>дерево</t>
  </si>
  <si>
    <t>110-150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</si>
  <si>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</si>
  <si>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</si>
  <si>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</si>
  <si>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</si>
  <si>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</si>
  <si>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</si>
  <si>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</si>
  <si>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>СН, всего</t>
  </si>
  <si>
    <t>СН1, всего</t>
  </si>
  <si>
    <t>СН2, всего</t>
  </si>
  <si>
    <t>Продолжение Таблицы № П2.1</t>
  </si>
  <si>
    <t xml:space="preserve">0,4 кВ </t>
  </si>
  <si>
    <t xml:space="preserve">до 1 кВ </t>
  </si>
  <si>
    <t>НН, всего</t>
  </si>
  <si>
    <t>Примечание:</t>
  </si>
  <si>
    <t xml:space="preserve"> - При расчете условных единиц протяженность ВЛЭП-0,4 кВ от линии до ввода в здании не учитывается.</t>
  </si>
  <si>
    <t xml:space="preserve"> - Условные единицы по ВЛЭП-0,4 кВ учитывают трудозатраты на обслуживание и ремонт:                         </t>
  </si>
  <si>
    <t xml:space="preserve">а) воздушных линий в здание и                                                                                                                                      </t>
  </si>
  <si>
    <t>б) линий с совместной подвеской проводов.</t>
  </si>
  <si>
    <t xml:space="preserve"> - Условные единицы по ВЛЭП 0,4-20 кВ учитывают трудозатраты оперативного персонала распределительных сетей 0,4-20 кВ..</t>
  </si>
  <si>
    <t xml:space="preserve"> - Кабельные вводы учтены в условных единицах КЛЭП напряжением до 1 кВ.</t>
  </si>
  <si>
    <t>Таблица № П2.2</t>
  </si>
  <si>
    <t xml:space="preserve">Объем подстанций 35-1150 кВ, трансформаторных подстанций (ТП), комплексных трансформаторных подстанций (КТП) и распределительных пунктов(РП) 0,4-20 кВ в условных единицах. </t>
  </si>
  <si>
    <t>п/п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</si>
  <si>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</si>
  <si>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</si>
  <si>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</si>
  <si>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</si>
  <si>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7=5*6</t>
  </si>
  <si>
    <t>Подстанция</t>
  </si>
  <si>
    <t>П/ст</t>
  </si>
  <si>
    <t xml:space="preserve"> 400 - 500</t>
  </si>
  <si>
    <t xml:space="preserve"> 110 - 150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</si>
  <si>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</si>
  <si>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</si>
  <si>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 xml:space="preserve"> 1 - 20</t>
  </si>
  <si>
    <t>Воздушный выключатель</t>
  </si>
  <si>
    <t>3 фазы</t>
  </si>
  <si>
    <t>Масляный выключатель</t>
  </si>
  <si>
    <t>Отделитель с короткозамыкателем</t>
  </si>
  <si>
    <t>Выключатель нагрузки</t>
  </si>
  <si>
    <t>Синхронный компенсатор мощн. 50 Мвар</t>
  </si>
  <si>
    <t>То же, 50 Мвар и более</t>
  </si>
  <si>
    <t>Продолжение Таблицы № П2.2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</si>
  <si>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</si>
  <si>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</si>
  <si>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</si>
  <si>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</si>
  <si>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</si>
  <si>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</si>
  <si>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Двухтрансформаторная ТП, КТП</t>
  </si>
  <si>
    <t xml:space="preserve">Однотрансфор-маторная подстанция 34/0,4 кВ </t>
  </si>
  <si>
    <t>п/ст</t>
  </si>
  <si>
    <t>15.</t>
  </si>
  <si>
    <t xml:space="preserve">В п.1 учтены трудозатраты оперативного персонала подстанций напряжением 35-1150 кВ. </t>
  </si>
  <si>
    <t>Условные единицы по пп.2-9 учитывают трудозатраты по обслуживанию и ремонту оборудования, не включенного в номенклатуру условных единиц (трансформаторы напряжения, аккумуляторные батареи, сборные шины и т.д.), резервного оборудования.</t>
  </si>
  <si>
    <t xml:space="preserve">Условные единицы по п 2 "Силовые трансформаторы 1-20 кВ" определяются только для трансформаторов, используемых для собственных нужд подстанций 35-1150 кВ.  </t>
  </si>
  <si>
    <t>По пп. 3-6 учтены дополнительные трудозатраты на обслуживание и ремонт устройств релейной защиты  и автоматики, а для воздушных выключателей (п.3) - дополнительно трудозатраты по обслуживанию и ремонту компрессорных установок.</t>
  </si>
  <si>
    <t>Значение условных единиц пп.4 и 6  "Масляные выключатели  1-20 кВ" и "Выключатели нагрузки 1-20 кВ" относятся к коммутационным аппаратам, установленным в распределительных устройствах  1-20 кВ подстанций 35-1150 кВ , ТП, КТП и РП 1-20 кВ , а так же к секц</t>
  </si>
  <si>
    <t>Объем РП 1-20 кВ в условных единицах определяется по количеству установленных масляных выключателей (п.4) и выключателей нагрузки (п.6). При установке в РП трансформаторов 1-20/0,4 кВ дополнительные объемы обслуживания определяются по п.11 или  12.</t>
  </si>
  <si>
    <t>По пп.10-12 дополнительно учтены трудозатраты оперативного персонала распределительных сетей 0,4-20 кВ.</t>
  </si>
  <si>
    <t xml:space="preserve">По пп.1,2 условные единицы относятся на уровень напряжения, соответствующий первичному напряжению (нижней границе номинального напряжения).  </t>
  </si>
  <si>
    <t>Условные единицы электооборудования понизительных подстанций относятся на уровень высшего напряжения подстанций</t>
  </si>
  <si>
    <t>млн.кВт</t>
  </si>
  <si>
    <r>
      <t xml:space="preserve">Мощность на производственные и </t>
    </r>
    <r>
      <rPr>
        <sz val="12"/>
        <rFont val="Times New Roman"/>
        <family val="1"/>
      </rPr>
      <t>хозяйственные</t>
    </r>
    <r>
      <rPr>
        <sz val="12"/>
        <rFont val="Times New Roman"/>
        <family val="1"/>
      </rPr>
      <t xml:space="preserve"> нужды</t>
    </r>
  </si>
  <si>
    <t>от других поставщиков (ОАО "Камчатскэнерго")</t>
  </si>
  <si>
    <t>Полезный отпуск электроэнергии на передачу тепловой энергии</t>
  </si>
  <si>
    <t xml:space="preserve">хозяйственные нужды </t>
  </si>
  <si>
    <t>в том числе  хоз.нужды отнесенные на передачу электроэнергии сторонним потребителям</t>
  </si>
  <si>
    <t>Других ПЭ и ЭСО (ОАО "Камчатскэнерго")</t>
  </si>
  <si>
    <t>№                                                  п.п.</t>
  </si>
  <si>
    <t>№          п.п.</t>
  </si>
  <si>
    <t>Электрическая мощность по диапазонам напряжения ЭСО (региональной электрической сети)</t>
  </si>
  <si>
    <t xml:space="preserve">          СНII</t>
  </si>
  <si>
    <t>№    п/п</t>
  </si>
  <si>
    <t>№ п.п.</t>
  </si>
  <si>
    <t>Собственным потребителям</t>
  </si>
  <si>
    <t>в т.ч. с календарной разбивкой</t>
  </si>
  <si>
    <t>в том числе с календарной разбивкой</t>
  </si>
  <si>
    <t>в т.ч.  календарной разбивкой</t>
  </si>
  <si>
    <t>ЗАО "АКРОС"</t>
  </si>
  <si>
    <t>Таблица № П1.1.2</t>
  </si>
  <si>
    <t xml:space="preserve">Расчет платы за услуги по содержанию электрических сетей </t>
  </si>
  <si>
    <t>Таблица № П1.24.</t>
  </si>
  <si>
    <t>Таблица № П1.17</t>
  </si>
  <si>
    <t>Расчёт амортизационных отчислений на восстановленги е основных производственных фондов</t>
  </si>
  <si>
    <t>Таблица № П1.16.</t>
  </si>
  <si>
    <t>Таблица № П1.15.</t>
  </si>
  <si>
    <t xml:space="preserve">Смета затрат на передачу электрической энергии                                                                                                                </t>
  </si>
  <si>
    <t>Таблица № П1.5</t>
  </si>
  <si>
    <t>Таблица № П 1.4</t>
  </si>
  <si>
    <t>Таблица № П1.3</t>
  </si>
  <si>
    <t xml:space="preserve">Расчёт технологического расхода электрической энергии (потерь) в электрических сетях </t>
  </si>
  <si>
    <t>Р Е Е С Т Р</t>
  </si>
  <si>
    <t>№                            п/п</t>
  </si>
  <si>
    <t>Наименование показателей</t>
  </si>
  <si>
    <t>Утверждено Региональной службой по тарифам и ценам Камчатского края на 2006 г.</t>
  </si>
  <si>
    <t>Факт           1 полугодие 2006г.</t>
  </si>
  <si>
    <t>Базовый период- факт 2006 г.</t>
  </si>
  <si>
    <t>Утверждено Региональной службой по тарифам и ценам Камчатского края на 2007 г.</t>
  </si>
  <si>
    <t>Базовый период- факт 2007 г.</t>
  </si>
  <si>
    <t>Утверждено Региональной службой по тарифам и ценам Камчатского края на 2008 г.</t>
  </si>
  <si>
    <t>Базовый период - факт 6 месяцев 2008 г.</t>
  </si>
  <si>
    <t>Базовый период - ожидаемый 2008 г.</t>
  </si>
  <si>
    <t>Период регулирования - план энергоснабжающей организации на 2009 г.</t>
  </si>
  <si>
    <t>в т.ч. с календаоной разбивкой</t>
  </si>
  <si>
    <t>Вспомогательные материалы</t>
  </si>
  <si>
    <t>Работы и услуги производственного характера в т.ч.</t>
  </si>
  <si>
    <t>Хозяйственным способом</t>
  </si>
  <si>
    <t>Подрядным способом</t>
  </si>
  <si>
    <t>Энергия, всего</t>
  </si>
  <si>
    <t>Энергия на технологические цели (компенсация потерь)</t>
  </si>
  <si>
    <t>Энергия на хозяйственные нужды</t>
  </si>
  <si>
    <t>Средства на оплату труда, в т.ч.</t>
  </si>
  <si>
    <t>Фонд оплаты труда</t>
  </si>
  <si>
    <t>Проезд в отпуск</t>
  </si>
  <si>
    <t>Отчисления на социальные нужды</t>
  </si>
  <si>
    <t>Амортизация</t>
  </si>
  <si>
    <t>Производственные  расходы (общехозяйственные)</t>
  </si>
  <si>
    <t>8.</t>
  </si>
  <si>
    <t>Прочие расходы, в т.ч.</t>
  </si>
  <si>
    <t>8.1.</t>
  </si>
  <si>
    <t>Спецодежда</t>
  </si>
  <si>
    <t>8.2.</t>
  </si>
  <si>
    <t>Арендная плата за землю, налог на имущество и др.расходы</t>
  </si>
  <si>
    <t>9.</t>
  </si>
  <si>
    <t>Всего расходов на передачу электрической энергии</t>
  </si>
  <si>
    <t>10.</t>
  </si>
  <si>
    <t>Полезный отпуск электрической энергии, тыс.кВт*ч</t>
  </si>
  <si>
    <t>11.</t>
  </si>
  <si>
    <t>Себестоимость руб/кВт*ч</t>
  </si>
  <si>
    <t>12.</t>
  </si>
  <si>
    <t>Расчетная прибыль</t>
  </si>
  <si>
    <t>13.</t>
  </si>
  <si>
    <t>Товарная продукция</t>
  </si>
  <si>
    <t>Тариф на передачу электрической энергии с учетом покупки эл/эн произв-ва ОАО "Камчатскэнерго" на компенсацию потерь, руб/кВт*ч</t>
  </si>
  <si>
    <t>14.1.</t>
  </si>
  <si>
    <t>Ставка на содержание сетей ЗАО "АКРОС", руб/кВт*ч</t>
  </si>
  <si>
    <t>14.2.</t>
  </si>
  <si>
    <t>Ставка на компенсацию потерь, руб/кВт*ч</t>
  </si>
  <si>
    <t>№                    п-п</t>
  </si>
  <si>
    <t>Ед.    изм.</t>
  </si>
  <si>
    <t>Факт 2006г.</t>
  </si>
  <si>
    <t>Утверждено Региональной службой по тарифам и ценам Камчатского края на 2007г.</t>
  </si>
  <si>
    <t>Базовый период - факт 2007 г.</t>
  </si>
  <si>
    <t>Утверждено Региональной службой по тарифам и ценам Камчатского края на 2008г.</t>
  </si>
  <si>
    <t>Базовый период - факт 6 мес. 2008г.</t>
  </si>
  <si>
    <t>Базовый период - ожидаемый 2008г.</t>
  </si>
  <si>
    <t>Численность всего (с общехозяйственными расходами)</t>
  </si>
  <si>
    <t>чел.</t>
  </si>
  <si>
    <t>Численность по основному производству - рабочие</t>
  </si>
  <si>
    <t>Средняя оплата труда.</t>
  </si>
  <si>
    <t>Тарифная ставка рабочего 1 разряда</t>
  </si>
  <si>
    <t>руб.</t>
  </si>
  <si>
    <t>Дефлятор по заработной плате</t>
  </si>
  <si>
    <t>Тарифная ставка рабочего 1 разряда с учетом дефлятора</t>
  </si>
  <si>
    <t>2.4.</t>
  </si>
  <si>
    <t>Средняя ступень оплаты</t>
  </si>
  <si>
    <t>2.5.</t>
  </si>
  <si>
    <t>Тарифный коэффициент соответствующий ступени по оплате труда</t>
  </si>
  <si>
    <t>Среднемесячная тарифная ставка ППП</t>
  </si>
  <si>
    <t>2.7.</t>
  </si>
  <si>
    <t>Выплаты, связанные с режимом работы с условиями труда 1 работника</t>
  </si>
  <si>
    <t>2.7.1.</t>
  </si>
  <si>
    <t>процент выплаты</t>
  </si>
  <si>
    <t>2.7.2.</t>
  </si>
  <si>
    <t>сумма выплат</t>
  </si>
  <si>
    <t>Текущее премирование</t>
  </si>
  <si>
    <t>2.9.</t>
  </si>
  <si>
    <t>Вознаграждение за выслугу лет</t>
  </si>
  <si>
    <t>2.9.1.</t>
  </si>
  <si>
    <t>2.9.2.</t>
  </si>
  <si>
    <t>2.10.</t>
  </si>
  <si>
    <t>Выплаты по итогам года</t>
  </si>
  <si>
    <t>2.10.1.</t>
  </si>
  <si>
    <t>2.10.2.</t>
  </si>
  <si>
    <t>Выплаты по районному коэффициенту и северные надбавки</t>
  </si>
  <si>
    <t>Итого среднемесячная оплата труда на 1 работника</t>
  </si>
  <si>
    <t>Расчет средств на оплату труда ППП (включенного в себестоимость)</t>
  </si>
  <si>
    <t>тыс.руб</t>
  </si>
  <si>
    <t>Льготный проезд к месту отдыха</t>
  </si>
  <si>
    <t xml:space="preserve"> -" -</t>
  </si>
  <si>
    <t>в том числе иждивенцев</t>
  </si>
  <si>
    <t>3.3.</t>
  </si>
  <si>
    <t>Итого средства на оплату труда ППП</t>
  </si>
  <si>
    <t>Расчет средств на оплату труда непромышленного персонала (включенного в балансовую прибыль)</t>
  </si>
  <si>
    <t>Численность, принятая для расчета (базовый период - фактическая)</t>
  </si>
  <si>
    <t>Среднемесячная оплата труда на 1 работника</t>
  </si>
  <si>
    <t>тыс.руб.</t>
  </si>
  <si>
    <t>4.4.</t>
  </si>
  <si>
    <t>По постановлению от 03.11.94 г. №1206</t>
  </si>
  <si>
    <t>4.5.</t>
  </si>
  <si>
    <t>Итого средства на оплату труда непромышленного персонала</t>
  </si>
  <si>
    <t>Расчет по денежным выплатам</t>
  </si>
  <si>
    <t>Численность всего, принятая для расчета (базовый период - фактическая)</t>
  </si>
  <si>
    <t>Денежные выплаты на 1 работника</t>
  </si>
  <si>
    <t>Итого по денежным выплатам</t>
  </si>
  <si>
    <t xml:space="preserve">6. </t>
  </si>
  <si>
    <t>Итого средства на потребление</t>
  </si>
  <si>
    <t>Среднемесячный доход на 1 работника</t>
  </si>
  <si>
    <t>РАСЧЁТ</t>
  </si>
  <si>
    <t>основных производственных фондов</t>
  </si>
  <si>
    <t>№               п/п</t>
  </si>
  <si>
    <t>Балансовая стоимость основных производственных фондов</t>
  </si>
  <si>
    <t xml:space="preserve"> Ввод основных производственных фондов</t>
  </si>
  <si>
    <t xml:space="preserve"> -</t>
  </si>
  <si>
    <t xml:space="preserve"> Выбытие основных производственных фондов</t>
  </si>
  <si>
    <t>Средняя за отчетный период стоимость основных производственных фондов</t>
  </si>
  <si>
    <t>Средняя норма амортизации</t>
  </si>
  <si>
    <t>Сумма амортизационных  отчислений</t>
  </si>
  <si>
    <t>Таблица № П.1.21.3</t>
  </si>
  <si>
    <t>Расчет балансовой прибыли, принимаемой при установлении</t>
  </si>
  <si>
    <t>тарифов на передачу электрической энергии</t>
  </si>
  <si>
    <t xml:space="preserve">по распределительным сетям </t>
  </si>
  <si>
    <t>Прибыль на развитие производства</t>
  </si>
  <si>
    <t xml:space="preserve">    в том числе:</t>
  </si>
  <si>
    <t xml:space="preserve">  - капитальные вложения</t>
  </si>
  <si>
    <t xml:space="preserve">Прибыль на социальное развитие </t>
  </si>
  <si>
    <t>Отчисления в ФБ Постановление № 228</t>
  </si>
  <si>
    <t>Прибыль на прочие цели</t>
  </si>
  <si>
    <t xml:space="preserve"> - реструктуризация налогов</t>
  </si>
  <si>
    <t xml:space="preserve"> - списание дебиторской задолженности</t>
  </si>
  <si>
    <t xml:space="preserve"> - налог на имущество</t>
  </si>
  <si>
    <t xml:space="preserve"> - услуги банка</t>
  </si>
  <si>
    <t xml:space="preserve"> - погашение убытков прошлых лет</t>
  </si>
  <si>
    <t xml:space="preserve"> - прочие расходы</t>
  </si>
  <si>
    <t>Прибыль, облагаемая налогом</t>
  </si>
  <si>
    <t>Налоги, сборы, платежи - всего</t>
  </si>
  <si>
    <t xml:space="preserve"> - на прибыль</t>
  </si>
  <si>
    <t xml:space="preserve"> - пени</t>
  </si>
  <si>
    <t xml:space="preserve"> - отложенные налоги</t>
  </si>
  <si>
    <t xml:space="preserve"> Прибыль от товарной продукции </t>
  </si>
  <si>
    <t>Единицы измерения</t>
  </si>
  <si>
    <t>всего</t>
  </si>
  <si>
    <t xml:space="preserve">Расходы, отнесенные на передачу электрической энергии </t>
  </si>
  <si>
    <t>тыс. руб.</t>
  </si>
  <si>
    <t>в т.ч. СН1</t>
  </si>
  <si>
    <t xml:space="preserve">          СН11</t>
  </si>
  <si>
    <t>Прибыль, отнесенная на передачу электрической энергии (п.8 табл.П.1.21.3)</t>
  </si>
  <si>
    <t>Рентабельность (п.2 / п.1 * 100%)</t>
  </si>
  <si>
    <t>Необходимая валовая выручка, отнесенная на передачу электрической энергии (п.1 + п.2)</t>
  </si>
  <si>
    <t>Плата за услуги на содержание электрических сетей по диапазонам напряжения в расчете на 1 МВт согласно формулам (12)</t>
  </si>
  <si>
    <t>руб/МВт        в мес.</t>
  </si>
  <si>
    <r>
      <t xml:space="preserve">Плата за услуги на содержание электрических сетей по диапазонам напряжения в расчете на 1 МВтч согласно формулам </t>
    </r>
    <r>
      <rPr>
        <sz val="10"/>
        <rFont val="Times New Roman"/>
        <family val="1"/>
      </rPr>
      <t>(13)</t>
    </r>
  </si>
  <si>
    <t>руб/МВтч</t>
  </si>
  <si>
    <t>Приложение 2.2</t>
  </si>
  <si>
    <t>Приложение 2.1</t>
  </si>
  <si>
    <t>I полугодие 2014 года</t>
  </si>
  <si>
    <t>II полугодие 2014 года</t>
  </si>
  <si>
    <t>II полугодие 2014 года.</t>
  </si>
  <si>
    <t>I полугодие 2014 года.</t>
  </si>
  <si>
    <t>I полугодие 2014 г.</t>
  </si>
  <si>
    <t>II полугодие 2014 г.</t>
  </si>
  <si>
    <t>Утверждено на 2012  г.</t>
  </si>
  <si>
    <t>Факт 2012  г.</t>
  </si>
  <si>
    <t>Утверждено                                на 2013 г.</t>
  </si>
  <si>
    <t>Ожидаемый факт на 2013 г.</t>
  </si>
  <si>
    <t>Период регулирования            2014 г.</t>
  </si>
  <si>
    <t>Утверждено Региональной службой по тарифам и             ценам          Камчатского              края на 2014 г.</t>
  </si>
  <si>
    <t>Поступление энергии в сеть (покупная энергия)</t>
  </si>
  <si>
    <t>в т.ч.   обственным потребителям ЭСО</t>
  </si>
  <si>
    <t>Транзит ОАО "Камчатскэнерго"</t>
  </si>
  <si>
    <t>в том числе собственные потребители</t>
  </si>
  <si>
    <t>транзит сторонним организациям</t>
  </si>
  <si>
    <t>амортизационных отчислений на восстановление</t>
  </si>
  <si>
    <t>Таблица № П1.17.</t>
  </si>
  <si>
    <t>по тарифам и ценам Камчатского края</t>
  </si>
  <si>
    <t xml:space="preserve">Эксперт Региональной службы </t>
  </si>
  <si>
    <t>Утверждено РСТ Кк на 2013 год</t>
  </si>
  <si>
    <t>Период регулирования 2013г.</t>
  </si>
  <si>
    <r>
      <t xml:space="preserve">Смета затрат на сбыт электрической энергии        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                                                                                                     </t>
    </r>
  </si>
  <si>
    <t xml:space="preserve">Смета затрат на передачу электрической энергии                                                                                       </t>
  </si>
  <si>
    <t xml:space="preserve">Расчет расходов на оплату труда ЗАО РП "АКРОС" - услуги по сбыту электрической энергии с общехозяйственными расходами АУП и цеховые </t>
  </si>
  <si>
    <t>№                    п.п.</t>
  </si>
  <si>
    <t>Расчет расходов на оплату труда ЗАО РП "АКРОС" - услуги по передаче электрической энергии с общехозяйственными расходами АУП и цеховые</t>
  </si>
  <si>
    <t>Расчет амортизационных отчислений на восстановление основных производственных фондов (сбыт)</t>
  </si>
  <si>
    <t>№               п.п.</t>
  </si>
  <si>
    <t>Расчет амортизационных отчислений на восстановление основных производственных фондов (передача)</t>
  </si>
  <si>
    <t>Утверждено РСТ Кк на 2014 год</t>
  </si>
  <si>
    <t>1 полугодие 2014 года</t>
  </si>
  <si>
    <t>2 полугодие 2014 года</t>
  </si>
  <si>
    <t>Период регулирования 2014г.</t>
  </si>
  <si>
    <t>М.В. Лопатникова</t>
  </si>
  <si>
    <t>в том числе Собственные потребители</t>
  </si>
  <si>
    <t xml:space="preserve">  Бюджетные потребители</t>
  </si>
  <si>
    <t xml:space="preserve">Экперт Региональной службы по тарифам и ценам Камчатского края                                                                                     ___________________________                     </t>
  </si>
  <si>
    <t xml:space="preserve">Эксперт Региональной члужбы по тарифам и ценам Камчатского края                                                                                                                                                           </t>
  </si>
  <si>
    <t>Руководитель организации</t>
  </si>
  <si>
    <t xml:space="preserve">Эксперт Региональной службы по тарифам и ценам Камчатского края                                                                                                                                                                                                             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</si>
  <si>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Руководитель организации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</si>
  <si>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Эксперт Региональной службы по тарифам и ценам Камчатского края                                                                                                            ________________________     </t>
  </si>
  <si>
    <t xml:space="preserve"> Руководитель организации                                                                                                     Ген. директор ЗАО "АКРОС"    ___________________________   Исаков А.А.</t>
  </si>
  <si>
    <t xml:space="preserve">Руководитель организации                                            </t>
  </si>
  <si>
    <t xml:space="preserve">I полугодие 2016 года </t>
  </si>
  <si>
    <t xml:space="preserve">II полугодие 2016 года </t>
  </si>
  <si>
    <t>I полугодие 2016 года</t>
  </si>
  <si>
    <t>II полугодие 2016 года</t>
  </si>
  <si>
    <t>Период регулирования 2016 год</t>
  </si>
  <si>
    <t>II полугодие 2016года</t>
  </si>
  <si>
    <t>I полугодие 2016 года.</t>
  </si>
  <si>
    <t>II полугодие 2016 года.</t>
  </si>
  <si>
    <t>Период регулирования - I полугодие 2016года</t>
  </si>
  <si>
    <t>Период регулирования - 2 полугодие 2016 года</t>
  </si>
  <si>
    <t>документов к письму ООО "Терминал"Сероглазка""</t>
  </si>
  <si>
    <t>ООО "Терминал"Сероглазка"</t>
  </si>
  <si>
    <t>Ожидаемый факт    2016 года</t>
  </si>
  <si>
    <t>Генеральный директор ООО "Терминал"Сероглазка"" ______________________ Вальтер В.Е.</t>
  </si>
  <si>
    <t>Генеральный директор ООО "Терминал"Сероглазка" __________________  Вальтер В.Е.</t>
  </si>
  <si>
    <t>Генеральный директор ООО "Терминал "Сероглазка ""   ___________________________  Вальтер В.Е.</t>
  </si>
  <si>
    <t>Расчёт технологического расхода электрической энергии (потерь) в электрических сетях ООО "Терминал "Сероглазка""</t>
  </si>
  <si>
    <t>Период регулирования 2017 год</t>
  </si>
  <si>
    <t>I полугодие 2017 года.</t>
  </si>
  <si>
    <t>II полугодие 2017 года.</t>
  </si>
  <si>
    <t>ООО "Терминал"Сероглазка""</t>
  </si>
  <si>
    <t xml:space="preserve">Период регулирования           2017 год </t>
  </si>
  <si>
    <t xml:space="preserve">I полугодие 2017 года </t>
  </si>
  <si>
    <t xml:space="preserve">II полугодие 2017 года </t>
  </si>
  <si>
    <t>Генеральный директор ООО "Терминал "Сероглазка""  ___________________________</t>
  </si>
  <si>
    <t>Вальтер В.Е.</t>
  </si>
  <si>
    <t>Руководитель организации                                               Генеральный директор ООО "Терминал "Сероглазка""                                        Вальтер В.Е.</t>
  </si>
  <si>
    <t>ООО "Терминал "Сероглазка""</t>
  </si>
  <si>
    <t>Период регулирования - 2 полугодие 2017 года</t>
  </si>
  <si>
    <t>ООО "Терминал" Сероглазка""</t>
  </si>
  <si>
    <t>Ожидаемый факт 2016 г.</t>
  </si>
  <si>
    <t>Утверждено  2016 г.</t>
  </si>
  <si>
    <t>Мастер-энергетик ООО "Термсинал "Сероглазка""                                                      М.А. Арестов</t>
  </si>
  <si>
    <t>Мастер- энергетик ООО "Терминал"Сероглазка""                         М.А. Арестов</t>
  </si>
  <si>
    <t>ООО"Терминал"Сероглазка""</t>
  </si>
  <si>
    <t>Утверждено                на 2016 г.</t>
  </si>
  <si>
    <t>I полугодие 2016 г.</t>
  </si>
  <si>
    <t>II полугодие 2016 г.</t>
  </si>
  <si>
    <t>Ожидаемый факт 2016г.</t>
  </si>
  <si>
    <t>Период регулирования 2016г.</t>
  </si>
  <si>
    <t xml:space="preserve">   Расчет расходов на оплату труда ООО "Терминал "Сероглазка"" - услуги по передаче электрической энергии с общехозяйственными расходами (АУП и цеховые)</t>
  </si>
  <si>
    <t>Утверждено                 на 2016 г.</t>
  </si>
  <si>
    <t>Утверждено                 на  г.</t>
  </si>
  <si>
    <t xml:space="preserve">Утверждено на </t>
  </si>
  <si>
    <t>Руководитель организации                                                        Генеральный директор ООО "Терминал"Сероглазка""                                                                       М.В. Лопатникова</t>
  </si>
  <si>
    <t>Период регулирования                2017год</t>
  </si>
  <si>
    <t>I полугодие 2017 года</t>
  </si>
  <si>
    <t>II полугодие 2017 года</t>
  </si>
  <si>
    <t>Факт                                  2016 г.</t>
  </si>
  <si>
    <t xml:space="preserve">Генеральный директор ООО "Терминал"Сероглазка""                                    Вальтер В.Е.                                                      </t>
  </si>
  <si>
    <t>Расчет расходов на оплату труда ООО "Терминал "Сероглазка"" - услуги по передаче электрической энергии с общехозяйственными расходами (АУП и цеховые)</t>
  </si>
  <si>
    <t>Период регулирования                 2017 год</t>
  </si>
  <si>
    <t>II полугодие  2017 года</t>
  </si>
  <si>
    <t xml:space="preserve">        Генеральный директор ООО "Терминал "Сероглазка""    </t>
  </si>
  <si>
    <t xml:space="preserve">Генеральный директор ООО "Терминал "Сероглазка""                 _________________________                 Вальтер В.Е.                                   </t>
  </si>
  <si>
    <t>II полугодие 2017года</t>
  </si>
  <si>
    <t>Период регулирования - 2017года</t>
  </si>
  <si>
    <t>Период регулирования - I полугодие 2017года</t>
  </si>
  <si>
    <t>Период регулирования     2017 г.</t>
  </si>
  <si>
    <t>Период регулирования I полугодие 2017 г.</t>
  </si>
  <si>
    <t>Период регулирования II полугодие 2017 г.</t>
  </si>
  <si>
    <t>Период регулирования 2017 г.</t>
  </si>
  <si>
    <t>I полугодие 2017 г.</t>
  </si>
  <si>
    <t>II полугодие 2017 г.</t>
  </si>
  <si>
    <t xml:space="preserve"> </t>
  </si>
  <si>
    <t>Ставка на содержание сетей ООО "Терминал "Сероглазка"", руб/кВт*ч</t>
  </si>
  <si>
    <t>Ожидаемый факт   2016 г.</t>
  </si>
  <si>
    <t>Утверждено на  2017 г.</t>
  </si>
  <si>
    <t>Период регулирования  2017 г.</t>
  </si>
  <si>
    <t>Ожидаемый факт  2016 г.</t>
  </si>
  <si>
    <t>Утверждено                 на 2016  г.</t>
  </si>
  <si>
    <t>Период регулирования г.</t>
  </si>
  <si>
    <t xml:space="preserve"> Генеральный директор ООО "Терминал"Сероглазка"                                   Вальтер В.Е.</t>
  </si>
  <si>
    <t>Ожидаемый факт в 2016г.</t>
  </si>
  <si>
    <t>Утверждено                               на 2016 г.</t>
  </si>
  <si>
    <t>1 п/г 2016 года</t>
  </si>
  <si>
    <t>2 п/г 2016 года</t>
  </si>
  <si>
    <t xml:space="preserve"> 1 полугодие 2016г.</t>
  </si>
  <si>
    <t xml:space="preserve"> II полугодие 2016 г.</t>
  </si>
  <si>
    <t>Утверждено           2016 год</t>
  </si>
  <si>
    <t>Утверждено 2016 год</t>
  </si>
  <si>
    <t>Ожидаемый факт 2016 год</t>
  </si>
  <si>
    <t xml:space="preserve">Утверждено  2016 год </t>
  </si>
  <si>
    <t>Ожидаемый факт 2016год</t>
  </si>
  <si>
    <t>Утверждено  2016 год</t>
  </si>
  <si>
    <r>
      <rPr>
        <sz val="12"/>
        <rFont val="Times New Roman Cyr"/>
        <family val="0"/>
      </rPr>
      <t xml:space="preserve">Руководитель организации                               Генеральный директор ООО "Терминал "Сероглазка""                                                Вальтер В.Е.                                                                                                                                                                                                                                                                                                                                                                                                                                                                                                                                                                              Эксперт Региональной службы по тарифам и ценам Камчатского края                          </t>
    </r>
    <r>
      <rPr>
        <sz val="10"/>
        <rFont val="Times New Roman Cyr"/>
        <family val="0"/>
      </rPr>
      <t xml:space="preserve">                                              </t>
    </r>
  </si>
  <si>
    <t xml:space="preserve">Руководитель организации                          Генеральный директор ООО "Терминал"Сероглазка""                                                                Вальтер В.Е.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</si>
</sst>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  <numFmt numFmtId="169" formatCode="0.000%"/>
    <numFmt numFmtId="170" formatCode="#,##0.0000"/>
    <numFmt numFmtId="171" formatCode="0.0000"/>
    <numFmt numFmtId="172" formatCode="0.00000"/>
    <numFmt numFmtId="173" formatCode="#,##0.00000"/>
    <numFmt numFmtId="174" formatCode="#,##0.000000"/>
    <numFmt numFmtId="175" formatCode="#,##0.0000000"/>
    <numFmt numFmtId="176" formatCode="#,##0.00000000"/>
    <numFmt numFmtId="177" formatCode="0.000000"/>
    <numFmt numFmtId="178" formatCode="0.00000000"/>
    <numFmt numFmtId="179" formatCode="0.0000000"/>
    <numFmt numFmtId="180" formatCode="#,##0_р_."/>
    <numFmt numFmtId="181" formatCode="#,##0.0_р_."/>
    <numFmt numFmtId="182" formatCode="#,##0.00_р_."/>
    <numFmt numFmtId="183" formatCode="#,##0.000_р_."/>
    <numFmt numFmtId="184" formatCode="#,##0.0000_р_."/>
    <numFmt numFmtId="185" formatCode="#,##0.00000_р_.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_р_._-;\-* #,##0.0000_р_._-;_-* &quot;-&quot;????_р_._-;_-@_-"/>
    <numFmt numFmtId="189" formatCode="_-* #,##0.0_р_._-;\-* #,##0.0_р_._-;_-* &quot;-&quot;??_р_._-;_-@_-"/>
    <numFmt numFmtId="190" formatCode="_-* #,##0_р_._-;\-* #,##0_р_._-;_-* &quot;-&quot;??_р_._-;_-@_-"/>
  </numFmts>
  <fonts count="93">
    <font>
      <sz val="10"/>
      <name val="Times New Roman Cyr"/>
      <family val="0"/>
    </font>
    <font>
      <sz val="12"/>
      <color indexed="8"/>
      <name val="Times New Roman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color indexed="12"/>
      <name val="Times New Roman Cyr"/>
      <family val="1"/>
    </font>
    <font>
      <sz val="9"/>
      <name val="Times New Roman Cyr"/>
      <family val="1"/>
    </font>
    <font>
      <sz val="10"/>
      <color indexed="10"/>
      <name val="Times New Roman Cyr"/>
      <family val="1"/>
    </font>
    <font>
      <sz val="10"/>
      <color indexed="8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sz val="13"/>
      <name val="Times New Roman Cyr"/>
      <family val="1"/>
    </font>
    <font>
      <sz val="10"/>
      <name val="Arial"/>
      <family val="2"/>
    </font>
    <font>
      <sz val="12"/>
      <name val="Times New Roman"/>
      <family val="1"/>
    </font>
    <font>
      <i/>
      <sz val="10"/>
      <name val="Times New Roman Cyr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sz val="20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0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20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Times New Roman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Times New Roman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60"/>
      <name val="Times New Roman Cyr"/>
      <family val="0"/>
    </font>
    <font>
      <b/>
      <sz val="10"/>
      <color indexed="60"/>
      <name val="Times New Roman Cyr"/>
      <family val="0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Times New Roman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Times New Roman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rgb="FFC00000"/>
      <name val="Times New Roman Cyr"/>
      <family val="0"/>
    </font>
    <font>
      <b/>
      <sz val="10"/>
      <color rgb="FFC00000"/>
      <name val="Times New Roman Cyr"/>
      <family val="0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Times New Roman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127">
    <xf numFmtId="0" fontId="0" fillId="0" borderId="0" xfId="0" applyAlignment="1">
      <alignment/>
    </xf>
    <xf numFmtId="0" fontId="4" fillId="0" borderId="0" xfId="57" applyFont="1">
      <alignment/>
      <protection/>
    </xf>
    <xf numFmtId="0" fontId="11" fillId="0" borderId="0" xfId="57" applyFont="1">
      <alignment/>
      <protection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2" fillId="0" borderId="0" xfId="66" applyFont="1" applyAlignment="1">
      <alignment horizontal="right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 indent="1"/>
    </xf>
    <xf numFmtId="164" fontId="1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indent="1"/>
    </xf>
    <xf numFmtId="17" fontId="0" fillId="0" borderId="10" xfId="0" applyNumberForma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indent="1"/>
    </xf>
    <xf numFmtId="0" fontId="15" fillId="0" borderId="11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7" fontId="0" fillId="0" borderId="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1" fillId="0" borderId="0" xfId="57" applyFont="1" applyFill="1" applyBorder="1" applyAlignment="1">
      <alignment wrapText="1"/>
      <protection/>
    </xf>
    <xf numFmtId="0" fontId="11" fillId="0" borderId="0" xfId="57" applyFont="1" applyAlignment="1">
      <alignment vertical="center" wrapText="1"/>
      <protection/>
    </xf>
    <xf numFmtId="0" fontId="11" fillId="0" borderId="10" xfId="57" applyFont="1" applyBorder="1" applyAlignment="1">
      <alignment vertical="center" wrapText="1"/>
      <protection/>
    </xf>
    <xf numFmtId="0" fontId="0" fillId="0" borderId="0" xfId="62" applyBorder="1">
      <alignment/>
      <protection/>
    </xf>
    <xf numFmtId="0" fontId="0" fillId="0" borderId="0" xfId="62">
      <alignment/>
      <protection/>
    </xf>
    <xf numFmtId="0" fontId="0" fillId="0" borderId="0" xfId="62" applyBorder="1" applyAlignment="1">
      <alignment horizontal="center"/>
      <protection/>
    </xf>
    <xf numFmtId="0" fontId="0" fillId="0" borderId="0" xfId="62" applyAlignment="1">
      <alignment wrapText="1"/>
      <protection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25" fillId="0" borderId="0" xfId="57" applyFont="1" applyAlignment="1">
      <alignment vertical="top"/>
      <protection/>
    </xf>
    <xf numFmtId="0" fontId="13" fillId="0" borderId="0" xfId="66" applyFont="1">
      <alignment/>
      <protection/>
    </xf>
    <xf numFmtId="0" fontId="13" fillId="0" borderId="0" xfId="54" applyFont="1">
      <alignment/>
      <protection/>
    </xf>
    <xf numFmtId="0" fontId="13" fillId="0" borderId="0" xfId="61" applyFont="1">
      <alignment/>
      <protection/>
    </xf>
    <xf numFmtId="0" fontId="20" fillId="0" borderId="0" xfId="57" applyFont="1">
      <alignment/>
      <protection/>
    </xf>
    <xf numFmtId="0" fontId="13" fillId="32" borderId="13" xfId="66" applyFont="1" applyFill="1" applyBorder="1" applyAlignment="1">
      <alignment horizontal="center" vertical="center" wrapText="1"/>
      <protection/>
    </xf>
    <xf numFmtId="0" fontId="13" fillId="32" borderId="14" xfId="66" applyFont="1" applyFill="1" applyBorder="1" applyAlignment="1">
      <alignment horizontal="center" vertical="center"/>
      <protection/>
    </xf>
    <xf numFmtId="0" fontId="12" fillId="32" borderId="10" xfId="66" applyFont="1" applyFill="1" applyBorder="1" applyAlignment="1">
      <alignment horizontal="center" vertical="center"/>
      <protection/>
    </xf>
    <xf numFmtId="0" fontId="13" fillId="32" borderId="10" xfId="66" applyFont="1" applyFill="1" applyBorder="1" applyAlignment="1">
      <alignment horizontal="center" vertical="center" wrapText="1"/>
      <protection/>
    </xf>
    <xf numFmtId="41" fontId="13" fillId="32" borderId="10" xfId="66" applyNumberFormat="1" applyFont="1" applyFill="1" applyBorder="1" applyAlignment="1">
      <alignment horizontal="center" vertical="center" shrinkToFit="1"/>
      <protection/>
    </xf>
    <xf numFmtId="41" fontId="13" fillId="32" borderId="10" xfId="66" applyNumberFormat="1" applyFont="1" applyFill="1" applyBorder="1" applyAlignment="1">
      <alignment horizontal="center" vertical="center"/>
      <protection/>
    </xf>
    <xf numFmtId="41" fontId="13" fillId="32" borderId="10" xfId="66" applyNumberFormat="1" applyFont="1" applyFill="1" applyBorder="1" applyAlignment="1">
      <alignment horizontal="center" vertical="center" wrapText="1" shrinkToFit="1"/>
      <protection/>
    </xf>
    <xf numFmtId="0" fontId="41" fillId="32" borderId="10" xfId="66" applyFont="1" applyFill="1" applyBorder="1" applyAlignment="1">
      <alignment horizontal="center" vertical="center" wrapText="1"/>
      <protection/>
    </xf>
    <xf numFmtId="0" fontId="41" fillId="32" borderId="14" xfId="66" applyFont="1" applyFill="1" applyBorder="1" applyAlignment="1">
      <alignment horizontal="center" vertical="center"/>
      <protection/>
    </xf>
    <xf numFmtId="0" fontId="13" fillId="32" borderId="15" xfId="66" applyFont="1" applyFill="1" applyBorder="1" applyAlignment="1">
      <alignment horizontal="center" vertical="center"/>
      <protection/>
    </xf>
    <xf numFmtId="41" fontId="13" fillId="32" borderId="13" xfId="66" applyNumberFormat="1" applyFont="1" applyFill="1" applyBorder="1" applyAlignment="1">
      <alignment horizontal="center" vertical="center"/>
      <protection/>
    </xf>
    <xf numFmtId="41" fontId="13" fillId="32" borderId="13" xfId="66" applyNumberFormat="1" applyFont="1" applyFill="1" applyBorder="1" applyAlignment="1">
      <alignment horizontal="center" vertical="center" wrapText="1" shrinkToFit="1"/>
      <protection/>
    </xf>
    <xf numFmtId="0" fontId="13" fillId="32" borderId="0" xfId="54" applyFont="1" applyFill="1">
      <alignment/>
      <protection/>
    </xf>
    <xf numFmtId="0" fontId="12" fillId="32" borderId="16" xfId="66" applyFont="1" applyFill="1" applyBorder="1" applyAlignment="1">
      <alignment horizontal="center" vertical="center"/>
      <protection/>
    </xf>
    <xf numFmtId="41" fontId="13" fillId="32" borderId="16" xfId="66" applyNumberFormat="1" applyFont="1" applyFill="1" applyBorder="1" applyAlignment="1">
      <alignment horizontal="center" vertical="center" shrinkToFit="1"/>
      <protection/>
    </xf>
    <xf numFmtId="41" fontId="13" fillId="32" borderId="16" xfId="66" applyNumberFormat="1" applyFont="1" applyFill="1" applyBorder="1" applyAlignment="1">
      <alignment horizontal="center" vertical="center"/>
      <protection/>
    </xf>
    <xf numFmtId="41" fontId="13" fillId="32" borderId="17" xfId="66" applyNumberFormat="1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vertical="center" wrapText="1"/>
      <protection/>
    </xf>
    <xf numFmtId="0" fontId="2" fillId="0" borderId="10" xfId="0" applyFont="1" applyBorder="1" applyAlignment="1">
      <alignment vertical="center"/>
    </xf>
    <xf numFmtId="168" fontId="11" fillId="33" borderId="10" xfId="57" applyNumberFormat="1" applyFont="1" applyFill="1" applyBorder="1" applyAlignment="1">
      <alignment horizontal="center" vertical="center"/>
      <protection/>
    </xf>
    <xf numFmtId="167" fontId="2" fillId="33" borderId="10" xfId="57" applyNumberFormat="1" applyFont="1" applyFill="1" applyBorder="1">
      <alignment/>
      <protection/>
    </xf>
    <xf numFmtId="4" fontId="2" fillId="33" borderId="10" xfId="57" applyNumberFormat="1" applyFont="1" applyFill="1" applyBorder="1">
      <alignment/>
      <protection/>
    </xf>
    <xf numFmtId="0" fontId="2" fillId="33" borderId="10" xfId="57" applyFont="1" applyFill="1" applyBorder="1">
      <alignment/>
      <protection/>
    </xf>
    <xf numFmtId="0" fontId="5" fillId="33" borderId="18" xfId="56" applyFont="1" applyFill="1" applyBorder="1" applyAlignment="1">
      <alignment horizontal="center" vertical="center" wrapText="1"/>
      <protection/>
    </xf>
    <xf numFmtId="0" fontId="13" fillId="33" borderId="18" xfId="56" applyFont="1" applyFill="1" applyBorder="1" applyAlignment="1">
      <alignment vertical="center" wrapText="1"/>
      <protection/>
    </xf>
    <xf numFmtId="0" fontId="13" fillId="33" borderId="18" xfId="56" applyFont="1" applyFill="1" applyBorder="1" applyAlignment="1">
      <alignment horizontal="justify" vertical="center" wrapText="1"/>
      <protection/>
    </xf>
    <xf numFmtId="0" fontId="17" fillId="33" borderId="18" xfId="56" applyFont="1" applyFill="1" applyBorder="1" applyAlignment="1">
      <alignment vertical="center" wrapText="1"/>
      <protection/>
    </xf>
    <xf numFmtId="0" fontId="13" fillId="33" borderId="18" xfId="56" applyFont="1" applyFill="1" applyBorder="1" applyAlignment="1">
      <alignment horizontal="left" vertical="center" wrapText="1"/>
      <protection/>
    </xf>
    <xf numFmtId="0" fontId="0" fillId="0" borderId="0" xfId="62" applyAlignment="1">
      <alignment horizontal="center"/>
      <protection/>
    </xf>
    <xf numFmtId="0" fontId="11" fillId="0" borderId="0" xfId="58" applyFont="1">
      <alignment/>
      <protection/>
    </xf>
    <xf numFmtId="172" fontId="13" fillId="33" borderId="17" xfId="63" applyNumberFormat="1" applyFont="1" applyFill="1" applyBorder="1">
      <alignment/>
      <protection/>
    </xf>
    <xf numFmtId="168" fontId="13" fillId="33" borderId="13" xfId="63" applyNumberFormat="1" applyFont="1" applyFill="1" applyBorder="1">
      <alignment/>
      <protection/>
    </xf>
    <xf numFmtId="168" fontId="13" fillId="33" borderId="13" xfId="63" applyNumberFormat="1" applyFont="1" applyFill="1" applyBorder="1" applyAlignment="1">
      <alignment horizontal="center" vertical="center"/>
      <protection/>
    </xf>
    <xf numFmtId="2" fontId="13" fillId="33" borderId="13" xfId="63" applyNumberFormat="1" applyFont="1" applyFill="1" applyBorder="1" applyAlignment="1">
      <alignment horizontal="center" vertical="center"/>
      <protection/>
    </xf>
    <xf numFmtId="2" fontId="13" fillId="33" borderId="13" xfId="63" applyNumberFormat="1" applyFont="1" applyFill="1" applyBorder="1" applyAlignment="1">
      <alignment horizontal="left" vertical="center"/>
      <protection/>
    </xf>
    <xf numFmtId="0" fontId="13" fillId="33" borderId="15" xfId="63" applyFont="1" applyFill="1" applyBorder="1" applyAlignment="1">
      <alignment horizontal="center" vertical="center"/>
      <protection/>
    </xf>
    <xf numFmtId="171" fontId="13" fillId="33" borderId="16" xfId="63" applyNumberFormat="1" applyFont="1" applyFill="1" applyBorder="1">
      <alignment/>
      <protection/>
    </xf>
    <xf numFmtId="168" fontId="13" fillId="33" borderId="10" xfId="63" applyNumberFormat="1" applyFont="1" applyFill="1" applyBorder="1">
      <alignment/>
      <protection/>
    </xf>
    <xf numFmtId="168" fontId="13" fillId="33" borderId="10" xfId="63" applyNumberFormat="1" applyFont="1" applyFill="1" applyBorder="1" applyAlignment="1">
      <alignment horizontal="center" vertical="center"/>
      <protection/>
    </xf>
    <xf numFmtId="2" fontId="13" fillId="33" borderId="10" xfId="63" applyNumberFormat="1" applyFont="1" applyFill="1" applyBorder="1" applyAlignment="1">
      <alignment horizontal="center" vertical="center"/>
      <protection/>
    </xf>
    <xf numFmtId="2" fontId="13" fillId="33" borderId="10" xfId="63" applyNumberFormat="1" applyFont="1" applyFill="1" applyBorder="1" applyAlignment="1">
      <alignment horizontal="left" vertical="center"/>
      <protection/>
    </xf>
    <xf numFmtId="168" fontId="13" fillId="33" borderId="16" xfId="63" applyNumberFormat="1" applyFont="1" applyFill="1" applyBorder="1">
      <alignment/>
      <protection/>
    </xf>
    <xf numFmtId="0" fontId="13" fillId="33" borderId="10" xfId="63" applyFont="1" applyFill="1" applyBorder="1" applyAlignment="1">
      <alignment horizontal="left" vertical="center" wrapText="1"/>
      <protection/>
    </xf>
    <xf numFmtId="3" fontId="13" fillId="33" borderId="16" xfId="63" applyNumberFormat="1" applyFont="1" applyFill="1" applyBorder="1">
      <alignment/>
      <protection/>
    </xf>
    <xf numFmtId="3" fontId="13" fillId="33" borderId="10" xfId="63" applyNumberFormat="1" applyFont="1" applyFill="1" applyBorder="1">
      <alignment/>
      <protection/>
    </xf>
    <xf numFmtId="3" fontId="13" fillId="33" borderId="10" xfId="63" applyNumberFormat="1" applyFont="1" applyFill="1" applyBorder="1" applyAlignment="1">
      <alignment horizontal="center" vertical="center"/>
      <protection/>
    </xf>
    <xf numFmtId="1" fontId="13" fillId="33" borderId="10" xfId="63" applyNumberFormat="1" applyFont="1" applyFill="1" applyBorder="1" applyAlignment="1">
      <alignment horizontal="center" vertical="center"/>
      <protection/>
    </xf>
    <xf numFmtId="0" fontId="13" fillId="33" borderId="10" xfId="63" applyFont="1" applyFill="1" applyBorder="1" applyAlignment="1">
      <alignment horizontal="left" vertical="center"/>
      <protection/>
    </xf>
    <xf numFmtId="0" fontId="13" fillId="33" borderId="16" xfId="63" applyFont="1" applyFill="1" applyBorder="1">
      <alignment/>
      <protection/>
    </xf>
    <xf numFmtId="0" fontId="13" fillId="33" borderId="10" xfId="63" applyFont="1" applyFill="1" applyBorder="1">
      <alignment/>
      <protection/>
    </xf>
    <xf numFmtId="1" fontId="13" fillId="33" borderId="10" xfId="63" applyNumberFormat="1" applyFont="1" applyFill="1" applyBorder="1" applyAlignment="1">
      <alignment horizontal="center" vertical="center" wrapText="1"/>
      <protection/>
    </xf>
    <xf numFmtId="4" fontId="13" fillId="33" borderId="10" xfId="63" applyNumberFormat="1" applyFont="1" applyFill="1" applyBorder="1" applyAlignment="1">
      <alignment horizontal="center" vertical="center"/>
      <protection/>
    </xf>
    <xf numFmtId="3" fontId="36" fillId="33" borderId="16" xfId="63" applyNumberFormat="1" applyFont="1" applyFill="1" applyBorder="1">
      <alignment/>
      <protection/>
    </xf>
    <xf numFmtId="3" fontId="36" fillId="33" borderId="10" xfId="63" applyNumberFormat="1" applyFont="1" applyFill="1" applyBorder="1">
      <alignment/>
      <protection/>
    </xf>
    <xf numFmtId="1" fontId="13" fillId="33" borderId="16" xfId="63" applyNumberFormat="1" applyFont="1" applyFill="1" applyBorder="1">
      <alignment/>
      <protection/>
    </xf>
    <xf numFmtId="1" fontId="13" fillId="33" borderId="10" xfId="63" applyNumberFormat="1" applyFont="1" applyFill="1" applyBorder="1">
      <alignment/>
      <protection/>
    </xf>
    <xf numFmtId="0" fontId="13" fillId="33" borderId="10" xfId="63" applyFont="1" applyFill="1" applyBorder="1" applyAlignment="1">
      <alignment horizontal="center" vertical="center" wrapText="1"/>
      <protection/>
    </xf>
    <xf numFmtId="0" fontId="0" fillId="33" borderId="19" xfId="62" applyFill="1" applyBorder="1" applyAlignment="1">
      <alignment/>
      <protection/>
    </xf>
    <xf numFmtId="0" fontId="0" fillId="33" borderId="20" xfId="62" applyFont="1" applyFill="1" applyBorder="1" applyAlignment="1">
      <alignment/>
      <protection/>
    </xf>
    <xf numFmtId="0" fontId="0" fillId="33" borderId="20" xfId="55" applyFont="1" applyFill="1" applyBorder="1" applyAlignment="1">
      <alignment horizontal="center" vertical="center" wrapText="1" shrinkToFit="1"/>
      <protection/>
    </xf>
    <xf numFmtId="0" fontId="13" fillId="33" borderId="20" xfId="63" applyFont="1" applyFill="1" applyBorder="1" applyAlignment="1">
      <alignment horizontal="center" vertical="center" wrapText="1"/>
      <protection/>
    </xf>
    <xf numFmtId="0" fontId="22" fillId="33" borderId="20" xfId="63" applyFont="1" applyFill="1" applyBorder="1" applyAlignment="1">
      <alignment horizontal="center" vertical="center" wrapText="1"/>
      <protection/>
    </xf>
    <xf numFmtId="0" fontId="8" fillId="33" borderId="20" xfId="0" applyFont="1" applyFill="1" applyBorder="1" applyAlignment="1">
      <alignment horizontal="center" vertical="center" wrapText="1" shrinkToFit="1"/>
    </xf>
    <xf numFmtId="0" fontId="22" fillId="33" borderId="10" xfId="63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 shrinkToFi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/>
    </xf>
    <xf numFmtId="3" fontId="0" fillId="33" borderId="10" xfId="62" applyNumberFormat="1" applyFont="1" applyFill="1" applyBorder="1" applyAlignment="1">
      <alignment vertical="center" wrapText="1"/>
      <protection/>
    </xf>
    <xf numFmtId="0" fontId="8" fillId="33" borderId="14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16" fontId="8" fillId="33" borderId="14" xfId="0" applyNumberFormat="1" applyFont="1" applyFill="1" applyBorder="1" applyAlignment="1">
      <alignment vertical="center" wrapText="1"/>
    </xf>
    <xf numFmtId="10" fontId="8" fillId="33" borderId="10" xfId="0" applyNumberFormat="1" applyFont="1" applyFill="1" applyBorder="1" applyAlignment="1">
      <alignment vertical="center" wrapText="1"/>
    </xf>
    <xf numFmtId="1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43" fillId="33" borderId="14" xfId="0" applyNumberFormat="1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right" vertical="center" wrapText="1"/>
    </xf>
    <xf numFmtId="1" fontId="43" fillId="33" borderId="10" xfId="0" applyNumberFormat="1" applyFont="1" applyFill="1" applyBorder="1" applyAlignment="1">
      <alignment horizontal="right" vertical="center" wrapText="1"/>
    </xf>
    <xf numFmtId="3" fontId="43" fillId="33" borderId="10" xfId="0" applyNumberFormat="1" applyFont="1" applyFill="1" applyBorder="1" applyAlignment="1">
      <alignment horizontal="right" vertical="center" wrapText="1"/>
    </xf>
    <xf numFmtId="0" fontId="8" fillId="33" borderId="14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right" vertical="center" wrapText="1"/>
    </xf>
    <xf numFmtId="1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1" fontId="8" fillId="33" borderId="13" xfId="0" applyNumberFormat="1" applyFont="1" applyFill="1" applyBorder="1" applyAlignment="1">
      <alignment vertical="center" wrapText="1"/>
    </xf>
    <xf numFmtId="3" fontId="8" fillId="33" borderId="13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0" fillId="0" borderId="0" xfId="62" applyAlignment="1">
      <alignment horizontal="right"/>
      <protection/>
    </xf>
    <xf numFmtId="0" fontId="14" fillId="0" borderId="0" xfId="62" applyFont="1" applyAlignment="1">
      <alignment horizontal="left" wrapText="1"/>
      <protection/>
    </xf>
    <xf numFmtId="0" fontId="0" fillId="33" borderId="14" xfId="62" applyFont="1" applyFill="1" applyBorder="1" applyAlignment="1">
      <alignment horizontal="center"/>
      <protection/>
    </xf>
    <xf numFmtId="0" fontId="0" fillId="33" borderId="10" xfId="62" applyFont="1" applyFill="1" applyBorder="1" applyAlignment="1">
      <alignment wrapText="1"/>
      <protection/>
    </xf>
    <xf numFmtId="3" fontId="0" fillId="33" borderId="10" xfId="62" applyNumberFormat="1" applyFont="1" applyFill="1" applyBorder="1" applyAlignment="1">
      <alignment horizontal="center"/>
      <protection/>
    </xf>
    <xf numFmtId="1" fontId="0" fillId="33" borderId="16" xfId="62" applyNumberFormat="1" applyFont="1" applyFill="1" applyBorder="1">
      <alignment/>
      <protection/>
    </xf>
    <xf numFmtId="0" fontId="0" fillId="33" borderId="10" xfId="62" applyFont="1" applyFill="1" applyBorder="1" applyAlignment="1">
      <alignment horizontal="center"/>
      <protection/>
    </xf>
    <xf numFmtId="0" fontId="0" fillId="33" borderId="16" xfId="62" applyFont="1" applyFill="1" applyBorder="1">
      <alignment/>
      <protection/>
    </xf>
    <xf numFmtId="10" fontId="0" fillId="33" borderId="10" xfId="62" applyNumberFormat="1" applyFont="1" applyFill="1" applyBorder="1" applyAlignment="1">
      <alignment horizontal="center"/>
      <protection/>
    </xf>
    <xf numFmtId="10" fontId="0" fillId="33" borderId="16" xfId="62" applyNumberFormat="1" applyFont="1" applyFill="1" applyBorder="1">
      <alignment/>
      <protection/>
    </xf>
    <xf numFmtId="0" fontId="0" fillId="33" borderId="15" xfId="62" applyFont="1" applyFill="1" applyBorder="1" applyAlignment="1">
      <alignment horizontal="center"/>
      <protection/>
    </xf>
    <xf numFmtId="0" fontId="0" fillId="33" borderId="13" xfId="62" applyFont="1" applyFill="1" applyBorder="1" applyAlignment="1">
      <alignment wrapText="1"/>
      <protection/>
    </xf>
    <xf numFmtId="3" fontId="0" fillId="33" borderId="13" xfId="62" applyNumberFormat="1" applyFont="1" applyFill="1" applyBorder="1" applyAlignment="1">
      <alignment horizontal="center"/>
      <protection/>
    </xf>
    <xf numFmtId="0" fontId="11" fillId="0" borderId="0" xfId="58" applyFont="1" applyAlignment="1">
      <alignment horizontal="right"/>
      <protection/>
    </xf>
    <xf numFmtId="1" fontId="0" fillId="0" borderId="0" xfId="62" applyNumberFormat="1" applyBorder="1">
      <alignment/>
      <protection/>
    </xf>
    <xf numFmtId="166" fontId="13" fillId="33" borderId="10" xfId="63" applyNumberFormat="1" applyFont="1" applyFill="1" applyBorder="1">
      <alignment/>
      <protection/>
    </xf>
    <xf numFmtId="4" fontId="13" fillId="33" borderId="10" xfId="63" applyNumberFormat="1" applyFont="1" applyFill="1" applyBorder="1">
      <alignment/>
      <protection/>
    </xf>
    <xf numFmtId="166" fontId="13" fillId="33" borderId="16" xfId="63" applyNumberFormat="1" applyFont="1" applyFill="1" applyBorder="1">
      <alignment/>
      <protection/>
    </xf>
    <xf numFmtId="168" fontId="0" fillId="33" borderId="17" xfId="62" applyNumberFormat="1" applyFont="1" applyFill="1" applyBorder="1">
      <alignment/>
      <protection/>
    </xf>
    <xf numFmtId="0" fontId="0" fillId="33" borderId="10" xfId="62" applyFont="1" applyFill="1" applyBorder="1" applyAlignment="1">
      <alignment horizontal="center" vertical="center" wrapText="1"/>
      <protection/>
    </xf>
    <xf numFmtId="0" fontId="13" fillId="33" borderId="14" xfId="63" applyFont="1" applyFill="1" applyBorder="1" applyAlignment="1">
      <alignment horizontal="center" vertical="center"/>
      <protection/>
    </xf>
    <xf numFmtId="0" fontId="13" fillId="33" borderId="10" xfId="63" applyFont="1" applyFill="1" applyBorder="1" applyAlignment="1">
      <alignment horizontal="center" vertical="center"/>
      <protection/>
    </xf>
    <xf numFmtId="0" fontId="0" fillId="33" borderId="16" xfId="62" applyFont="1" applyFill="1" applyBorder="1" applyAlignment="1">
      <alignment horizontal="center" vertical="center" wrapText="1"/>
      <protection/>
    </xf>
    <xf numFmtId="0" fontId="8" fillId="33" borderId="14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0" xfId="57" applyFont="1" applyFill="1" applyAlignment="1">
      <alignment horizontal="center" vertical="center"/>
      <protection/>
    </xf>
    <xf numFmtId="0" fontId="2" fillId="33" borderId="0" xfId="57" applyFont="1" applyFill="1" applyAlignment="1">
      <alignment horizontal="center" vertical="center"/>
      <protection/>
    </xf>
    <xf numFmtId="0" fontId="2" fillId="33" borderId="0" xfId="57" applyFont="1" applyFill="1">
      <alignment/>
      <protection/>
    </xf>
    <xf numFmtId="0" fontId="4" fillId="33" borderId="0" xfId="57" applyFont="1" applyFill="1" applyAlignment="1">
      <alignment horizontal="center" vertical="center"/>
      <protection/>
    </xf>
    <xf numFmtId="0" fontId="11" fillId="33" borderId="0" xfId="57" applyFont="1" applyFill="1" applyAlignment="1">
      <alignment horizontal="center" vertical="center"/>
      <protection/>
    </xf>
    <xf numFmtId="0" fontId="11" fillId="33" borderId="0" xfId="57" applyFont="1" applyFill="1">
      <alignment/>
      <protection/>
    </xf>
    <xf numFmtId="0" fontId="5" fillId="33" borderId="10" xfId="57" applyFont="1" applyFill="1" applyBorder="1" applyAlignment="1">
      <alignment horizontal="center" vertical="center"/>
      <protection/>
    </xf>
    <xf numFmtId="0" fontId="5" fillId="33" borderId="0" xfId="57" applyFont="1" applyFill="1" applyAlignment="1">
      <alignment horizontal="center" vertical="center"/>
      <protection/>
    </xf>
    <xf numFmtId="0" fontId="5" fillId="33" borderId="0" xfId="57" applyFont="1" applyFill="1">
      <alignment/>
      <protection/>
    </xf>
    <xf numFmtId="0" fontId="12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2" xfId="0" applyNumberFormat="1" applyFont="1" applyFill="1" applyBorder="1" applyAlignment="1" applyProtection="1">
      <alignment horizontal="center" vertical="center"/>
      <protection/>
    </xf>
    <xf numFmtId="0" fontId="9" fillId="33" borderId="0" xfId="57" applyFont="1" applyFill="1" applyAlignment="1">
      <alignment horizontal="left" vertical="center"/>
      <protection/>
    </xf>
    <xf numFmtId="0" fontId="2" fillId="33" borderId="21" xfId="57" applyFont="1" applyFill="1" applyBorder="1" applyAlignment="1">
      <alignment horizontal="center" vertical="center" wrapText="1" shrinkToFit="1"/>
      <protection/>
    </xf>
    <xf numFmtId="0" fontId="5" fillId="33" borderId="14" xfId="57" applyFont="1" applyFill="1" applyBorder="1" applyAlignment="1">
      <alignment horizontal="center" vertical="center"/>
      <protection/>
    </xf>
    <xf numFmtId="0" fontId="2" fillId="33" borderId="10" xfId="57" applyFont="1" applyFill="1" applyBorder="1" applyAlignment="1">
      <alignment horizont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11" fillId="33" borderId="10" xfId="57" applyFont="1" applyFill="1" applyBorder="1" applyAlignment="1">
      <alignment horizontal="left" vertical="center" wrapText="1"/>
      <protection/>
    </xf>
    <xf numFmtId="0" fontId="11" fillId="33" borderId="10" xfId="57" applyFont="1" applyFill="1" applyBorder="1" applyAlignment="1">
      <alignment horizontal="center" vertical="center"/>
      <protection/>
    </xf>
    <xf numFmtId="168" fontId="11" fillId="33" borderId="16" xfId="57" applyNumberFormat="1" applyFont="1" applyFill="1" applyBorder="1" applyAlignment="1">
      <alignment horizontal="center" vertical="center"/>
      <protection/>
    </xf>
    <xf numFmtId="0" fontId="11" fillId="33" borderId="10" xfId="57" applyFont="1" applyFill="1" applyBorder="1" applyAlignment="1">
      <alignment horizontal="left" vertical="center"/>
      <protection/>
    </xf>
    <xf numFmtId="0" fontId="5" fillId="33" borderId="14" xfId="55" applyFont="1" applyFill="1" applyBorder="1" applyAlignment="1">
      <alignment horizontal="center" vertical="center" wrapText="1"/>
      <protection/>
    </xf>
    <xf numFmtId="0" fontId="20" fillId="33" borderId="10" xfId="55" applyFont="1" applyFill="1" applyBorder="1" applyAlignment="1">
      <alignment horizontal="left" vertical="center" wrapText="1"/>
      <protection/>
    </xf>
    <xf numFmtId="168" fontId="2" fillId="33" borderId="0" xfId="57" applyNumberFormat="1" applyFont="1" applyFill="1">
      <alignment/>
      <protection/>
    </xf>
    <xf numFmtId="0" fontId="20" fillId="33" borderId="10" xfId="0" applyNumberFormat="1" applyFont="1" applyFill="1" applyBorder="1" applyAlignment="1" applyProtection="1">
      <alignment horizontal="left" vertical="center" wrapText="1"/>
      <protection/>
    </xf>
    <xf numFmtId="16" fontId="2" fillId="33" borderId="14" xfId="57" applyNumberFormat="1" applyFont="1" applyFill="1" applyBorder="1" applyAlignment="1">
      <alignment horizontal="center" vertical="center"/>
      <protection/>
    </xf>
    <xf numFmtId="0" fontId="2" fillId="33" borderId="15" xfId="57" applyFont="1" applyFill="1" applyBorder="1" applyAlignment="1">
      <alignment horizontal="center" vertical="center"/>
      <protection/>
    </xf>
    <xf numFmtId="0" fontId="11" fillId="33" borderId="13" xfId="57" applyFont="1" applyFill="1" applyBorder="1" applyAlignment="1">
      <alignment horizontal="left" vertical="center"/>
      <protection/>
    </xf>
    <xf numFmtId="0" fontId="11" fillId="33" borderId="13" xfId="57" applyFont="1" applyFill="1" applyBorder="1" applyAlignment="1">
      <alignment horizontal="center" vertical="center"/>
      <protection/>
    </xf>
    <xf numFmtId="168" fontId="11" fillId="33" borderId="13" xfId="57" applyNumberFormat="1" applyFont="1" applyFill="1" applyBorder="1" applyAlignment="1">
      <alignment horizontal="center" vertical="center"/>
      <protection/>
    </xf>
    <xf numFmtId="0" fontId="8" fillId="33" borderId="0" xfId="57" applyFont="1" applyFill="1">
      <alignment/>
      <protection/>
    </xf>
    <xf numFmtId="0" fontId="2" fillId="33" borderId="0" xfId="57" applyFont="1" applyFill="1" applyAlignment="1">
      <alignment horizontal="center"/>
      <protection/>
    </xf>
    <xf numFmtId="0" fontId="2" fillId="33" borderId="0" xfId="57" applyFont="1" applyFill="1" applyAlignment="1">
      <alignment horizontal="right" vertical="center"/>
      <protection/>
    </xf>
    <xf numFmtId="0" fontId="4" fillId="33" borderId="0" xfId="57" applyFont="1" applyFill="1">
      <alignment/>
      <protection/>
    </xf>
    <xf numFmtId="0" fontId="2" fillId="33" borderId="0" xfId="57" applyFont="1" applyFill="1" applyAlignment="1">
      <alignment horizontal="right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0" fontId="2" fillId="33" borderId="12" xfId="59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/>
      <protection/>
    </xf>
    <xf numFmtId="49" fontId="5" fillId="33" borderId="10" xfId="57" applyNumberFormat="1" applyFont="1" applyFill="1" applyBorder="1" applyAlignment="1">
      <alignment horizontal="center"/>
      <protection/>
    </xf>
    <xf numFmtId="49" fontId="2" fillId="33" borderId="10" xfId="57" applyNumberFormat="1" applyFont="1" applyFill="1" applyBorder="1" applyAlignment="1">
      <alignment wrapText="1"/>
      <protection/>
    </xf>
    <xf numFmtId="165" fontId="2" fillId="33" borderId="10" xfId="57" applyNumberFormat="1" applyFont="1" applyFill="1" applyBorder="1">
      <alignment/>
      <protection/>
    </xf>
    <xf numFmtId="49" fontId="5" fillId="33" borderId="10" xfId="57" applyNumberFormat="1" applyFont="1" applyFill="1" applyBorder="1" applyAlignment="1">
      <alignment horizontal="center" vertical="top"/>
      <protection/>
    </xf>
    <xf numFmtId="49" fontId="2" fillId="33" borderId="10" xfId="57" applyNumberFormat="1" applyFont="1" applyFill="1" applyBorder="1" applyAlignment="1">
      <alignment vertical="justify" wrapText="1"/>
      <protection/>
    </xf>
    <xf numFmtId="49" fontId="2" fillId="33" borderId="10" xfId="57" applyNumberFormat="1" applyFont="1" applyFill="1" applyBorder="1" applyAlignment="1">
      <alignment vertical="top" wrapText="1"/>
      <protection/>
    </xf>
    <xf numFmtId="49" fontId="5" fillId="33" borderId="10" xfId="57" applyNumberFormat="1" applyFont="1" applyFill="1" applyBorder="1" applyAlignment="1">
      <alignment horizontal="center" vertical="top" wrapText="1"/>
      <protection/>
    </xf>
    <xf numFmtId="0" fontId="2" fillId="33" borderId="10" xfId="57" applyFont="1" applyFill="1" applyBorder="1" applyAlignment="1">
      <alignment vertical="top" wrapText="1"/>
      <protection/>
    </xf>
    <xf numFmtId="4" fontId="6" fillId="33" borderId="10" xfId="57" applyNumberFormat="1" applyFont="1" applyFill="1" applyBorder="1">
      <alignment/>
      <protection/>
    </xf>
    <xf numFmtId="10" fontId="2" fillId="33" borderId="10" xfId="57" applyNumberFormat="1" applyFont="1" applyFill="1" applyBorder="1">
      <alignment/>
      <protection/>
    </xf>
    <xf numFmtId="167" fontId="2" fillId="33" borderId="0" xfId="57" applyNumberFormat="1" applyFont="1" applyFill="1">
      <alignment/>
      <protection/>
    </xf>
    <xf numFmtId="49" fontId="2" fillId="33" borderId="0" xfId="57" applyNumberFormat="1" applyFont="1" applyFill="1" applyBorder="1" applyAlignment="1">
      <alignment horizontal="center" vertical="center" wrapText="1"/>
      <protection/>
    </xf>
    <xf numFmtId="49" fontId="2" fillId="33" borderId="0" xfId="57" applyNumberFormat="1" applyFont="1" applyFill="1" applyBorder="1" applyAlignment="1">
      <alignment wrapText="1"/>
      <protection/>
    </xf>
    <xf numFmtId="0" fontId="2" fillId="33" borderId="0" xfId="57" applyFont="1" applyFill="1" applyBorder="1" applyAlignment="1">
      <alignment horizontal="center"/>
      <protection/>
    </xf>
    <xf numFmtId="0" fontId="5" fillId="33" borderId="14" xfId="57" applyFont="1" applyFill="1" applyBorder="1" applyAlignment="1">
      <alignment horizontal="center"/>
      <protection/>
    </xf>
    <xf numFmtId="0" fontId="2" fillId="33" borderId="10" xfId="57" applyFont="1" applyFill="1" applyBorder="1" applyAlignment="1">
      <alignment horizontal="center" vertical="center" wrapText="1" shrinkToFit="1"/>
      <protection/>
    </xf>
    <xf numFmtId="1" fontId="2" fillId="33" borderId="10" xfId="57" applyNumberFormat="1" applyFont="1" applyFill="1" applyBorder="1" applyAlignment="1">
      <alignment horizontal="center" vertical="center"/>
      <protection/>
    </xf>
    <xf numFmtId="1" fontId="2" fillId="33" borderId="16" xfId="57" applyNumberFormat="1" applyFont="1" applyFill="1" applyBorder="1" applyAlignment="1">
      <alignment horizontal="center" vertical="center"/>
      <protection/>
    </xf>
    <xf numFmtId="49" fontId="5" fillId="33" borderId="14" xfId="57" applyNumberFormat="1" applyFont="1" applyFill="1" applyBorder="1" applyAlignment="1">
      <alignment horizontal="center" vertical="center" wrapText="1"/>
      <protection/>
    </xf>
    <xf numFmtId="49" fontId="2" fillId="33" borderId="10" xfId="57" applyNumberFormat="1" applyFont="1" applyFill="1" applyBorder="1" applyAlignment="1">
      <alignment horizontal="left" vertical="center" wrapText="1"/>
      <protection/>
    </xf>
    <xf numFmtId="168" fontId="86" fillId="33" borderId="0" xfId="57" applyNumberFormat="1" applyFont="1" applyFill="1">
      <alignment/>
      <protection/>
    </xf>
    <xf numFmtId="0" fontId="87" fillId="33" borderId="0" xfId="57" applyFont="1" applyFill="1">
      <alignment/>
      <protection/>
    </xf>
    <xf numFmtId="171" fontId="11" fillId="33" borderId="10" xfId="57" applyNumberFormat="1" applyFont="1" applyFill="1" applyBorder="1" applyAlignment="1">
      <alignment horizontal="center" vertical="center"/>
      <protection/>
    </xf>
    <xf numFmtId="49" fontId="7" fillId="33" borderId="10" xfId="57" applyNumberFormat="1" applyFont="1" applyFill="1" applyBorder="1" applyAlignment="1">
      <alignment horizontal="left" vertical="center" wrapText="1"/>
      <protection/>
    </xf>
    <xf numFmtId="2" fontId="2" fillId="33" borderId="0" xfId="57" applyNumberFormat="1" applyFont="1" applyFill="1">
      <alignment/>
      <protection/>
    </xf>
    <xf numFmtId="171" fontId="2" fillId="33" borderId="0" xfId="57" applyNumberFormat="1" applyFont="1" applyFill="1">
      <alignment/>
      <protection/>
    </xf>
    <xf numFmtId="49" fontId="5" fillId="33" borderId="12" xfId="57" applyNumberFormat="1" applyFont="1" applyFill="1" applyBorder="1" applyAlignment="1">
      <alignment horizontal="center" vertical="top" wrapText="1"/>
      <protection/>
    </xf>
    <xf numFmtId="49" fontId="2" fillId="33" borderId="12" xfId="57" applyNumberFormat="1" applyFont="1" applyFill="1" applyBorder="1" applyAlignment="1">
      <alignment wrapText="1"/>
      <protection/>
    </xf>
    <xf numFmtId="0" fontId="11" fillId="33" borderId="12" xfId="57" applyFont="1" applyFill="1" applyBorder="1" applyAlignment="1">
      <alignment horizontal="center" vertical="center"/>
      <protection/>
    </xf>
    <xf numFmtId="168" fontId="11" fillId="33" borderId="12" xfId="57" applyNumberFormat="1" applyFont="1" applyFill="1" applyBorder="1">
      <alignment/>
      <protection/>
    </xf>
    <xf numFmtId="167" fontId="11" fillId="33" borderId="12" xfId="57" applyNumberFormat="1" applyFont="1" applyFill="1" applyBorder="1">
      <alignment/>
      <protection/>
    </xf>
    <xf numFmtId="167" fontId="2" fillId="33" borderId="0" xfId="57" applyNumberFormat="1" applyFont="1" applyFill="1" applyAlignment="1">
      <alignment horizontal="center"/>
      <protection/>
    </xf>
    <xf numFmtId="0" fontId="8" fillId="33" borderId="0" xfId="57" applyFont="1" applyFill="1" applyAlignment="1">
      <alignment horizontal="center"/>
      <protection/>
    </xf>
    <xf numFmtId="4" fontId="2" fillId="33" borderId="0" xfId="57" applyNumberFormat="1" applyFont="1" applyFill="1" applyAlignment="1">
      <alignment horizontal="center"/>
      <protection/>
    </xf>
    <xf numFmtId="0" fontId="0" fillId="33" borderId="0" xfId="55" applyFill="1">
      <alignment/>
      <protection/>
    </xf>
    <xf numFmtId="0" fontId="27" fillId="33" borderId="0" xfId="55" applyFont="1" applyFill="1" applyAlignment="1">
      <alignment horizontal="right" vertical="center"/>
      <protection/>
    </xf>
    <xf numFmtId="0" fontId="0" fillId="33" borderId="0" xfId="55" applyFill="1" applyAlignment="1">
      <alignment horizontal="center" vertical="center" wrapText="1"/>
      <protection/>
    </xf>
    <xf numFmtId="0" fontId="0" fillId="33" borderId="0" xfId="55" applyFill="1" applyAlignment="1">
      <alignment vertical="center" wrapText="1"/>
      <protection/>
    </xf>
    <xf numFmtId="0" fontId="5" fillId="33" borderId="22" xfId="55" applyFont="1" applyFill="1" applyBorder="1" applyAlignment="1">
      <alignment horizontal="center" vertical="center" wrapText="1"/>
      <protection/>
    </xf>
    <xf numFmtId="0" fontId="5" fillId="33" borderId="23" xfId="55" applyFont="1" applyFill="1" applyBorder="1" applyAlignment="1">
      <alignment horizontal="center" vertical="center" wrapText="1"/>
      <protection/>
    </xf>
    <xf numFmtId="0" fontId="5" fillId="33" borderId="24" xfId="55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33" borderId="14" xfId="55" applyFont="1" applyFill="1" applyBorder="1" applyAlignment="1">
      <alignment horizontal="center" vertical="center"/>
      <protection/>
    </xf>
    <xf numFmtId="0" fontId="5" fillId="33" borderId="0" xfId="55" applyFont="1" applyFill="1">
      <alignment/>
      <protection/>
    </xf>
    <xf numFmtId="0" fontId="13" fillId="33" borderId="10" xfId="56" applyNumberFormat="1" applyFont="1" applyFill="1" applyBorder="1" applyAlignment="1" applyProtection="1">
      <alignment horizontal="center" vertical="center" wrapText="1"/>
      <protection/>
    </xf>
    <xf numFmtId="0" fontId="5" fillId="33" borderId="10" xfId="56" applyFont="1" applyFill="1" applyBorder="1" applyAlignment="1">
      <alignment horizontal="center"/>
      <protection/>
    </xf>
    <xf numFmtId="0" fontId="13" fillId="33" borderId="24" xfId="56" applyNumberFormat="1" applyFont="1" applyFill="1" applyBorder="1" applyAlignment="1" applyProtection="1">
      <alignment horizontal="center" vertical="center" wrapText="1"/>
      <protection/>
    </xf>
    <xf numFmtId="0" fontId="2" fillId="33" borderId="22" xfId="55" applyFont="1" applyFill="1" applyBorder="1" applyAlignment="1">
      <alignment horizontal="center" vertical="center" wrapText="1"/>
      <protection/>
    </xf>
    <xf numFmtId="49" fontId="11" fillId="33" borderId="23" xfId="57" applyNumberFormat="1" applyFont="1" applyFill="1" applyBorder="1" applyAlignment="1">
      <alignment vertical="center" wrapText="1"/>
      <protection/>
    </xf>
    <xf numFmtId="168" fontId="11" fillId="33" borderId="14" xfId="55" applyNumberFormat="1" applyFont="1" applyFill="1" applyBorder="1" applyAlignment="1">
      <alignment horizontal="center"/>
      <protection/>
    </xf>
    <xf numFmtId="168" fontId="11" fillId="33" borderId="10" xfId="55" applyNumberFormat="1" applyFont="1" applyFill="1" applyBorder="1" applyAlignment="1">
      <alignment horizontal="center"/>
      <protection/>
    </xf>
    <xf numFmtId="168" fontId="11" fillId="33" borderId="24" xfId="55" applyNumberFormat="1" applyFont="1" applyFill="1" applyBorder="1" applyAlignment="1">
      <alignment horizontal="center"/>
      <protection/>
    </xf>
    <xf numFmtId="168" fontId="11" fillId="33" borderId="16" xfId="55" applyNumberFormat="1" applyFont="1" applyFill="1" applyBorder="1" applyAlignment="1">
      <alignment horizontal="center"/>
      <protection/>
    </xf>
    <xf numFmtId="1" fontId="11" fillId="33" borderId="10" xfId="55" applyNumberFormat="1" applyFont="1" applyFill="1" applyBorder="1" applyAlignment="1">
      <alignment horizontal="center"/>
      <protection/>
    </xf>
    <xf numFmtId="1" fontId="11" fillId="33" borderId="16" xfId="55" applyNumberFormat="1" applyFont="1" applyFill="1" applyBorder="1" applyAlignment="1">
      <alignment horizontal="center"/>
      <protection/>
    </xf>
    <xf numFmtId="1" fontId="11" fillId="33" borderId="14" xfId="55" applyNumberFormat="1" applyFont="1" applyFill="1" applyBorder="1" applyAlignment="1">
      <alignment horizontal="center"/>
      <protection/>
    </xf>
    <xf numFmtId="1" fontId="11" fillId="33" borderId="24" xfId="55" applyNumberFormat="1" applyFont="1" applyFill="1" applyBorder="1" applyAlignment="1">
      <alignment horizontal="center"/>
      <protection/>
    </xf>
    <xf numFmtId="0" fontId="2" fillId="33" borderId="25" xfId="55" applyFont="1" applyFill="1" applyBorder="1" applyAlignment="1">
      <alignment horizontal="center" vertical="center" wrapText="1"/>
      <protection/>
    </xf>
    <xf numFmtId="49" fontId="11" fillId="33" borderId="26" xfId="57" applyNumberFormat="1" applyFont="1" applyFill="1" applyBorder="1" applyAlignment="1">
      <alignment vertical="center" wrapText="1"/>
      <protection/>
    </xf>
    <xf numFmtId="0" fontId="5" fillId="33" borderId="25" xfId="55" applyFont="1" applyFill="1" applyBorder="1" applyAlignment="1">
      <alignment horizontal="center" vertical="center" wrapText="1"/>
      <protection/>
    </xf>
    <xf numFmtId="168" fontId="11" fillId="33" borderId="15" xfId="55" applyNumberFormat="1" applyFont="1" applyFill="1" applyBorder="1" applyAlignment="1">
      <alignment horizontal="center"/>
      <protection/>
    </xf>
    <xf numFmtId="168" fontId="11" fillId="33" borderId="13" xfId="55" applyNumberFormat="1" applyFont="1" applyFill="1" applyBorder="1" applyAlignment="1">
      <alignment horizontal="center"/>
      <protection/>
    </xf>
    <xf numFmtId="168" fontId="11" fillId="33" borderId="17" xfId="55" applyNumberFormat="1" applyFont="1" applyFill="1" applyBorder="1" applyAlignment="1">
      <alignment horizontal="center"/>
      <protection/>
    </xf>
    <xf numFmtId="168" fontId="11" fillId="33" borderId="27" xfId="55" applyNumberFormat="1" applyFont="1" applyFill="1" applyBorder="1" applyAlignment="1">
      <alignment horizontal="center"/>
      <protection/>
    </xf>
    <xf numFmtId="168" fontId="0" fillId="33" borderId="0" xfId="55" applyNumberFormat="1" applyFill="1">
      <alignment/>
      <protection/>
    </xf>
    <xf numFmtId="0" fontId="2" fillId="33" borderId="0" xfId="60" applyNumberFormat="1" applyFont="1" applyFill="1" applyBorder="1" applyAlignment="1" applyProtection="1">
      <alignment vertical="top"/>
      <protection/>
    </xf>
    <xf numFmtId="0" fontId="2" fillId="33" borderId="0" xfId="60" applyNumberFormat="1" applyFont="1" applyFill="1" applyBorder="1" applyAlignment="1" applyProtection="1">
      <alignment vertical="top" wrapText="1"/>
      <protection/>
    </xf>
    <xf numFmtId="0" fontId="2" fillId="33" borderId="0" xfId="60" applyNumberFormat="1" applyFont="1" applyFill="1" applyBorder="1" applyAlignment="1" applyProtection="1">
      <alignment horizontal="right" vertical="top"/>
      <protection/>
    </xf>
    <xf numFmtId="0" fontId="0" fillId="33" borderId="0" xfId="55" applyFill="1" applyBorder="1">
      <alignment/>
      <protection/>
    </xf>
    <xf numFmtId="0" fontId="2" fillId="33" borderId="0" xfId="55" applyNumberFormat="1" applyFont="1" applyFill="1" applyBorder="1" applyAlignment="1" applyProtection="1">
      <alignment vertical="top"/>
      <protection/>
    </xf>
    <xf numFmtId="0" fontId="13" fillId="33" borderId="28" xfId="55" applyNumberFormat="1" applyFont="1" applyFill="1" applyBorder="1" applyAlignment="1" applyProtection="1">
      <alignment horizontal="center" vertical="center" wrapText="1"/>
      <protection/>
    </xf>
    <xf numFmtId="0" fontId="13" fillId="33" borderId="12" xfId="55" applyNumberFormat="1" applyFont="1" applyFill="1" applyBorder="1" applyAlignment="1" applyProtection="1">
      <alignment horizontal="center" vertical="center" wrapText="1"/>
      <protection/>
    </xf>
    <xf numFmtId="0" fontId="13" fillId="33" borderId="21" xfId="55" applyNumberFormat="1" applyFont="1" applyFill="1" applyBorder="1" applyAlignment="1" applyProtection="1">
      <alignment horizontal="center" vertical="center" wrapText="1"/>
      <protection/>
    </xf>
    <xf numFmtId="0" fontId="5" fillId="33" borderId="14" xfId="55" applyNumberFormat="1" applyFont="1" applyFill="1" applyBorder="1" applyAlignment="1" applyProtection="1">
      <alignment horizontal="center" vertical="top"/>
      <protection/>
    </xf>
    <xf numFmtId="0" fontId="5" fillId="33" borderId="29" xfId="55" applyNumberFormat="1" applyFont="1" applyFill="1" applyBorder="1" applyAlignment="1" applyProtection="1">
      <alignment horizontal="center" vertical="top" wrapText="1"/>
      <protection/>
    </xf>
    <xf numFmtId="0" fontId="5" fillId="33" borderId="10" xfId="55" applyNumberFormat="1" applyFont="1" applyFill="1" applyBorder="1" applyAlignment="1" applyProtection="1">
      <alignment horizontal="center" vertical="top"/>
      <protection/>
    </xf>
    <xf numFmtId="0" fontId="5" fillId="33" borderId="16" xfId="55" applyNumberFormat="1" applyFont="1" applyFill="1" applyBorder="1" applyAlignment="1" applyProtection="1">
      <alignment horizontal="center" vertical="top"/>
      <protection/>
    </xf>
    <xf numFmtId="168" fontId="12" fillId="33" borderId="14" xfId="55" applyNumberFormat="1" applyFont="1" applyFill="1" applyBorder="1" applyAlignment="1">
      <alignment horizontal="center" vertical="center"/>
      <protection/>
    </xf>
    <xf numFmtId="168" fontId="12" fillId="33" borderId="10" xfId="55" applyNumberFormat="1" applyFont="1" applyFill="1" applyBorder="1" applyAlignment="1">
      <alignment horizontal="center" vertical="center"/>
      <protection/>
    </xf>
    <xf numFmtId="168" fontId="12" fillId="33" borderId="16" xfId="55" applyNumberFormat="1" applyFont="1" applyFill="1" applyBorder="1" applyAlignment="1">
      <alignment horizontal="center" vertical="center"/>
      <protection/>
    </xf>
    <xf numFmtId="1" fontId="12" fillId="33" borderId="14" xfId="55" applyNumberFormat="1" applyFont="1" applyFill="1" applyBorder="1" applyAlignment="1">
      <alignment horizontal="center" vertical="center"/>
      <protection/>
    </xf>
    <xf numFmtId="1" fontId="12" fillId="33" borderId="10" xfId="55" applyNumberFormat="1" applyFont="1" applyFill="1" applyBorder="1" applyAlignment="1">
      <alignment horizontal="center" vertical="center"/>
      <protection/>
    </xf>
    <xf numFmtId="1" fontId="12" fillId="33" borderId="16" xfId="55" applyNumberFormat="1" applyFont="1" applyFill="1" applyBorder="1" applyAlignment="1">
      <alignment horizontal="center" vertical="center"/>
      <protection/>
    </xf>
    <xf numFmtId="168" fontId="88" fillId="33" borderId="16" xfId="55" applyNumberFormat="1" applyFont="1" applyFill="1" applyBorder="1" applyAlignment="1">
      <alignment horizontal="center" vertical="center"/>
      <protection/>
    </xf>
    <xf numFmtId="168" fontId="28" fillId="33" borderId="14" xfId="55" applyNumberFormat="1" applyFont="1" applyFill="1" applyBorder="1" applyAlignment="1">
      <alignment horizontal="center" vertical="center"/>
      <protection/>
    </xf>
    <xf numFmtId="1" fontId="28" fillId="33" borderId="10" xfId="55" applyNumberFormat="1" applyFont="1" applyFill="1" applyBorder="1" applyAlignment="1">
      <alignment horizontal="center" vertical="center"/>
      <protection/>
    </xf>
    <xf numFmtId="168" fontId="28" fillId="33" borderId="10" xfId="55" applyNumberFormat="1" applyFont="1" applyFill="1" applyBorder="1" applyAlignment="1">
      <alignment horizontal="center" vertical="center"/>
      <protection/>
    </xf>
    <xf numFmtId="168" fontId="28" fillId="33" borderId="16" xfId="55" applyNumberFormat="1" applyFont="1" applyFill="1" applyBorder="1" applyAlignment="1">
      <alignment horizontal="center" vertical="center"/>
      <protection/>
    </xf>
    <xf numFmtId="179" fontId="0" fillId="33" borderId="0" xfId="55" applyNumberFormat="1" applyFill="1">
      <alignment/>
      <protection/>
    </xf>
    <xf numFmtId="2" fontId="12" fillId="33" borderId="14" xfId="55" applyNumberFormat="1" applyFont="1" applyFill="1" applyBorder="1" applyAlignment="1">
      <alignment horizontal="center" vertical="center"/>
      <protection/>
    </xf>
    <xf numFmtId="2" fontId="12" fillId="33" borderId="10" xfId="55" applyNumberFormat="1" applyFont="1" applyFill="1" applyBorder="1" applyAlignment="1">
      <alignment horizontal="center" vertical="center"/>
      <protection/>
    </xf>
    <xf numFmtId="2" fontId="12" fillId="33" borderId="16" xfId="55" applyNumberFormat="1" applyFont="1" applyFill="1" applyBorder="1" applyAlignment="1">
      <alignment horizontal="center" vertical="center"/>
      <protection/>
    </xf>
    <xf numFmtId="10" fontId="12" fillId="33" borderId="10" xfId="71" applyNumberFormat="1" applyFont="1" applyFill="1" applyBorder="1" applyAlignment="1">
      <alignment horizontal="center" vertical="center"/>
    </xf>
    <xf numFmtId="0" fontId="0" fillId="33" borderId="0" xfId="55" applyFont="1" applyFill="1">
      <alignment/>
      <protection/>
    </xf>
    <xf numFmtId="168" fontId="29" fillId="33" borderId="14" xfId="55" applyNumberFormat="1" applyFont="1" applyFill="1" applyBorder="1" applyAlignment="1">
      <alignment horizontal="center" vertical="center"/>
      <protection/>
    </xf>
    <xf numFmtId="1" fontId="29" fillId="33" borderId="10" xfId="55" applyNumberFormat="1" applyFont="1" applyFill="1" applyBorder="1" applyAlignment="1">
      <alignment horizontal="center" vertical="center"/>
      <protection/>
    </xf>
    <xf numFmtId="168" fontId="29" fillId="33" borderId="10" xfId="55" applyNumberFormat="1" applyFont="1" applyFill="1" applyBorder="1" applyAlignment="1">
      <alignment horizontal="center" vertical="center"/>
      <protection/>
    </xf>
    <xf numFmtId="168" fontId="29" fillId="33" borderId="16" xfId="55" applyNumberFormat="1" applyFont="1" applyFill="1" applyBorder="1" applyAlignment="1">
      <alignment horizontal="center" vertical="center"/>
      <protection/>
    </xf>
    <xf numFmtId="168" fontId="28" fillId="33" borderId="14" xfId="55" applyNumberFormat="1" applyFont="1" applyFill="1" applyBorder="1" applyAlignment="1">
      <alignment vertical="center"/>
      <protection/>
    </xf>
    <xf numFmtId="168" fontId="28" fillId="33" borderId="10" xfId="55" applyNumberFormat="1" applyFont="1" applyFill="1" applyBorder="1" applyAlignment="1">
      <alignment vertical="center"/>
      <protection/>
    </xf>
    <xf numFmtId="168" fontId="28" fillId="33" borderId="16" xfId="55" applyNumberFormat="1" applyFont="1" applyFill="1" applyBorder="1" applyAlignment="1">
      <alignment vertical="center"/>
      <protection/>
    </xf>
    <xf numFmtId="168" fontId="12" fillId="33" borderId="14" xfId="55" applyNumberFormat="1" applyFont="1" applyFill="1" applyBorder="1" applyAlignment="1">
      <alignment vertical="center"/>
      <protection/>
    </xf>
    <xf numFmtId="168" fontId="12" fillId="33" borderId="10" xfId="55" applyNumberFormat="1" applyFont="1" applyFill="1" applyBorder="1" applyAlignment="1">
      <alignment vertical="center"/>
      <protection/>
    </xf>
    <xf numFmtId="168" fontId="12" fillId="33" borderId="16" xfId="55" applyNumberFormat="1" applyFont="1" applyFill="1" applyBorder="1" applyAlignment="1">
      <alignment vertical="center"/>
      <protection/>
    </xf>
    <xf numFmtId="168" fontId="12" fillId="33" borderId="15" xfId="55" applyNumberFormat="1" applyFont="1" applyFill="1" applyBorder="1" applyAlignment="1">
      <alignment vertical="center"/>
      <protection/>
    </xf>
    <xf numFmtId="168" fontId="12" fillId="33" borderId="13" xfId="55" applyNumberFormat="1" applyFont="1" applyFill="1" applyBorder="1" applyAlignment="1">
      <alignment vertical="center"/>
      <protection/>
    </xf>
    <xf numFmtId="168" fontId="12" fillId="33" borderId="17" xfId="55" applyNumberFormat="1" applyFont="1" applyFill="1" applyBorder="1" applyAlignment="1">
      <alignment vertical="center"/>
      <protection/>
    </xf>
    <xf numFmtId="168" fontId="88" fillId="33" borderId="17" xfId="55" applyNumberFormat="1" applyFont="1" applyFill="1" applyBorder="1" applyAlignment="1">
      <alignment vertical="center"/>
      <protection/>
    </xf>
    <xf numFmtId="0" fontId="11" fillId="33" borderId="0" xfId="55" applyFont="1" applyFill="1">
      <alignment/>
      <protection/>
    </xf>
    <xf numFmtId="0" fontId="0" fillId="33" borderId="0" xfId="55" applyFill="1" applyBorder="1" applyAlignment="1">
      <alignment wrapText="1"/>
      <protection/>
    </xf>
    <xf numFmtId="0" fontId="0" fillId="33" borderId="0" xfId="55" applyFont="1" applyFill="1" applyBorder="1" applyAlignment="1">
      <alignment horizontal="right" wrapText="1"/>
      <protection/>
    </xf>
    <xf numFmtId="0" fontId="0" fillId="33" borderId="0" xfId="55" applyFont="1" applyFill="1" applyBorder="1">
      <alignment/>
      <protection/>
    </xf>
    <xf numFmtId="174" fontId="0" fillId="33" borderId="0" xfId="55" applyNumberFormat="1" applyFill="1">
      <alignment/>
      <protection/>
    </xf>
    <xf numFmtId="0" fontId="0" fillId="33" borderId="0" xfId="55" applyFill="1" applyAlignment="1">
      <alignment wrapText="1"/>
      <protection/>
    </xf>
    <xf numFmtId="0" fontId="0" fillId="33" borderId="0" xfId="55" applyFont="1" applyFill="1">
      <alignment/>
      <protection/>
    </xf>
    <xf numFmtId="0" fontId="2" fillId="33" borderId="0" xfId="55" applyNumberFormat="1" applyFont="1" applyFill="1" applyBorder="1" applyAlignment="1" applyProtection="1">
      <alignment vertical="top" wrapText="1"/>
      <protection/>
    </xf>
    <xf numFmtId="0" fontId="13" fillId="33" borderId="15" xfId="55" applyNumberFormat="1" applyFont="1" applyFill="1" applyBorder="1" applyAlignment="1" applyProtection="1">
      <alignment horizontal="center" vertical="center" wrapText="1"/>
      <protection/>
    </xf>
    <xf numFmtId="0" fontId="13" fillId="33" borderId="13" xfId="55" applyNumberFormat="1" applyFont="1" applyFill="1" applyBorder="1" applyAlignment="1" applyProtection="1">
      <alignment horizontal="center" vertical="center" wrapText="1"/>
      <protection/>
    </xf>
    <xf numFmtId="0" fontId="13" fillId="33" borderId="17" xfId="55" applyNumberFormat="1" applyFont="1" applyFill="1" applyBorder="1" applyAlignment="1" applyProtection="1">
      <alignment horizontal="center" vertical="center" wrapText="1"/>
      <protection/>
    </xf>
    <xf numFmtId="0" fontId="5" fillId="33" borderId="30" xfId="55" applyNumberFormat="1" applyFont="1" applyFill="1" applyBorder="1" applyAlignment="1" applyProtection="1">
      <alignment horizontal="center" vertical="top"/>
      <protection/>
    </xf>
    <xf numFmtId="0" fontId="5" fillId="33" borderId="31" xfId="55" applyNumberFormat="1" applyFont="1" applyFill="1" applyBorder="1" applyAlignment="1" applyProtection="1">
      <alignment horizontal="center" vertical="top" wrapText="1"/>
      <protection/>
    </xf>
    <xf numFmtId="0" fontId="5" fillId="33" borderId="32" xfId="55" applyNumberFormat="1" applyFont="1" applyFill="1" applyBorder="1" applyAlignment="1" applyProtection="1">
      <alignment horizontal="center" vertical="top" wrapText="1"/>
      <protection/>
    </xf>
    <xf numFmtId="0" fontId="5" fillId="33" borderId="20" xfId="55" applyNumberFormat="1" applyFont="1" applyFill="1" applyBorder="1" applyAlignment="1" applyProtection="1">
      <alignment horizontal="center" vertical="top"/>
      <protection/>
    </xf>
    <xf numFmtId="0" fontId="5" fillId="33" borderId="20" xfId="55" applyNumberFormat="1" applyFont="1" applyFill="1" applyBorder="1" applyAlignment="1" applyProtection="1">
      <alignment horizontal="center" vertical="top" wrapText="1"/>
      <protection/>
    </xf>
    <xf numFmtId="0" fontId="5" fillId="33" borderId="19" xfId="55" applyNumberFormat="1" applyFont="1" applyFill="1" applyBorder="1" applyAlignment="1" applyProtection="1">
      <alignment horizontal="center" vertical="top" wrapText="1"/>
      <protection/>
    </xf>
    <xf numFmtId="167" fontId="22" fillId="33" borderId="14" xfId="55" applyNumberFormat="1" applyFont="1" applyFill="1" applyBorder="1" applyAlignment="1">
      <alignment horizontal="center" vertical="center"/>
      <protection/>
    </xf>
    <xf numFmtId="167" fontId="22" fillId="33" borderId="10" xfId="55" applyNumberFormat="1" applyFont="1" applyFill="1" applyBorder="1" applyAlignment="1">
      <alignment horizontal="center" vertical="center"/>
      <protection/>
    </xf>
    <xf numFmtId="167" fontId="22" fillId="33" borderId="16" xfId="55" applyNumberFormat="1" applyFont="1" applyFill="1" applyBorder="1" applyAlignment="1">
      <alignment horizontal="center" vertical="center"/>
      <protection/>
    </xf>
    <xf numFmtId="167" fontId="89" fillId="33" borderId="14" xfId="55" applyNumberFormat="1" applyFont="1" applyFill="1" applyBorder="1" applyAlignment="1">
      <alignment horizontal="center" vertical="center"/>
      <protection/>
    </xf>
    <xf numFmtId="167" fontId="89" fillId="33" borderId="16" xfId="55" applyNumberFormat="1" applyFont="1" applyFill="1" applyBorder="1" applyAlignment="1">
      <alignment horizontal="center" vertical="center"/>
      <protection/>
    </xf>
    <xf numFmtId="10" fontId="22" fillId="33" borderId="14" xfId="71" applyNumberFormat="1" applyFont="1" applyFill="1" applyBorder="1" applyAlignment="1">
      <alignment horizontal="center" vertical="center"/>
    </xf>
    <xf numFmtId="10" fontId="22" fillId="33" borderId="10" xfId="71" applyNumberFormat="1" applyFont="1" applyFill="1" applyBorder="1" applyAlignment="1">
      <alignment horizontal="center" vertical="center"/>
    </xf>
    <xf numFmtId="10" fontId="22" fillId="33" borderId="16" xfId="71" applyNumberFormat="1" applyFont="1" applyFill="1" applyBorder="1" applyAlignment="1">
      <alignment horizontal="center" vertical="center"/>
    </xf>
    <xf numFmtId="167" fontId="24" fillId="33" borderId="10" xfId="55" applyNumberFormat="1" applyFont="1" applyFill="1" applyBorder="1" applyAlignment="1">
      <alignment horizontal="center" vertical="center"/>
      <protection/>
    </xf>
    <xf numFmtId="167" fontId="24" fillId="33" borderId="14" xfId="55" applyNumberFormat="1" applyFont="1" applyFill="1" applyBorder="1" applyAlignment="1">
      <alignment horizontal="center" vertical="center"/>
      <protection/>
    </xf>
    <xf numFmtId="167" fontId="22" fillId="33" borderId="14" xfId="55" applyNumberFormat="1" applyFont="1" applyFill="1" applyBorder="1" applyAlignment="1">
      <alignment horizontal="center" vertical="center"/>
      <protection/>
    </xf>
    <xf numFmtId="167" fontId="22" fillId="33" borderId="15" xfId="55" applyNumberFormat="1" applyFont="1" applyFill="1" applyBorder="1" applyAlignment="1">
      <alignment horizontal="center" vertical="center"/>
      <protection/>
    </xf>
    <xf numFmtId="167" fontId="22" fillId="33" borderId="13" xfId="55" applyNumberFormat="1" applyFont="1" applyFill="1" applyBorder="1" applyAlignment="1">
      <alignment horizontal="center" vertical="center"/>
      <protection/>
    </xf>
    <xf numFmtId="167" fontId="22" fillId="33" borderId="17" xfId="55" applyNumberFormat="1" applyFont="1" applyFill="1" applyBorder="1" applyAlignment="1">
      <alignment horizontal="center" vertical="center"/>
      <protection/>
    </xf>
    <xf numFmtId="167" fontId="22" fillId="33" borderId="15" xfId="55" applyNumberFormat="1" applyFont="1" applyFill="1" applyBorder="1" applyAlignment="1">
      <alignment horizontal="center" vertical="center"/>
      <protection/>
    </xf>
    <xf numFmtId="0" fontId="8" fillId="33" borderId="0" xfId="55" applyFont="1" applyFill="1">
      <alignment/>
      <protection/>
    </xf>
    <xf numFmtId="0" fontId="8" fillId="33" borderId="0" xfId="55" applyFont="1" applyFill="1" applyAlignment="1">
      <alignment wrapText="1"/>
      <protection/>
    </xf>
    <xf numFmtId="0" fontId="0" fillId="33" borderId="0" xfId="0" applyFill="1" applyAlignment="1">
      <alignment/>
    </xf>
    <xf numFmtId="0" fontId="18" fillId="33" borderId="0" xfId="0" applyFont="1" applyFill="1" applyAlignment="1">
      <alignment vertical="center" wrapText="1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30" fillId="33" borderId="0" xfId="57" applyFont="1" applyFill="1">
      <alignment/>
      <protection/>
    </xf>
    <xf numFmtId="0" fontId="25" fillId="33" borderId="0" xfId="57" applyFont="1" applyFill="1">
      <alignment/>
      <protection/>
    </xf>
    <xf numFmtId="0" fontId="0" fillId="33" borderId="0" xfId="0" applyFill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 wrapText="1"/>
    </xf>
    <xf numFmtId="168" fontId="0" fillId="33" borderId="20" xfId="0" applyNumberFormat="1" applyFill="1" applyBorder="1" applyAlignment="1">
      <alignment/>
    </xf>
    <xf numFmtId="1" fontId="0" fillId="33" borderId="20" xfId="0" applyNumberFormat="1" applyFill="1" applyBorder="1" applyAlignment="1">
      <alignment/>
    </xf>
    <xf numFmtId="164" fontId="0" fillId="33" borderId="20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168" fontId="10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/>
    </xf>
    <xf numFmtId="1" fontId="10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68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6" xfId="0" applyNumberFormat="1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5" fillId="33" borderId="15" xfId="0" applyFont="1" applyFill="1" applyBorder="1" applyAlignment="1">
      <alignment/>
    </xf>
    <xf numFmtId="0" fontId="10" fillId="33" borderId="13" xfId="0" applyFont="1" applyFill="1" applyBorder="1" applyAlignment="1">
      <alignment vertical="center" wrapText="1"/>
    </xf>
    <xf numFmtId="168" fontId="10" fillId="33" borderId="13" xfId="0" applyNumberFormat="1" applyFont="1" applyFill="1" applyBorder="1" applyAlignment="1">
      <alignment/>
    </xf>
    <xf numFmtId="1" fontId="10" fillId="33" borderId="13" xfId="0" applyNumberFormat="1" applyFont="1" applyFill="1" applyBorder="1" applyAlignment="1">
      <alignment/>
    </xf>
    <xf numFmtId="1" fontId="10" fillId="33" borderId="17" xfId="0" applyNumberFormat="1" applyFont="1" applyFill="1" applyBorder="1" applyAlignment="1">
      <alignment/>
    </xf>
    <xf numFmtId="4" fontId="0" fillId="33" borderId="20" xfId="0" applyNumberFormat="1" applyFill="1" applyBorder="1" applyAlignment="1">
      <alignment/>
    </xf>
    <xf numFmtId="2" fontId="0" fillId="33" borderId="20" xfId="0" applyNumberFormat="1" applyFill="1" applyBorder="1" applyAlignment="1">
      <alignment/>
    </xf>
    <xf numFmtId="167" fontId="10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167" fontId="10" fillId="33" borderId="13" xfId="0" applyNumberFormat="1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0" fillId="33" borderId="16" xfId="0" applyFill="1" applyBorder="1" applyAlignment="1">
      <alignment/>
    </xf>
    <xf numFmtId="0" fontId="0" fillId="33" borderId="33" xfId="0" applyFill="1" applyBorder="1" applyAlignment="1">
      <alignment/>
    </xf>
    <xf numFmtId="0" fontId="10" fillId="33" borderId="11" xfId="0" applyFont="1" applyFill="1" applyBorder="1" applyAlignment="1">
      <alignment vertical="center" wrapText="1"/>
    </xf>
    <xf numFmtId="2" fontId="10" fillId="33" borderId="11" xfId="0" applyNumberFormat="1" applyFont="1" applyFill="1" applyBorder="1" applyAlignment="1">
      <alignment/>
    </xf>
    <xf numFmtId="2" fontId="10" fillId="33" borderId="11" xfId="0" applyNumberFormat="1" applyFont="1" applyFill="1" applyBorder="1" applyAlignment="1">
      <alignment/>
    </xf>
    <xf numFmtId="1" fontId="0" fillId="33" borderId="11" xfId="0" applyNumberFormat="1" applyFill="1" applyBorder="1" applyAlignment="1">
      <alignment/>
    </xf>
    <xf numFmtId="2" fontId="10" fillId="33" borderId="34" xfId="0" applyNumberFormat="1" applyFont="1" applyFill="1" applyBorder="1" applyAlignment="1">
      <alignment/>
    </xf>
    <xf numFmtId="167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0" fillId="33" borderId="0" xfId="63" applyFont="1" applyFill="1">
      <alignment/>
      <protection/>
    </xf>
    <xf numFmtId="0" fontId="20" fillId="33" borderId="0" xfId="66" applyFont="1" applyFill="1" applyAlignment="1">
      <alignment horizontal="right"/>
      <protection/>
    </xf>
    <xf numFmtId="0" fontId="13" fillId="33" borderId="0" xfId="63" applyFont="1" applyFill="1">
      <alignment/>
      <protection/>
    </xf>
    <xf numFmtId="0" fontId="13" fillId="33" borderId="0" xfId="63" applyFont="1" applyFill="1" applyAlignment="1">
      <alignment horizontal="right"/>
      <protection/>
    </xf>
    <xf numFmtId="0" fontId="13" fillId="33" borderId="0" xfId="63" applyFont="1" applyFill="1" applyAlignment="1">
      <alignment/>
      <protection/>
    </xf>
    <xf numFmtId="0" fontId="13" fillId="33" borderId="0" xfId="63" applyFont="1" applyFill="1" applyAlignment="1">
      <alignment horizontal="right" vertical="center"/>
      <protection/>
    </xf>
    <xf numFmtId="0" fontId="35" fillId="33" borderId="0" xfId="63" applyFont="1" applyFill="1" applyAlignment="1">
      <alignment horizontal="center" wrapText="1"/>
      <protection/>
    </xf>
    <xf numFmtId="0" fontId="13" fillId="33" borderId="0" xfId="63" applyFont="1" applyFill="1" applyBorder="1" applyAlignment="1">
      <alignment horizontal="right"/>
      <protection/>
    </xf>
    <xf numFmtId="0" fontId="10" fillId="33" borderId="0" xfId="0" applyFont="1" applyFill="1" applyBorder="1" applyAlignment="1">
      <alignment horizontal="center" vertical="center" wrapText="1" shrinkToFit="1"/>
    </xf>
    <xf numFmtId="0" fontId="13" fillId="33" borderId="0" xfId="63" applyFont="1" applyFill="1" applyBorder="1">
      <alignment/>
      <protection/>
    </xf>
    <xf numFmtId="0" fontId="0" fillId="33" borderId="10" xfId="62" applyFont="1" applyFill="1" applyBorder="1" applyAlignment="1">
      <alignment horizontal="center" vertical="center" wrapText="1"/>
      <protection/>
    </xf>
    <xf numFmtId="0" fontId="0" fillId="33" borderId="16" xfId="62" applyFont="1" applyFill="1" applyBorder="1" applyAlignment="1">
      <alignment horizontal="center" vertical="center" wrapText="1"/>
      <protection/>
    </xf>
    <xf numFmtId="0" fontId="13" fillId="33" borderId="0" xfId="63" applyFont="1" applyFill="1" applyAlignment="1">
      <alignment horizontal="center"/>
      <protection/>
    </xf>
    <xf numFmtId="0" fontId="36" fillId="33" borderId="14" xfId="63" applyFont="1" applyFill="1" applyBorder="1" applyAlignment="1">
      <alignment horizontal="center" vertical="center"/>
      <protection/>
    </xf>
    <xf numFmtId="0" fontId="36" fillId="33" borderId="10" xfId="63" applyFont="1" applyFill="1" applyBorder="1" applyAlignment="1">
      <alignment horizontal="left" vertical="center"/>
      <protection/>
    </xf>
    <xf numFmtId="1" fontId="36" fillId="33" borderId="10" xfId="63" applyNumberFormat="1" applyFont="1" applyFill="1" applyBorder="1" applyAlignment="1">
      <alignment horizontal="center" vertical="center" wrapText="1"/>
      <protection/>
    </xf>
    <xf numFmtId="0" fontId="36" fillId="33" borderId="10" xfId="63" applyFont="1" applyFill="1" applyBorder="1" applyAlignment="1">
      <alignment horizontal="center" vertical="center"/>
      <protection/>
    </xf>
    <xf numFmtId="3" fontId="36" fillId="33" borderId="10" xfId="63" applyNumberFormat="1" applyFont="1" applyFill="1" applyBorder="1" applyAlignment="1">
      <alignment horizontal="center" vertical="center"/>
      <protection/>
    </xf>
    <xf numFmtId="1" fontId="36" fillId="33" borderId="10" xfId="63" applyNumberFormat="1" applyFont="1" applyFill="1" applyBorder="1" applyAlignment="1">
      <alignment horizontal="center" vertical="center"/>
      <protection/>
    </xf>
    <xf numFmtId="3" fontId="36" fillId="33" borderId="16" xfId="63" applyNumberFormat="1" applyFont="1" applyFill="1" applyBorder="1" applyAlignment="1">
      <alignment horizontal="center" vertical="center"/>
      <protection/>
    </xf>
    <xf numFmtId="3" fontId="36" fillId="33" borderId="0" xfId="63" applyNumberFormat="1" applyFont="1" applyFill="1">
      <alignment/>
      <protection/>
    </xf>
    <xf numFmtId="0" fontId="36" fillId="33" borderId="0" xfId="63" applyFont="1" applyFill="1">
      <alignment/>
      <protection/>
    </xf>
    <xf numFmtId="3" fontId="13" fillId="33" borderId="16" xfId="63" applyNumberFormat="1" applyFont="1" applyFill="1" applyBorder="1" applyAlignment="1">
      <alignment horizontal="center" vertical="center"/>
      <protection/>
    </xf>
    <xf numFmtId="3" fontId="90" fillId="33" borderId="10" xfId="63" applyNumberFormat="1" applyFont="1" applyFill="1" applyBorder="1" applyAlignment="1">
      <alignment horizontal="center" vertical="center"/>
      <protection/>
    </xf>
    <xf numFmtId="0" fontId="13" fillId="33" borderId="10" xfId="63" applyFont="1" applyFill="1" applyBorder="1" applyAlignment="1">
      <alignment horizontal="left" vertical="center" wrapText="1" shrinkToFit="1"/>
      <protection/>
    </xf>
    <xf numFmtId="0" fontId="36" fillId="33" borderId="10" xfId="63" applyFont="1" applyFill="1" applyBorder="1" applyAlignment="1">
      <alignment horizontal="left" vertical="center" wrapText="1"/>
      <protection/>
    </xf>
    <xf numFmtId="2" fontId="13" fillId="33" borderId="0" xfId="63" applyNumberFormat="1" applyFont="1" applyFill="1">
      <alignment/>
      <protection/>
    </xf>
    <xf numFmtId="2" fontId="36" fillId="33" borderId="10" xfId="63" applyNumberFormat="1" applyFont="1" applyFill="1" applyBorder="1" applyAlignment="1">
      <alignment horizontal="center" vertical="center"/>
      <protection/>
    </xf>
    <xf numFmtId="167" fontId="36" fillId="33" borderId="10" xfId="63" applyNumberFormat="1" applyFont="1" applyFill="1" applyBorder="1" applyAlignment="1">
      <alignment horizontal="center" vertical="center"/>
      <protection/>
    </xf>
    <xf numFmtId="167" fontId="36" fillId="33" borderId="16" xfId="63" applyNumberFormat="1" applyFont="1" applyFill="1" applyBorder="1" applyAlignment="1">
      <alignment horizontal="center" vertical="center"/>
      <protection/>
    </xf>
    <xf numFmtId="171" fontId="36" fillId="33" borderId="10" xfId="63" applyNumberFormat="1" applyFont="1" applyFill="1" applyBorder="1" applyAlignment="1">
      <alignment horizontal="center" vertical="center"/>
      <protection/>
    </xf>
    <xf numFmtId="168" fontId="36" fillId="33" borderId="10" xfId="63" applyNumberFormat="1" applyFont="1" applyFill="1" applyBorder="1" applyAlignment="1">
      <alignment horizontal="center" vertical="center"/>
      <protection/>
    </xf>
    <xf numFmtId="168" fontId="36" fillId="33" borderId="16" xfId="63" applyNumberFormat="1" applyFont="1" applyFill="1" applyBorder="1" applyAlignment="1">
      <alignment horizontal="center" vertical="center"/>
      <protection/>
    </xf>
    <xf numFmtId="171" fontId="13" fillId="33" borderId="10" xfId="63" applyNumberFormat="1" applyFont="1" applyFill="1" applyBorder="1" applyAlignment="1">
      <alignment horizontal="center" vertical="center"/>
      <protection/>
    </xf>
    <xf numFmtId="168" fontId="13" fillId="33" borderId="16" xfId="63" applyNumberFormat="1" applyFont="1" applyFill="1" applyBorder="1" applyAlignment="1">
      <alignment horizontal="center" vertical="center"/>
      <protection/>
    </xf>
    <xf numFmtId="168" fontId="13" fillId="33" borderId="17" xfId="63" applyNumberFormat="1" applyFont="1" applyFill="1" applyBorder="1" applyAlignment="1">
      <alignment horizontal="center" vertical="center"/>
      <protection/>
    </xf>
    <xf numFmtId="168" fontId="13" fillId="33" borderId="0" xfId="63" applyNumberFormat="1" applyFont="1" applyFill="1">
      <alignment/>
      <protection/>
    </xf>
    <xf numFmtId="0" fontId="36" fillId="33" borderId="0" xfId="63" applyFont="1" applyFill="1" applyBorder="1" applyAlignment="1">
      <alignment horizontal="center"/>
      <protection/>
    </xf>
    <xf numFmtId="0" fontId="36" fillId="33" borderId="0" xfId="63" applyFont="1" applyFill="1" applyBorder="1">
      <alignment/>
      <protection/>
    </xf>
    <xf numFmtId="2" fontId="36" fillId="33" borderId="0" xfId="63" applyNumberFormat="1" applyFont="1" applyFill="1" applyBorder="1">
      <alignment/>
      <protection/>
    </xf>
    <xf numFmtId="3" fontId="13" fillId="33" borderId="0" xfId="63" applyNumberFormat="1" applyFont="1" applyFill="1">
      <alignment/>
      <protection/>
    </xf>
    <xf numFmtId="0" fontId="13" fillId="33" borderId="0" xfId="63" applyFont="1" applyFill="1" applyAlignment="1">
      <alignment horizontal="left"/>
      <protection/>
    </xf>
    <xf numFmtId="0" fontId="14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right"/>
    </xf>
    <xf numFmtId="1" fontId="36" fillId="33" borderId="0" xfId="63" applyNumberFormat="1" applyFont="1" applyFill="1">
      <alignment/>
      <protection/>
    </xf>
    <xf numFmtId="167" fontId="13" fillId="33" borderId="10" xfId="63" applyNumberFormat="1" applyFont="1" applyFill="1" applyBorder="1">
      <alignment/>
      <protection/>
    </xf>
    <xf numFmtId="171" fontId="13" fillId="33" borderId="10" xfId="63" applyNumberFormat="1" applyFont="1" applyFill="1" applyBorder="1">
      <alignment/>
      <protection/>
    </xf>
    <xf numFmtId="172" fontId="13" fillId="33" borderId="13" xfId="63" applyNumberFormat="1" applyFont="1" applyFill="1" applyBorder="1">
      <alignment/>
      <protection/>
    </xf>
    <xf numFmtId="0" fontId="11" fillId="33" borderId="0" xfId="58" applyFont="1" applyFill="1">
      <alignment/>
      <protection/>
    </xf>
    <xf numFmtId="0" fontId="0" fillId="33" borderId="35" xfId="62" applyFont="1" applyFill="1" applyBorder="1" applyAlignment="1">
      <alignment/>
      <protection/>
    </xf>
    <xf numFmtId="0" fontId="0" fillId="33" borderId="24" xfId="62" applyFont="1" applyFill="1" applyBorder="1" applyAlignment="1">
      <alignment horizontal="center" vertical="center" wrapText="1"/>
      <protection/>
    </xf>
    <xf numFmtId="0" fontId="13" fillId="33" borderId="24" xfId="63" applyFont="1" applyFill="1" applyBorder="1">
      <alignment/>
      <protection/>
    </xf>
    <xf numFmtId="167" fontId="13" fillId="33" borderId="16" xfId="63" applyNumberFormat="1" applyFont="1" applyFill="1" applyBorder="1">
      <alignment/>
      <protection/>
    </xf>
    <xf numFmtId="168" fontId="13" fillId="33" borderId="36" xfId="63" applyNumberFormat="1" applyFont="1" applyFill="1" applyBorder="1">
      <alignment/>
      <protection/>
    </xf>
    <xf numFmtId="168" fontId="13" fillId="33" borderId="23" xfId="63" applyNumberFormat="1" applyFont="1" applyFill="1" applyBorder="1">
      <alignment/>
      <protection/>
    </xf>
    <xf numFmtId="172" fontId="13" fillId="33" borderId="23" xfId="63" applyNumberFormat="1" applyFont="1" applyFill="1" applyBorder="1">
      <alignment/>
      <protection/>
    </xf>
    <xf numFmtId="0" fontId="2" fillId="33" borderId="0" xfId="66" applyFont="1" applyFill="1" applyAlignment="1">
      <alignment horizontal="right"/>
      <protection/>
    </xf>
    <xf numFmtId="2" fontId="14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62" applyFont="1" applyFill="1" applyBorder="1" applyAlignment="1">
      <alignment horizontal="center" vertical="center" wrapText="1"/>
      <protection/>
    </xf>
    <xf numFmtId="0" fontId="0" fillId="33" borderId="34" xfId="62" applyFont="1" applyFill="1" applyBorder="1" applyAlignment="1">
      <alignment horizontal="center" vertical="center" wrapText="1"/>
      <protection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 horizontal="right" vertical="center" wrapText="1"/>
    </xf>
    <xf numFmtId="0" fontId="37" fillId="33" borderId="12" xfId="0" applyFont="1" applyFill="1" applyBorder="1" applyAlignment="1">
      <alignment wrapText="1"/>
    </xf>
    <xf numFmtId="0" fontId="37" fillId="33" borderId="12" xfId="0" applyFont="1" applyFill="1" applyBorder="1" applyAlignment="1">
      <alignment horizontal="center" wrapText="1"/>
    </xf>
    <xf numFmtId="3" fontId="37" fillId="33" borderId="12" xfId="0" applyNumberFormat="1" applyFont="1" applyFill="1" applyBorder="1" applyAlignment="1">
      <alignment horizontal="right" wrapText="1"/>
    </xf>
    <xf numFmtId="3" fontId="37" fillId="33" borderId="12" xfId="0" applyNumberFormat="1" applyFont="1" applyFill="1" applyBorder="1" applyAlignment="1">
      <alignment horizontal="right"/>
    </xf>
    <xf numFmtId="3" fontId="0" fillId="33" borderId="12" xfId="62" applyNumberFormat="1" applyFill="1" applyBorder="1" applyAlignment="1">
      <alignment vertical="center" wrapText="1"/>
      <protection/>
    </xf>
    <xf numFmtId="166" fontId="0" fillId="33" borderId="12" xfId="62" applyNumberFormat="1" applyFont="1" applyFill="1" applyBorder="1" applyAlignment="1">
      <alignment vertical="center" wrapText="1"/>
      <protection/>
    </xf>
    <xf numFmtId="166" fontId="0" fillId="33" borderId="21" xfId="62" applyNumberFormat="1" applyFont="1" applyFill="1" applyBorder="1" applyAlignment="1">
      <alignment vertical="center" wrapText="1"/>
      <protection/>
    </xf>
    <xf numFmtId="0" fontId="10" fillId="33" borderId="0" xfId="0" applyFont="1" applyFill="1" applyAlignment="1">
      <alignment/>
    </xf>
    <xf numFmtId="166" fontId="8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 vertical="center" wrapText="1"/>
    </xf>
    <xf numFmtId="3" fontId="8" fillId="33" borderId="24" xfId="0" applyNumberFormat="1" applyFont="1" applyFill="1" applyBorder="1" applyAlignment="1">
      <alignment horizontal="right"/>
    </xf>
    <xf numFmtId="3" fontId="8" fillId="33" borderId="16" xfId="0" applyNumberFormat="1" applyFont="1" applyFill="1" applyBorder="1" applyAlignment="1">
      <alignment horizontal="right"/>
    </xf>
    <xf numFmtId="3" fontId="8" fillId="33" borderId="24" xfId="0" applyNumberFormat="1" applyFont="1" applyFill="1" applyBorder="1" applyAlignment="1">
      <alignment horizontal="right" vertical="center" wrapText="1"/>
    </xf>
    <xf numFmtId="3" fontId="8" fillId="33" borderId="16" xfId="0" applyNumberFormat="1" applyFont="1" applyFill="1" applyBorder="1" applyAlignment="1">
      <alignment horizontal="right" vertical="center" wrapText="1"/>
    </xf>
    <xf numFmtId="1" fontId="0" fillId="33" borderId="0" xfId="0" applyNumberFormat="1" applyFill="1" applyAlignment="1">
      <alignment/>
    </xf>
    <xf numFmtId="0" fontId="38" fillId="33" borderId="33" xfId="0" applyNumberFormat="1" applyFont="1" applyFill="1" applyBorder="1" applyAlignment="1">
      <alignment horizontal="right" vertical="center" wrapText="1"/>
    </xf>
    <xf numFmtId="0" fontId="38" fillId="33" borderId="11" xfId="0" applyFont="1" applyFill="1" applyBorder="1" applyAlignment="1">
      <alignment horizontal="left" vertical="center" wrapText="1"/>
    </xf>
    <xf numFmtId="0" fontId="38" fillId="33" borderId="11" xfId="0" applyFont="1" applyFill="1" applyBorder="1" applyAlignment="1">
      <alignment horizontal="right" vertical="center" wrapText="1"/>
    </xf>
    <xf numFmtId="1" fontId="38" fillId="33" borderId="11" xfId="0" applyNumberFormat="1" applyFont="1" applyFill="1" applyBorder="1" applyAlignment="1">
      <alignment horizontal="right" vertical="center" wrapText="1"/>
    </xf>
    <xf numFmtId="3" fontId="38" fillId="33" borderId="11" xfId="0" applyNumberFormat="1" applyFont="1" applyFill="1" applyBorder="1" applyAlignment="1">
      <alignment horizontal="right" vertical="center" wrapText="1"/>
    </xf>
    <xf numFmtId="3" fontId="38" fillId="33" borderId="11" xfId="0" applyNumberFormat="1" applyFont="1" applyFill="1" applyBorder="1" applyAlignment="1">
      <alignment horizontal="right" vertical="center"/>
    </xf>
    <xf numFmtId="3" fontId="38" fillId="33" borderId="41" xfId="0" applyNumberFormat="1" applyFont="1" applyFill="1" applyBorder="1" applyAlignment="1">
      <alignment horizontal="right" vertical="center" wrapText="1"/>
    </xf>
    <xf numFmtId="3" fontId="38" fillId="33" borderId="34" xfId="0" applyNumberFormat="1" applyFont="1" applyFill="1" applyBorder="1" applyAlignment="1">
      <alignment horizontal="right" vertical="center" wrapText="1"/>
    </xf>
    <xf numFmtId="0" fontId="39" fillId="33" borderId="0" xfId="0" applyFont="1" applyFill="1" applyAlignment="1">
      <alignment horizontal="right" vertical="center"/>
    </xf>
    <xf numFmtId="0" fontId="37" fillId="33" borderId="42" xfId="0" applyNumberFormat="1" applyFont="1" applyFill="1" applyBorder="1" applyAlignment="1">
      <alignment horizontal="right" vertical="center" wrapText="1"/>
    </xf>
    <xf numFmtId="0" fontId="37" fillId="33" borderId="43" xfId="0" applyFont="1" applyFill="1" applyBorder="1" applyAlignment="1">
      <alignment horizontal="left" vertical="center" wrapText="1"/>
    </xf>
    <xf numFmtId="0" fontId="37" fillId="33" borderId="43" xfId="0" applyFont="1" applyFill="1" applyBorder="1" applyAlignment="1">
      <alignment horizontal="right" vertical="center" wrapText="1"/>
    </xf>
    <xf numFmtId="1" fontId="37" fillId="33" borderId="43" xfId="0" applyNumberFormat="1" applyFont="1" applyFill="1" applyBorder="1" applyAlignment="1">
      <alignment horizontal="right" vertical="center" wrapText="1"/>
    </xf>
    <xf numFmtId="3" fontId="37" fillId="33" borderId="43" xfId="0" applyNumberFormat="1" applyFont="1" applyFill="1" applyBorder="1" applyAlignment="1">
      <alignment horizontal="right" vertical="center" wrapText="1"/>
    </xf>
    <xf numFmtId="3" fontId="37" fillId="33" borderId="44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right" vertical="center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vertical="center" wrapText="1"/>
    </xf>
    <xf numFmtId="3" fontId="8" fillId="33" borderId="12" xfId="0" applyNumberFormat="1" applyFont="1" applyFill="1" applyBorder="1" applyAlignment="1">
      <alignment horizontal="right" vertical="center" wrapText="1"/>
    </xf>
    <xf numFmtId="3" fontId="8" fillId="33" borderId="12" xfId="0" applyNumberFormat="1" applyFont="1" applyFill="1" applyBorder="1" applyAlignment="1">
      <alignment horizontal="right"/>
    </xf>
    <xf numFmtId="3" fontId="8" fillId="33" borderId="45" xfId="0" applyNumberFormat="1" applyFont="1" applyFill="1" applyBorder="1" applyAlignment="1">
      <alignment horizontal="right"/>
    </xf>
    <xf numFmtId="3" fontId="8" fillId="33" borderId="21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/>
    </xf>
    <xf numFmtId="0" fontId="37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vertical="center" wrapText="1"/>
    </xf>
    <xf numFmtId="166" fontId="8" fillId="33" borderId="24" xfId="0" applyNumberFormat="1" applyFont="1" applyFill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 wrapText="1"/>
    </xf>
    <xf numFmtId="168" fontId="0" fillId="33" borderId="0" xfId="0" applyNumberFormat="1" applyFill="1" applyAlignment="1">
      <alignment/>
    </xf>
    <xf numFmtId="0" fontId="8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3" fontId="8" fillId="33" borderId="13" xfId="0" applyNumberFormat="1" applyFont="1" applyFill="1" applyBorder="1" applyAlignment="1">
      <alignment horizontal="right"/>
    </xf>
    <xf numFmtId="3" fontId="8" fillId="33" borderId="27" xfId="0" applyNumberFormat="1" applyFont="1" applyFill="1" applyBorder="1" applyAlignment="1">
      <alignment horizontal="right"/>
    </xf>
    <xf numFmtId="3" fontId="8" fillId="33" borderId="17" xfId="0" applyNumberFormat="1" applyFont="1" applyFill="1" applyBorder="1" applyAlignment="1">
      <alignment horizontal="right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0" fillId="33" borderId="0" xfId="62" applyFill="1" applyAlignment="1">
      <alignment horizontal="right"/>
      <protection/>
    </xf>
    <xf numFmtId="4" fontId="11" fillId="33" borderId="16" xfId="62" applyNumberFormat="1" applyFont="1" applyFill="1" applyBorder="1" applyAlignment="1">
      <alignment vertical="center" wrapText="1"/>
      <protection/>
    </xf>
    <xf numFmtId="4" fontId="11" fillId="33" borderId="16" xfId="0" applyNumberFormat="1" applyFont="1" applyFill="1" applyBorder="1" applyAlignment="1">
      <alignment/>
    </xf>
    <xf numFmtId="0" fontId="11" fillId="33" borderId="16" xfId="0" applyFont="1" applyFill="1" applyBorder="1" applyAlignment="1">
      <alignment/>
    </xf>
    <xf numFmtId="1" fontId="11" fillId="33" borderId="16" xfId="0" applyNumberFormat="1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1" fontId="44" fillId="33" borderId="16" xfId="0" applyNumberFormat="1" applyFont="1" applyFill="1" applyBorder="1" applyAlignment="1">
      <alignment horizontal="right" vertical="center"/>
    </xf>
    <xf numFmtId="1" fontId="11" fillId="33" borderId="16" xfId="0" applyNumberFormat="1" applyFont="1" applyFill="1" applyBorder="1" applyAlignment="1">
      <alignment horizontal="right" vertical="center"/>
    </xf>
    <xf numFmtId="1" fontId="11" fillId="33" borderId="17" xfId="0" applyNumberFormat="1" applyFont="1" applyFill="1" applyBorder="1" applyAlignment="1">
      <alignment/>
    </xf>
    <xf numFmtId="0" fontId="0" fillId="33" borderId="0" xfId="62" applyFill="1" applyAlignment="1">
      <alignment/>
      <protection/>
    </xf>
    <xf numFmtId="0" fontId="0" fillId="33" borderId="0" xfId="62" applyFill="1" applyBorder="1">
      <alignment/>
      <protection/>
    </xf>
    <xf numFmtId="0" fontId="0" fillId="33" borderId="0" xfId="62" applyFill="1">
      <alignment/>
      <protection/>
    </xf>
    <xf numFmtId="0" fontId="0" fillId="33" borderId="0" xfId="62" applyFill="1" applyBorder="1" applyAlignment="1">
      <alignment horizontal="center"/>
      <protection/>
    </xf>
    <xf numFmtId="0" fontId="0" fillId="33" borderId="46" xfId="62" applyFill="1" applyBorder="1" applyAlignment="1">
      <alignment horizontal="center"/>
      <protection/>
    </xf>
    <xf numFmtId="0" fontId="0" fillId="33" borderId="46" xfId="62" applyFont="1" applyFill="1" applyBorder="1" applyAlignment="1">
      <alignment wrapText="1"/>
      <protection/>
    </xf>
    <xf numFmtId="3" fontId="0" fillId="33" borderId="46" xfId="62" applyNumberFormat="1" applyFill="1" applyBorder="1" applyAlignment="1">
      <alignment horizontal="center"/>
      <protection/>
    </xf>
    <xf numFmtId="3" fontId="0" fillId="33" borderId="46" xfId="62" applyNumberFormat="1" applyFont="1" applyFill="1" applyBorder="1" applyAlignment="1">
      <alignment horizontal="center"/>
      <protection/>
    </xf>
    <xf numFmtId="0" fontId="0" fillId="33" borderId="47" xfId="62" applyFill="1" applyBorder="1" applyAlignment="1">
      <alignment horizontal="center"/>
      <protection/>
    </xf>
    <xf numFmtId="0" fontId="0" fillId="33" borderId="47" xfId="62" applyFont="1" applyFill="1" applyBorder="1" applyAlignment="1">
      <alignment wrapText="1"/>
      <protection/>
    </xf>
    <xf numFmtId="0" fontId="0" fillId="33" borderId="47" xfId="62" applyFont="1" applyFill="1" applyBorder="1" applyAlignment="1">
      <alignment horizontal="center"/>
      <protection/>
    </xf>
    <xf numFmtId="3" fontId="0" fillId="33" borderId="47" xfId="62" applyNumberFormat="1" applyFill="1" applyBorder="1" applyAlignment="1">
      <alignment horizontal="center"/>
      <protection/>
    </xf>
    <xf numFmtId="3" fontId="0" fillId="33" borderId="47" xfId="62" applyNumberFormat="1" applyFont="1" applyFill="1" applyBorder="1" applyAlignment="1">
      <alignment horizontal="center"/>
      <protection/>
    </xf>
    <xf numFmtId="10" fontId="0" fillId="33" borderId="47" xfId="62" applyNumberFormat="1" applyFill="1" applyBorder="1" applyAlignment="1">
      <alignment horizontal="center"/>
      <protection/>
    </xf>
    <xf numFmtId="10" fontId="0" fillId="33" borderId="47" xfId="62" applyNumberFormat="1" applyFont="1" applyFill="1" applyBorder="1" applyAlignment="1">
      <alignment horizontal="center"/>
      <protection/>
    </xf>
    <xf numFmtId="0" fontId="0" fillId="33" borderId="48" xfId="62" applyFill="1" applyBorder="1" applyAlignment="1">
      <alignment horizontal="center"/>
      <protection/>
    </xf>
    <xf numFmtId="0" fontId="0" fillId="33" borderId="48" xfId="62" applyFont="1" applyFill="1" applyBorder="1" applyAlignment="1">
      <alignment wrapText="1"/>
      <protection/>
    </xf>
    <xf numFmtId="3" fontId="0" fillId="33" borderId="48" xfId="62" applyNumberFormat="1" applyFill="1" applyBorder="1" applyAlignment="1">
      <alignment horizontal="center"/>
      <protection/>
    </xf>
    <xf numFmtId="3" fontId="0" fillId="33" borderId="48" xfId="62" applyNumberFormat="1" applyFont="1" applyFill="1" applyBorder="1" applyAlignment="1">
      <alignment horizontal="center"/>
      <protection/>
    </xf>
    <xf numFmtId="0" fontId="0" fillId="33" borderId="0" xfId="62" applyFill="1" applyAlignment="1">
      <alignment wrapText="1"/>
      <protection/>
    </xf>
    <xf numFmtId="1" fontId="0" fillId="33" borderId="0" xfId="62" applyNumberFormat="1" applyFill="1">
      <alignment/>
      <protection/>
    </xf>
    <xf numFmtId="0" fontId="11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vertical="center"/>
    </xf>
    <xf numFmtId="0" fontId="2" fillId="33" borderId="0" xfId="64" applyFont="1" applyFill="1" applyAlignment="1">
      <alignment/>
      <protection/>
    </xf>
    <xf numFmtId="0" fontId="2" fillId="33" borderId="0" xfId="64" applyFont="1" applyFill="1" applyAlignment="1">
      <alignment horizontal="right"/>
      <protection/>
    </xf>
    <xf numFmtId="0" fontId="3" fillId="33" borderId="0" xfId="64" applyFont="1" applyFill="1" applyBorder="1" applyAlignment="1">
      <alignment vertical="center" wrapText="1"/>
      <protection/>
    </xf>
    <xf numFmtId="0" fontId="13" fillId="33" borderId="13" xfId="66" applyFont="1" applyFill="1" applyBorder="1" applyAlignment="1">
      <alignment horizontal="center" vertical="center" wrapText="1"/>
      <protection/>
    </xf>
    <xf numFmtId="0" fontId="2" fillId="33" borderId="28" xfId="64" applyFont="1" applyFill="1" applyBorder="1" applyAlignment="1">
      <alignment horizontal="center" vertical="center"/>
      <protection/>
    </xf>
    <xf numFmtId="0" fontId="2" fillId="33" borderId="12" xfId="64" applyFont="1" applyFill="1" applyBorder="1" applyAlignment="1">
      <alignment horizontal="center" vertical="center"/>
      <protection/>
    </xf>
    <xf numFmtId="0" fontId="2" fillId="33" borderId="21" xfId="64" applyFont="1" applyFill="1" applyBorder="1" applyAlignment="1">
      <alignment horizontal="center" vertical="center"/>
      <protection/>
    </xf>
    <xf numFmtId="0" fontId="2" fillId="33" borderId="14" xfId="64" applyFont="1" applyFill="1" applyBorder="1" applyAlignment="1">
      <alignment horizontal="center" vertical="center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3" fontId="10" fillId="33" borderId="10" xfId="64" applyNumberFormat="1" applyFont="1" applyFill="1" applyBorder="1" applyAlignment="1">
      <alignment horizontal="center" vertical="center"/>
      <protection/>
    </xf>
    <xf numFmtId="3" fontId="0" fillId="33" borderId="0" xfId="0" applyNumberFormat="1" applyFill="1" applyAlignment="1">
      <alignment/>
    </xf>
    <xf numFmtId="3" fontId="2" fillId="33" borderId="10" xfId="64" applyNumberFormat="1" applyFont="1" applyFill="1" applyBorder="1" applyAlignment="1">
      <alignment horizontal="center" vertical="center"/>
      <protection/>
    </xf>
    <xf numFmtId="3" fontId="21" fillId="33" borderId="10" xfId="64" applyNumberFormat="1" applyFont="1" applyFill="1" applyBorder="1" applyAlignment="1">
      <alignment horizontal="center" vertical="center"/>
      <protection/>
    </xf>
    <xf numFmtId="3" fontId="21" fillId="33" borderId="16" xfId="64" applyNumberFormat="1" applyFont="1" applyFill="1" applyBorder="1" applyAlignment="1">
      <alignment horizontal="center" vertical="center"/>
      <protection/>
    </xf>
    <xf numFmtId="0" fontId="21" fillId="33" borderId="14" xfId="64" applyFont="1" applyFill="1" applyBorder="1" applyAlignment="1">
      <alignment horizontal="center" vertical="center"/>
      <protection/>
    </xf>
    <xf numFmtId="0" fontId="21" fillId="33" borderId="10" xfId="64" applyFont="1" applyFill="1" applyBorder="1" applyAlignment="1">
      <alignment horizontal="left" vertical="center" wrapText="1"/>
      <protection/>
    </xf>
    <xf numFmtId="165" fontId="21" fillId="33" borderId="10" xfId="71" applyNumberFormat="1" applyFont="1" applyFill="1" applyBorder="1" applyAlignment="1">
      <alignment horizontal="center" vertical="center"/>
    </xf>
    <xf numFmtId="0" fontId="13" fillId="33" borderId="14" xfId="64" applyFont="1" applyFill="1" applyBorder="1" applyAlignment="1">
      <alignment horizontal="center" vertical="center" wrapText="1"/>
      <protection/>
    </xf>
    <xf numFmtId="0" fontId="13" fillId="33" borderId="10" xfId="64" applyFont="1" applyFill="1" applyBorder="1" applyAlignment="1">
      <alignment horizontal="left" vertical="center" wrapText="1"/>
      <protection/>
    </xf>
    <xf numFmtId="3" fontId="36" fillId="33" borderId="10" xfId="64" applyNumberFormat="1" applyFont="1" applyFill="1" applyBorder="1" applyAlignment="1">
      <alignment horizontal="center" vertical="center" wrapText="1"/>
      <protection/>
    </xf>
    <xf numFmtId="3" fontId="13" fillId="33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0" fontId="2" fillId="33" borderId="15" xfId="64" applyFont="1" applyFill="1" applyBorder="1" applyAlignment="1">
      <alignment horizontal="center" vertical="center"/>
      <protection/>
    </xf>
    <xf numFmtId="0" fontId="2" fillId="33" borderId="13" xfId="64" applyFont="1" applyFill="1" applyBorder="1" applyAlignment="1">
      <alignment horizontal="left" vertical="center" wrapText="1"/>
      <protection/>
    </xf>
    <xf numFmtId="3" fontId="13" fillId="33" borderId="13" xfId="0" applyNumberFormat="1" applyFont="1" applyFill="1" applyBorder="1" applyAlignment="1">
      <alignment horizontal="center" vertical="center" wrapText="1"/>
    </xf>
    <xf numFmtId="3" fontId="21" fillId="33" borderId="13" xfId="64" applyNumberFormat="1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/>
    </xf>
    <xf numFmtId="0" fontId="13" fillId="33" borderId="0" xfId="65" applyFont="1" applyFill="1" applyBorder="1" applyAlignment="1">
      <alignment vertical="top" wrapText="1"/>
      <protection/>
    </xf>
    <xf numFmtId="0" fontId="13" fillId="33" borderId="0" xfId="65" applyFont="1" applyFill="1">
      <alignment/>
      <protection/>
    </xf>
    <xf numFmtId="0" fontId="14" fillId="33" borderId="0" xfId="0" applyFont="1" applyFill="1" applyAlignment="1">
      <alignment vertical="center" wrapText="1"/>
    </xf>
    <xf numFmtId="0" fontId="11" fillId="33" borderId="0" xfId="62" applyFont="1" applyFill="1" applyAlignment="1">
      <alignment/>
      <protection/>
    </xf>
    <xf numFmtId="0" fontId="19" fillId="33" borderId="0" xfId="65" applyFill="1">
      <alignment/>
      <protection/>
    </xf>
    <xf numFmtId="0" fontId="19" fillId="33" borderId="0" xfId="65" applyFill="1" applyAlignment="1">
      <alignment horizontal="center"/>
      <protection/>
    </xf>
    <xf numFmtId="0" fontId="20" fillId="33" borderId="0" xfId="65" applyFont="1" applyFill="1">
      <alignment/>
      <protection/>
    </xf>
    <xf numFmtId="0" fontId="20" fillId="33" borderId="0" xfId="65" applyFont="1" applyFill="1" applyAlignment="1">
      <alignment horizontal="center"/>
      <protection/>
    </xf>
    <xf numFmtId="0" fontId="19" fillId="33" borderId="32" xfId="65" applyFont="1" applyFill="1" applyBorder="1" applyAlignment="1">
      <alignment horizontal="center" vertical="center" wrapText="1" shrinkToFit="1"/>
      <protection/>
    </xf>
    <xf numFmtId="0" fontId="19" fillId="33" borderId="20" xfId="65" applyFill="1" applyBorder="1" applyAlignment="1">
      <alignment vertical="center"/>
      <protection/>
    </xf>
    <xf numFmtId="0" fontId="13" fillId="33" borderId="20" xfId="65" applyFont="1" applyFill="1" applyBorder="1" applyAlignment="1">
      <alignment horizontal="center" vertical="center" wrapText="1"/>
      <protection/>
    </xf>
    <xf numFmtId="0" fontId="13" fillId="33" borderId="20" xfId="54" applyFont="1" applyFill="1" applyBorder="1" applyAlignment="1">
      <alignment horizontal="center" vertical="center" wrapText="1" shrinkToFit="1"/>
      <protection/>
    </xf>
    <xf numFmtId="0" fontId="13" fillId="33" borderId="14" xfId="65" applyFont="1" applyFill="1" applyBorder="1" applyAlignment="1">
      <alignment horizontal="center" vertical="center"/>
      <protection/>
    </xf>
    <xf numFmtId="0" fontId="13" fillId="33" borderId="10" xfId="65" applyFont="1" applyFill="1" applyBorder="1" applyAlignment="1">
      <alignment horizontal="center" vertical="center"/>
      <protection/>
    </xf>
    <xf numFmtId="0" fontId="13" fillId="33" borderId="16" xfId="65" applyFont="1" applyFill="1" applyBorder="1" applyAlignment="1">
      <alignment horizontal="center" vertical="center"/>
      <protection/>
    </xf>
    <xf numFmtId="0" fontId="13" fillId="33" borderId="10" xfId="65" applyFont="1" applyFill="1" applyBorder="1" applyAlignment="1">
      <alignment horizontal="left" vertical="center" wrapText="1"/>
      <protection/>
    </xf>
    <xf numFmtId="0" fontId="13" fillId="33" borderId="10" xfId="65" applyFont="1" applyFill="1" applyBorder="1" applyAlignment="1">
      <alignment vertical="center"/>
      <protection/>
    </xf>
    <xf numFmtId="2" fontId="13" fillId="33" borderId="10" xfId="65" applyNumberFormat="1" applyFont="1" applyFill="1" applyBorder="1" applyAlignment="1">
      <alignment horizontal="center" vertical="center"/>
      <protection/>
    </xf>
    <xf numFmtId="2" fontId="13" fillId="33" borderId="16" xfId="65" applyNumberFormat="1" applyFont="1" applyFill="1" applyBorder="1" applyAlignment="1">
      <alignment horizontal="center" vertical="center"/>
      <protection/>
    </xf>
    <xf numFmtId="0" fontId="13" fillId="33" borderId="10" xfId="65" applyFont="1" applyFill="1" applyBorder="1" applyAlignment="1">
      <alignment horizontal="center" vertical="center" wrapText="1"/>
      <protection/>
    </xf>
    <xf numFmtId="2" fontId="13" fillId="33" borderId="10" xfId="65" applyNumberFormat="1" applyFont="1" applyFill="1" applyBorder="1" applyAlignment="1">
      <alignment vertical="center"/>
      <protection/>
    </xf>
    <xf numFmtId="164" fontId="13" fillId="33" borderId="10" xfId="65" applyNumberFormat="1" applyFont="1" applyFill="1" applyBorder="1" applyAlignment="1">
      <alignment horizontal="center" vertical="center"/>
      <protection/>
    </xf>
    <xf numFmtId="164" fontId="13" fillId="33" borderId="10" xfId="65" applyNumberFormat="1" applyFont="1" applyFill="1" applyBorder="1" applyAlignment="1">
      <alignment vertical="center"/>
      <protection/>
    </xf>
    <xf numFmtId="0" fontId="13" fillId="33" borderId="10" xfId="65" applyFont="1" applyFill="1" applyBorder="1" applyAlignment="1">
      <alignment vertical="center" wrapText="1"/>
      <protection/>
    </xf>
    <xf numFmtId="16" fontId="13" fillId="33" borderId="14" xfId="65" applyNumberFormat="1" applyFont="1" applyFill="1" applyBorder="1" applyAlignment="1">
      <alignment horizontal="center" vertical="center"/>
      <protection/>
    </xf>
    <xf numFmtId="0" fontId="13" fillId="33" borderId="15" xfId="65" applyFont="1" applyFill="1" applyBorder="1" applyAlignment="1">
      <alignment horizontal="center" vertical="center"/>
      <protection/>
    </xf>
    <xf numFmtId="0" fontId="13" fillId="33" borderId="13" xfId="65" applyFont="1" applyFill="1" applyBorder="1" applyAlignment="1">
      <alignment horizontal="left" vertical="center" wrapText="1"/>
      <protection/>
    </xf>
    <xf numFmtId="0" fontId="13" fillId="33" borderId="13" xfId="65" applyFont="1" applyFill="1" applyBorder="1" applyAlignment="1">
      <alignment horizontal="center" vertical="center"/>
      <protection/>
    </xf>
    <xf numFmtId="0" fontId="13" fillId="33" borderId="13" xfId="65" applyFont="1" applyFill="1" applyBorder="1" applyAlignment="1">
      <alignment vertical="center"/>
      <protection/>
    </xf>
    <xf numFmtId="2" fontId="13" fillId="33" borderId="13" xfId="65" applyNumberFormat="1" applyFont="1" applyFill="1" applyBorder="1" applyAlignment="1">
      <alignment horizontal="center" vertical="center"/>
      <protection/>
    </xf>
    <xf numFmtId="2" fontId="13" fillId="33" borderId="17" xfId="65" applyNumberFormat="1" applyFont="1" applyFill="1" applyBorder="1" applyAlignment="1">
      <alignment horizontal="center" vertical="center"/>
      <protection/>
    </xf>
    <xf numFmtId="0" fontId="13" fillId="33" borderId="0" xfId="65" applyFont="1" applyFill="1" applyAlignment="1">
      <alignment horizontal="center" vertical="center"/>
      <protection/>
    </xf>
    <xf numFmtId="0" fontId="13" fillId="33" borderId="0" xfId="65" applyFont="1" applyFill="1" applyAlignment="1">
      <alignment horizontal="left" wrapText="1"/>
      <protection/>
    </xf>
    <xf numFmtId="0" fontId="13" fillId="33" borderId="0" xfId="65" applyFont="1" applyFill="1" applyAlignment="1">
      <alignment horizontal="center"/>
      <protection/>
    </xf>
    <xf numFmtId="3" fontId="19" fillId="33" borderId="0" xfId="65" applyNumberFormat="1" applyFill="1">
      <alignment/>
      <protection/>
    </xf>
    <xf numFmtId="167" fontId="0" fillId="33" borderId="20" xfId="0" applyNumberFormat="1" applyFill="1" applyBorder="1" applyAlignment="1">
      <alignment/>
    </xf>
    <xf numFmtId="1" fontId="0" fillId="33" borderId="19" xfId="0" applyNumberFormat="1" applyFill="1" applyBorder="1" applyAlignment="1">
      <alignment/>
    </xf>
    <xf numFmtId="167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168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6" xfId="0" applyNumberFormat="1" applyFont="1" applyFill="1" applyBorder="1" applyAlignment="1">
      <alignment/>
    </xf>
    <xf numFmtId="0" fontId="2" fillId="33" borderId="16" xfId="57" applyFont="1" applyFill="1" applyBorder="1" applyAlignment="1">
      <alignment horizontal="center"/>
      <protection/>
    </xf>
    <xf numFmtId="168" fontId="11" fillId="33" borderId="29" xfId="57" applyNumberFormat="1" applyFont="1" applyFill="1" applyBorder="1" applyAlignment="1">
      <alignment horizontal="center" vertical="center"/>
      <protection/>
    </xf>
    <xf numFmtId="168" fontId="11" fillId="33" borderId="14" xfId="57" applyNumberFormat="1" applyFont="1" applyFill="1" applyBorder="1" applyAlignment="1">
      <alignment horizontal="center" vertical="center"/>
      <protection/>
    </xf>
    <xf numFmtId="171" fontId="11" fillId="33" borderId="14" xfId="57" applyNumberFormat="1" applyFont="1" applyFill="1" applyBorder="1" applyAlignment="1">
      <alignment horizontal="center" vertical="center"/>
      <protection/>
    </xf>
    <xf numFmtId="0" fontId="13" fillId="33" borderId="24" xfId="65" applyFont="1" applyFill="1" applyBorder="1" applyAlignment="1">
      <alignment horizontal="center" vertical="center"/>
      <protection/>
    </xf>
    <xf numFmtId="2" fontId="13" fillId="33" borderId="24" xfId="65" applyNumberFormat="1" applyFont="1" applyFill="1" applyBorder="1" applyAlignment="1">
      <alignment horizontal="center" vertical="center"/>
      <protection/>
    </xf>
    <xf numFmtId="0" fontId="13" fillId="33" borderId="49" xfId="54" applyFont="1" applyFill="1" applyBorder="1" applyAlignment="1">
      <alignment horizontal="center" vertical="center" wrapText="1" shrinkToFit="1"/>
      <protection/>
    </xf>
    <xf numFmtId="0" fontId="13" fillId="33" borderId="29" xfId="65" applyFont="1" applyFill="1" applyBorder="1" applyAlignment="1">
      <alignment horizontal="center" vertical="center"/>
      <protection/>
    </xf>
    <xf numFmtId="2" fontId="13" fillId="33" borderId="29" xfId="65" applyNumberFormat="1" applyFont="1" applyFill="1" applyBorder="1" applyAlignment="1">
      <alignment horizontal="center" vertical="center"/>
      <protection/>
    </xf>
    <xf numFmtId="2" fontId="13" fillId="33" borderId="50" xfId="65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 wrapText="1"/>
    </xf>
    <xf numFmtId="0" fontId="0" fillId="33" borderId="0" xfId="55" applyFont="1" applyFill="1" applyBorder="1" applyAlignment="1">
      <alignment wrapText="1"/>
      <protection/>
    </xf>
    <xf numFmtId="168" fontId="12" fillId="33" borderId="24" xfId="55" applyNumberFormat="1" applyFont="1" applyFill="1" applyBorder="1" applyAlignment="1">
      <alignment horizontal="center" vertical="center"/>
      <protection/>
    </xf>
    <xf numFmtId="1" fontId="12" fillId="33" borderId="24" xfId="55" applyNumberFormat="1" applyFont="1" applyFill="1" applyBorder="1" applyAlignment="1">
      <alignment horizontal="center" vertical="center"/>
      <protection/>
    </xf>
    <xf numFmtId="168" fontId="12" fillId="33" borderId="36" xfId="55" applyNumberFormat="1" applyFont="1" applyFill="1" applyBorder="1" applyAlignment="1">
      <alignment horizontal="center" vertical="center"/>
      <protection/>
    </xf>
    <xf numFmtId="168" fontId="28" fillId="33" borderId="36" xfId="55" applyNumberFormat="1" applyFont="1" applyFill="1" applyBorder="1" applyAlignment="1">
      <alignment vertical="center"/>
      <protection/>
    </xf>
    <xf numFmtId="168" fontId="12" fillId="33" borderId="36" xfId="55" applyNumberFormat="1" applyFont="1" applyFill="1" applyBorder="1" applyAlignment="1">
      <alignment vertical="center"/>
      <protection/>
    </xf>
    <xf numFmtId="168" fontId="28" fillId="33" borderId="24" xfId="55" applyNumberFormat="1" applyFont="1" applyFill="1" applyBorder="1" applyAlignment="1">
      <alignment horizontal="center" vertical="center"/>
      <protection/>
    </xf>
    <xf numFmtId="2" fontId="12" fillId="33" borderId="24" xfId="55" applyNumberFormat="1" applyFont="1" applyFill="1" applyBorder="1" applyAlignment="1">
      <alignment horizontal="center" vertical="center"/>
      <protection/>
    </xf>
    <xf numFmtId="168" fontId="29" fillId="33" borderId="36" xfId="55" applyNumberFormat="1" applyFont="1" applyFill="1" applyBorder="1" applyAlignment="1">
      <alignment horizontal="center" vertical="center"/>
      <protection/>
    </xf>
    <xf numFmtId="171" fontId="12" fillId="33" borderId="14" xfId="55" applyNumberFormat="1" applyFont="1" applyFill="1" applyBorder="1" applyAlignment="1">
      <alignment horizontal="center" vertical="center"/>
      <protection/>
    </xf>
    <xf numFmtId="171" fontId="12" fillId="33" borderId="24" xfId="55" applyNumberFormat="1" applyFont="1" applyFill="1" applyBorder="1" applyAlignment="1">
      <alignment horizontal="center" vertical="center"/>
      <protection/>
    </xf>
    <xf numFmtId="171" fontId="28" fillId="33" borderId="14" xfId="55" applyNumberFormat="1" applyFont="1" applyFill="1" applyBorder="1" applyAlignment="1">
      <alignment horizontal="center" vertical="center"/>
      <protection/>
    </xf>
    <xf numFmtId="171" fontId="28" fillId="33" borderId="16" xfId="55" applyNumberFormat="1" applyFont="1" applyFill="1" applyBorder="1" applyAlignment="1">
      <alignment horizontal="center" vertical="center"/>
      <protection/>
    </xf>
    <xf numFmtId="171" fontId="28" fillId="33" borderId="10" xfId="55" applyNumberFormat="1" applyFont="1" applyFill="1" applyBorder="1" applyAlignment="1">
      <alignment horizontal="center" vertical="center"/>
      <protection/>
    </xf>
    <xf numFmtId="171" fontId="12" fillId="33" borderId="16" xfId="55" applyNumberFormat="1" applyFont="1" applyFill="1" applyBorder="1" applyAlignment="1">
      <alignment horizontal="center" vertical="center"/>
      <protection/>
    </xf>
    <xf numFmtId="171" fontId="12" fillId="33" borderId="10" xfId="55" applyNumberFormat="1" applyFont="1" applyFill="1" applyBorder="1" applyAlignment="1">
      <alignment horizontal="center" vertical="center"/>
      <protection/>
    </xf>
    <xf numFmtId="169" fontId="12" fillId="33" borderId="16" xfId="71" applyNumberFormat="1" applyFont="1" applyFill="1" applyBorder="1" applyAlignment="1">
      <alignment horizontal="center" vertical="center"/>
    </xf>
    <xf numFmtId="169" fontId="12" fillId="33" borderId="14" xfId="71" applyNumberFormat="1" applyFont="1" applyFill="1" applyBorder="1" applyAlignment="1">
      <alignment horizontal="center" vertical="center"/>
    </xf>
    <xf numFmtId="171" fontId="11" fillId="33" borderId="16" xfId="57" applyNumberFormat="1" applyFont="1" applyFill="1" applyBorder="1" applyAlignment="1">
      <alignment horizontal="center" vertical="center"/>
      <protection/>
    </xf>
    <xf numFmtId="170" fontId="22" fillId="33" borderId="14" xfId="55" applyNumberFormat="1" applyFont="1" applyFill="1" applyBorder="1" applyAlignment="1">
      <alignment horizontal="center" vertical="center"/>
      <protection/>
    </xf>
    <xf numFmtId="170" fontId="22" fillId="33" borderId="16" xfId="55" applyNumberFormat="1" applyFont="1" applyFill="1" applyBorder="1" applyAlignment="1">
      <alignment horizontal="center" vertical="center"/>
      <protection/>
    </xf>
    <xf numFmtId="170" fontId="22" fillId="33" borderId="10" xfId="55" applyNumberFormat="1" applyFont="1" applyFill="1" applyBorder="1" applyAlignment="1">
      <alignment horizontal="center" vertical="center"/>
      <protection/>
    </xf>
    <xf numFmtId="186" fontId="22" fillId="33" borderId="14" xfId="74" applyNumberFormat="1" applyFont="1" applyFill="1" applyBorder="1" applyAlignment="1">
      <alignment horizontal="center" vertical="center"/>
    </xf>
    <xf numFmtId="171" fontId="11" fillId="33" borderId="10" xfId="55" applyNumberFormat="1" applyFont="1" applyFill="1" applyBorder="1" applyAlignment="1">
      <alignment horizontal="center"/>
      <protection/>
    </xf>
    <xf numFmtId="171" fontId="11" fillId="33" borderId="16" xfId="55" applyNumberFormat="1" applyFont="1" applyFill="1" applyBorder="1" applyAlignment="1">
      <alignment horizontal="center"/>
      <protection/>
    </xf>
    <xf numFmtId="171" fontId="11" fillId="33" borderId="17" xfId="55" applyNumberFormat="1" applyFont="1" applyFill="1" applyBorder="1" applyAlignment="1">
      <alignment horizontal="center"/>
      <protection/>
    </xf>
    <xf numFmtId="171" fontId="11" fillId="33" borderId="13" xfId="55" applyNumberFormat="1" applyFont="1" applyFill="1" applyBorder="1" applyAlignment="1">
      <alignment horizontal="center"/>
      <protection/>
    </xf>
    <xf numFmtId="171" fontId="10" fillId="33" borderId="10" xfId="0" applyNumberFormat="1" applyFont="1" applyFill="1" applyBorder="1" applyAlignment="1">
      <alignment/>
    </xf>
    <xf numFmtId="171" fontId="10" fillId="33" borderId="13" xfId="0" applyNumberFormat="1" applyFont="1" applyFill="1" applyBorder="1" applyAlignment="1">
      <alignment/>
    </xf>
    <xf numFmtId="170" fontId="10" fillId="33" borderId="10" xfId="0" applyNumberFormat="1" applyFont="1" applyFill="1" applyBorder="1" applyAlignment="1">
      <alignment/>
    </xf>
    <xf numFmtId="170" fontId="10" fillId="33" borderId="13" xfId="0" applyNumberFormat="1" applyFont="1" applyFill="1" applyBorder="1" applyAlignment="1">
      <alignment/>
    </xf>
    <xf numFmtId="0" fontId="2" fillId="33" borderId="0" xfId="57" applyFont="1" applyFill="1" applyAlignment="1">
      <alignment horizontal="center"/>
      <protection/>
    </xf>
    <xf numFmtId="168" fontId="13" fillId="33" borderId="10" xfId="65" applyNumberFormat="1" applyFont="1" applyFill="1" applyBorder="1" applyAlignment="1">
      <alignment horizontal="center" vertical="center"/>
      <protection/>
    </xf>
    <xf numFmtId="168" fontId="13" fillId="33" borderId="29" xfId="65" applyNumberFormat="1" applyFont="1" applyFill="1" applyBorder="1" applyAlignment="1">
      <alignment horizontal="center" vertical="center"/>
      <protection/>
    </xf>
    <xf numFmtId="168" fontId="13" fillId="33" borderId="16" xfId="65" applyNumberFormat="1" applyFont="1" applyFill="1" applyBorder="1" applyAlignment="1">
      <alignment horizontal="center" vertical="center"/>
      <protection/>
    </xf>
    <xf numFmtId="168" fontId="13" fillId="33" borderId="24" xfId="65" applyNumberFormat="1" applyFont="1" applyFill="1" applyBorder="1" applyAlignment="1">
      <alignment horizontal="center" vertical="center"/>
      <protection/>
    </xf>
    <xf numFmtId="0" fontId="30" fillId="33" borderId="0" xfId="57" applyFont="1" applyFill="1" applyAlignment="1">
      <alignment vertical="center"/>
      <protection/>
    </xf>
    <xf numFmtId="0" fontId="0" fillId="33" borderId="0" xfId="0" applyFill="1" applyAlignment="1">
      <alignment/>
    </xf>
    <xf numFmtId="0" fontId="11" fillId="33" borderId="0" xfId="57" applyFont="1" applyFill="1" applyAlignment="1">
      <alignment/>
      <protection/>
    </xf>
    <xf numFmtId="166" fontId="13" fillId="33" borderId="10" xfId="63" applyNumberFormat="1" applyFont="1" applyFill="1" applyBorder="1" applyAlignment="1">
      <alignment horizontal="center" vertical="center"/>
      <protection/>
    </xf>
    <xf numFmtId="1" fontId="13" fillId="33" borderId="29" xfId="65" applyNumberFormat="1" applyFont="1" applyFill="1" applyBorder="1" applyAlignment="1">
      <alignment horizontal="center" vertical="center"/>
      <protection/>
    </xf>
    <xf numFmtId="1" fontId="13" fillId="33" borderId="10" xfId="65" applyNumberFormat="1" applyFont="1" applyFill="1" applyBorder="1" applyAlignment="1">
      <alignment horizontal="center" vertical="center"/>
      <protection/>
    </xf>
    <xf numFmtId="0" fontId="11" fillId="33" borderId="0" xfId="0" applyFont="1" applyFill="1" applyAlignment="1">
      <alignment vertical="center" wrapText="1"/>
    </xf>
    <xf numFmtId="2" fontId="13" fillId="33" borderId="14" xfId="65" applyNumberFormat="1" applyFont="1" applyFill="1" applyBorder="1" applyAlignment="1">
      <alignment horizontal="center" vertical="center"/>
      <protection/>
    </xf>
    <xf numFmtId="2" fontId="13" fillId="33" borderId="27" xfId="65" applyNumberFormat="1" applyFont="1" applyFill="1" applyBorder="1" applyAlignment="1">
      <alignment horizontal="center" vertical="center"/>
      <protection/>
    </xf>
    <xf numFmtId="3" fontId="36" fillId="33" borderId="29" xfId="63" applyNumberFormat="1" applyFont="1" applyFill="1" applyBorder="1" applyAlignment="1">
      <alignment horizontal="center" vertical="center"/>
      <protection/>
    </xf>
    <xf numFmtId="3" fontId="13" fillId="33" borderId="29" xfId="63" applyNumberFormat="1" applyFont="1" applyFill="1" applyBorder="1" applyAlignment="1">
      <alignment horizontal="center" vertical="center"/>
      <protection/>
    </xf>
    <xf numFmtId="168" fontId="13" fillId="33" borderId="29" xfId="63" applyNumberFormat="1" applyFont="1" applyFill="1" applyBorder="1" applyAlignment="1">
      <alignment horizontal="center" vertical="center"/>
      <protection/>
    </xf>
    <xf numFmtId="168" fontId="13" fillId="33" borderId="50" xfId="63" applyNumberFormat="1" applyFont="1" applyFill="1" applyBorder="1" applyAlignment="1">
      <alignment horizontal="center" vertical="center"/>
      <protection/>
    </xf>
    <xf numFmtId="3" fontId="36" fillId="33" borderId="14" xfId="63" applyNumberFormat="1" applyFont="1" applyFill="1" applyBorder="1" applyAlignment="1">
      <alignment horizontal="center" vertical="center"/>
      <protection/>
    </xf>
    <xf numFmtId="3" fontId="13" fillId="33" borderId="14" xfId="63" applyNumberFormat="1" applyFont="1" applyFill="1" applyBorder="1" applyAlignment="1">
      <alignment horizontal="center" vertical="center"/>
      <protection/>
    </xf>
    <xf numFmtId="167" fontId="36" fillId="33" borderId="14" xfId="63" applyNumberFormat="1" applyFont="1" applyFill="1" applyBorder="1" applyAlignment="1">
      <alignment horizontal="center" vertical="center"/>
      <protection/>
    </xf>
    <xf numFmtId="168" fontId="36" fillId="33" borderId="14" xfId="63" applyNumberFormat="1" applyFont="1" applyFill="1" applyBorder="1" applyAlignment="1">
      <alignment horizontal="center" vertical="center"/>
      <protection/>
    </xf>
    <xf numFmtId="168" fontId="13" fillId="33" borderId="14" xfId="63" applyNumberFormat="1" applyFont="1" applyFill="1" applyBorder="1" applyAlignment="1">
      <alignment horizontal="center" vertical="center"/>
      <protection/>
    </xf>
    <xf numFmtId="168" fontId="13" fillId="33" borderId="15" xfId="63" applyNumberFormat="1" applyFont="1" applyFill="1" applyBorder="1" applyAlignment="1">
      <alignment horizontal="center" vertical="center"/>
      <protection/>
    </xf>
    <xf numFmtId="167" fontId="36" fillId="33" borderId="29" xfId="63" applyNumberFormat="1" applyFont="1" applyFill="1" applyBorder="1" applyAlignment="1">
      <alignment horizontal="center" vertical="center"/>
      <protection/>
    </xf>
    <xf numFmtId="168" fontId="36" fillId="33" borderId="29" xfId="63" applyNumberFormat="1" applyFont="1" applyFill="1" applyBorder="1" applyAlignment="1">
      <alignment horizontal="center" vertical="center"/>
      <protection/>
    </xf>
    <xf numFmtId="3" fontId="91" fillId="33" borderId="10" xfId="63" applyNumberFormat="1" applyFont="1" applyFill="1" applyBorder="1" applyAlignment="1">
      <alignment horizontal="center" vertical="center"/>
      <protection/>
    </xf>
    <xf numFmtId="182" fontId="13" fillId="33" borderId="10" xfId="63" applyNumberFormat="1" applyFont="1" applyFill="1" applyBorder="1" applyAlignment="1">
      <alignment horizontal="center" vertical="center"/>
      <protection/>
    </xf>
    <xf numFmtId="180" fontId="13" fillId="33" borderId="10" xfId="63" applyNumberFormat="1" applyFont="1" applyFill="1" applyBorder="1" applyAlignment="1">
      <alignment horizontal="center" vertical="center"/>
      <protection/>
    </xf>
    <xf numFmtId="0" fontId="36" fillId="33" borderId="28" xfId="63" applyFont="1" applyFill="1" applyBorder="1" applyAlignment="1">
      <alignment horizontal="center" vertical="center"/>
      <protection/>
    </xf>
    <xf numFmtId="0" fontId="36" fillId="33" borderId="12" xfId="63" applyFont="1" applyFill="1" applyBorder="1" applyAlignment="1">
      <alignment horizontal="left" vertical="center"/>
      <protection/>
    </xf>
    <xf numFmtId="0" fontId="36" fillId="33" borderId="12" xfId="63" applyFont="1" applyFill="1" applyBorder="1" applyAlignment="1">
      <alignment horizontal="center" vertical="center" wrapText="1"/>
      <protection/>
    </xf>
    <xf numFmtId="1" fontId="36" fillId="33" borderId="12" xfId="63" applyNumberFormat="1" applyFont="1" applyFill="1" applyBorder="1" applyAlignment="1">
      <alignment horizontal="center" vertical="center" wrapText="1"/>
      <protection/>
    </xf>
    <xf numFmtId="0" fontId="36" fillId="33" borderId="12" xfId="63" applyFont="1" applyFill="1" applyBorder="1" applyAlignment="1">
      <alignment horizontal="center" vertical="center"/>
      <protection/>
    </xf>
    <xf numFmtId="3" fontId="36" fillId="33" borderId="12" xfId="63" applyNumberFormat="1" applyFont="1" applyFill="1" applyBorder="1" applyAlignment="1">
      <alignment horizontal="center" vertical="center"/>
      <protection/>
    </xf>
    <xf numFmtId="3" fontId="36" fillId="33" borderId="21" xfId="63" applyNumberFormat="1" applyFont="1" applyFill="1" applyBorder="1" applyAlignment="1">
      <alignment horizontal="center" vertical="center"/>
      <protection/>
    </xf>
    <xf numFmtId="3" fontId="36" fillId="33" borderId="51" xfId="63" applyNumberFormat="1" applyFont="1" applyFill="1" applyBorder="1" applyAlignment="1">
      <alignment horizontal="center" vertical="center"/>
      <protection/>
    </xf>
    <xf numFmtId="3" fontId="36" fillId="33" borderId="28" xfId="63" applyNumberFormat="1" applyFont="1" applyFill="1" applyBorder="1" applyAlignment="1">
      <alignment horizontal="center" vertical="center"/>
      <protection/>
    </xf>
    <xf numFmtId="0" fontId="13" fillId="33" borderId="13" xfId="63" applyFont="1" applyFill="1" applyBorder="1" applyAlignment="1">
      <alignment horizontal="center" vertical="center"/>
      <protection/>
    </xf>
    <xf numFmtId="0" fontId="13" fillId="33" borderId="13" xfId="63" applyFont="1" applyFill="1" applyBorder="1" applyAlignment="1">
      <alignment horizontal="center" vertical="center" wrapText="1"/>
      <protection/>
    </xf>
    <xf numFmtId="0" fontId="0" fillId="33" borderId="13" xfId="62" applyFont="1" applyFill="1" applyBorder="1" applyAlignment="1">
      <alignment horizontal="center" vertical="center" wrapText="1"/>
      <protection/>
    </xf>
    <xf numFmtId="3" fontId="13" fillId="33" borderId="13" xfId="63" applyNumberFormat="1" applyFont="1" applyFill="1" applyBorder="1" applyAlignment="1">
      <alignment horizontal="center" vertical="center"/>
      <protection/>
    </xf>
    <xf numFmtId="0" fontId="0" fillId="33" borderId="17" xfId="62" applyFont="1" applyFill="1" applyBorder="1" applyAlignment="1">
      <alignment horizontal="center" vertical="center" wrapText="1"/>
      <protection/>
    </xf>
    <xf numFmtId="0" fontId="0" fillId="33" borderId="50" xfId="62" applyFont="1" applyFill="1" applyBorder="1" applyAlignment="1">
      <alignment horizontal="center" vertical="center" wrapText="1"/>
      <protection/>
    </xf>
    <xf numFmtId="0" fontId="0" fillId="33" borderId="15" xfId="62" applyFont="1" applyFill="1" applyBorder="1" applyAlignment="1">
      <alignment horizontal="center" vertical="center" wrapText="1"/>
      <protection/>
    </xf>
    <xf numFmtId="3" fontId="8" fillId="33" borderId="10" xfId="74" applyNumberFormat="1" applyFont="1" applyFill="1" applyBorder="1" applyAlignment="1">
      <alignment horizontal="right"/>
    </xf>
    <xf numFmtId="3" fontId="0" fillId="33" borderId="45" xfId="62" applyNumberFormat="1" applyFont="1" applyFill="1" applyBorder="1" applyAlignment="1">
      <alignment vertical="center" wrapText="1"/>
      <protection/>
    </xf>
    <xf numFmtId="3" fontId="37" fillId="0" borderId="43" xfId="0" applyNumberFormat="1" applyFont="1" applyFill="1" applyBorder="1" applyAlignment="1">
      <alignment horizontal="right" vertical="center" wrapText="1"/>
    </xf>
    <xf numFmtId="1" fontId="13" fillId="33" borderId="24" xfId="65" applyNumberFormat="1" applyFont="1" applyFill="1" applyBorder="1" applyAlignment="1">
      <alignment horizontal="center" vertical="center"/>
      <protection/>
    </xf>
    <xf numFmtId="168" fontId="13" fillId="33" borderId="10" xfId="65" applyNumberFormat="1" applyFont="1" applyFill="1" applyBorder="1" applyAlignment="1">
      <alignment horizontal="center" vertical="center" wrapText="1"/>
      <protection/>
    </xf>
    <xf numFmtId="168" fontId="13" fillId="33" borderId="29" xfId="65" applyNumberFormat="1" applyFont="1" applyFill="1" applyBorder="1" applyAlignment="1">
      <alignment horizontal="center" vertical="center" wrapText="1"/>
      <protection/>
    </xf>
    <xf numFmtId="168" fontId="13" fillId="33" borderId="24" xfId="65" applyNumberFormat="1" applyFont="1" applyFill="1" applyBorder="1" applyAlignment="1">
      <alignment horizontal="center" vertical="center" wrapText="1"/>
      <protection/>
    </xf>
    <xf numFmtId="0" fontId="2" fillId="33" borderId="12" xfId="57" applyFont="1" applyFill="1" applyBorder="1" applyAlignment="1">
      <alignment horizontal="center" vertical="center" wrapText="1" shrinkToFit="1"/>
      <protection/>
    </xf>
    <xf numFmtId="0" fontId="9" fillId="33" borderId="0" xfId="57" applyFont="1" applyFill="1" applyAlignment="1">
      <alignment horizontal="right" vertical="center"/>
      <protection/>
    </xf>
    <xf numFmtId="0" fontId="0" fillId="33" borderId="0" xfId="0" applyFill="1" applyAlignment="1">
      <alignment/>
    </xf>
    <xf numFmtId="0" fontId="13" fillId="33" borderId="14" xfId="63" applyFont="1" applyFill="1" applyBorder="1" applyAlignment="1">
      <alignment horizontal="center" vertical="center"/>
      <protection/>
    </xf>
    <xf numFmtId="0" fontId="13" fillId="33" borderId="10" xfId="63" applyFont="1" applyFill="1" applyBorder="1" applyAlignment="1">
      <alignment horizontal="center" vertical="center"/>
      <protection/>
    </xf>
    <xf numFmtId="0" fontId="0" fillId="33" borderId="10" xfId="62" applyFont="1" applyFill="1" applyBorder="1" applyAlignment="1">
      <alignment horizontal="center" vertical="center" wrapText="1"/>
      <protection/>
    </xf>
    <xf numFmtId="0" fontId="0" fillId="33" borderId="16" xfId="62" applyFont="1" applyFill="1" applyBorder="1" applyAlignment="1">
      <alignment horizontal="center" vertical="center" wrapText="1"/>
      <protection/>
    </xf>
    <xf numFmtId="0" fontId="13" fillId="33" borderId="19" xfId="54" applyFont="1" applyFill="1" applyBorder="1" applyAlignment="1">
      <alignment horizontal="center" vertical="center" wrapText="1" shrinkToFit="1"/>
      <protection/>
    </xf>
    <xf numFmtId="0" fontId="13" fillId="33" borderId="27" xfId="66" applyFont="1" applyFill="1" applyBorder="1" applyAlignment="1">
      <alignment horizontal="center" vertical="center" wrapText="1"/>
      <protection/>
    </xf>
    <xf numFmtId="0" fontId="2" fillId="33" borderId="45" xfId="64" applyFont="1" applyFill="1" applyBorder="1" applyAlignment="1">
      <alignment horizontal="center" vertical="center"/>
      <protection/>
    </xf>
    <xf numFmtId="3" fontId="2" fillId="33" borderId="24" xfId="64" applyNumberFormat="1" applyFont="1" applyFill="1" applyBorder="1" applyAlignment="1">
      <alignment horizontal="center" vertical="center"/>
      <protection/>
    </xf>
    <xf numFmtId="3" fontId="10" fillId="33" borderId="24" xfId="66" applyNumberFormat="1" applyFont="1" applyFill="1" applyBorder="1" applyAlignment="1">
      <alignment horizontal="center" vertical="center"/>
      <protection/>
    </xf>
    <xf numFmtId="3" fontId="21" fillId="33" borderId="24" xfId="64" applyNumberFormat="1" applyFont="1" applyFill="1" applyBorder="1" applyAlignment="1">
      <alignment horizontal="center" vertical="center"/>
      <protection/>
    </xf>
    <xf numFmtId="3" fontId="13" fillId="33" borderId="24" xfId="0" applyNumberFormat="1" applyFont="1" applyFill="1" applyBorder="1" applyAlignment="1">
      <alignment horizontal="center" vertical="center" wrapText="1"/>
    </xf>
    <xf numFmtId="3" fontId="13" fillId="33" borderId="27" xfId="0" applyNumberFormat="1" applyFont="1" applyFill="1" applyBorder="1" applyAlignment="1">
      <alignment horizontal="center" vertical="center" wrapText="1"/>
    </xf>
    <xf numFmtId="0" fontId="13" fillId="33" borderId="17" xfId="66" applyFont="1" applyFill="1" applyBorder="1" applyAlignment="1">
      <alignment horizontal="center" vertical="center" wrapText="1"/>
      <protection/>
    </xf>
    <xf numFmtId="3" fontId="2" fillId="33" borderId="16" xfId="64" applyNumberFormat="1" applyFont="1" applyFill="1" applyBorder="1" applyAlignment="1">
      <alignment horizontal="center" vertical="center"/>
      <protection/>
    </xf>
    <xf numFmtId="3" fontId="10" fillId="33" borderId="16" xfId="66" applyNumberFormat="1" applyFont="1" applyFill="1" applyBorder="1" applyAlignment="1">
      <alignment horizontal="center" vertical="center"/>
      <protection/>
    </xf>
    <xf numFmtId="3" fontId="13" fillId="33" borderId="16" xfId="0" applyNumberFormat="1" applyFont="1" applyFill="1" applyBorder="1" applyAlignment="1">
      <alignment horizontal="center" vertical="center" wrapText="1"/>
    </xf>
    <xf numFmtId="3" fontId="13" fillId="33" borderId="17" xfId="0" applyNumberFormat="1" applyFont="1" applyFill="1" applyBorder="1" applyAlignment="1">
      <alignment horizontal="center" vertical="center" wrapText="1"/>
    </xf>
    <xf numFmtId="0" fontId="13" fillId="33" borderId="15" xfId="66" applyFont="1" applyFill="1" applyBorder="1" applyAlignment="1">
      <alignment horizontal="center" vertical="center" wrapText="1"/>
      <protection/>
    </xf>
    <xf numFmtId="3" fontId="2" fillId="33" borderId="14" xfId="64" applyNumberFormat="1" applyFont="1" applyFill="1" applyBorder="1" applyAlignment="1">
      <alignment horizontal="center" vertical="center"/>
      <protection/>
    </xf>
    <xf numFmtId="0" fontId="2" fillId="33" borderId="52" xfId="64" applyFont="1" applyFill="1" applyBorder="1">
      <alignment/>
      <protection/>
    </xf>
    <xf numFmtId="3" fontId="10" fillId="33" borderId="14" xfId="66" applyNumberFormat="1" applyFont="1" applyFill="1" applyBorder="1" applyAlignment="1">
      <alignment horizontal="center" vertical="center"/>
      <protection/>
    </xf>
    <xf numFmtId="3" fontId="21" fillId="33" borderId="14" xfId="64" applyNumberFormat="1" applyFont="1" applyFill="1" applyBorder="1" applyAlignment="1">
      <alignment horizontal="center" vertical="center"/>
      <protection/>
    </xf>
    <xf numFmtId="165" fontId="21" fillId="33" borderId="16" xfId="71" applyNumberFormat="1" applyFont="1" applyFill="1" applyBorder="1" applyAlignment="1">
      <alignment horizontal="center" vertical="center"/>
    </xf>
    <xf numFmtId="3" fontId="13" fillId="33" borderId="14" xfId="0" applyNumberFormat="1" applyFont="1" applyFill="1" applyBorder="1" applyAlignment="1">
      <alignment horizontal="center" vertical="center" wrapText="1"/>
    </xf>
    <xf numFmtId="3" fontId="13" fillId="33" borderId="15" xfId="0" applyNumberFormat="1" applyFont="1" applyFill="1" applyBorder="1" applyAlignment="1">
      <alignment horizontal="center" vertical="center" wrapText="1"/>
    </xf>
    <xf numFmtId="165" fontId="21" fillId="33" borderId="24" xfId="71" applyNumberFormat="1" applyFont="1" applyFill="1" applyBorder="1" applyAlignment="1">
      <alignment horizontal="center" vertical="center"/>
    </xf>
    <xf numFmtId="190" fontId="36" fillId="33" borderId="10" xfId="74" applyNumberFormat="1" applyFont="1" applyFill="1" applyBorder="1" applyAlignment="1">
      <alignment horizontal="center" vertical="center" wrapText="1"/>
    </xf>
    <xf numFmtId="190" fontId="36" fillId="33" borderId="16" xfId="74" applyNumberFormat="1" applyFont="1" applyFill="1" applyBorder="1" applyAlignment="1">
      <alignment horizontal="center" vertical="center" wrapText="1"/>
    </xf>
    <xf numFmtId="190" fontId="36" fillId="33" borderId="24" xfId="74" applyNumberFormat="1" applyFont="1" applyFill="1" applyBorder="1" applyAlignment="1">
      <alignment horizontal="center" vertical="center" wrapText="1"/>
    </xf>
    <xf numFmtId="190" fontId="39" fillId="33" borderId="10" xfId="74" applyNumberFormat="1" applyFont="1" applyFill="1" applyBorder="1" applyAlignment="1">
      <alignment horizontal="center" vertical="center"/>
    </xf>
    <xf numFmtId="190" fontId="39" fillId="33" borderId="16" xfId="74" applyNumberFormat="1" applyFont="1" applyFill="1" applyBorder="1" applyAlignment="1">
      <alignment horizontal="center" vertical="center"/>
    </xf>
    <xf numFmtId="3" fontId="10" fillId="33" borderId="16" xfId="64" applyNumberFormat="1" applyFont="1" applyFill="1" applyBorder="1" applyAlignment="1">
      <alignment horizontal="center" vertical="center"/>
      <protection/>
    </xf>
    <xf numFmtId="3" fontId="10" fillId="33" borderId="24" xfId="64" applyNumberFormat="1" applyFont="1" applyFill="1" applyBorder="1" applyAlignment="1">
      <alignment horizontal="center" vertical="center"/>
      <protection/>
    </xf>
    <xf numFmtId="3" fontId="36" fillId="33" borderId="16" xfId="0" applyNumberFormat="1" applyFont="1" applyFill="1" applyBorder="1" applyAlignment="1">
      <alignment horizontal="center" vertical="center" wrapText="1"/>
    </xf>
    <xf numFmtId="3" fontId="36" fillId="33" borderId="24" xfId="0" applyNumberFormat="1" applyFont="1" applyFill="1" applyBorder="1" applyAlignment="1">
      <alignment horizontal="center" vertical="center" wrapText="1"/>
    </xf>
    <xf numFmtId="3" fontId="39" fillId="33" borderId="10" xfId="64" applyNumberFormat="1" applyFont="1" applyFill="1" applyBorder="1" applyAlignment="1">
      <alignment horizontal="center" vertical="center"/>
      <protection/>
    </xf>
    <xf numFmtId="166" fontId="39" fillId="33" borderId="16" xfId="64" applyNumberFormat="1" applyFont="1" applyFill="1" applyBorder="1" applyAlignment="1">
      <alignment horizontal="center" vertical="center"/>
      <protection/>
    </xf>
    <xf numFmtId="0" fontId="33" fillId="33" borderId="0" xfId="65" applyFont="1" applyFill="1" applyAlignment="1">
      <alignment/>
      <protection/>
    </xf>
    <xf numFmtId="168" fontId="13" fillId="33" borderId="16" xfId="65" applyNumberFormat="1" applyFont="1" applyFill="1" applyBorder="1" applyAlignment="1">
      <alignment horizontal="center" vertical="center" wrapText="1"/>
      <protection/>
    </xf>
    <xf numFmtId="1" fontId="13" fillId="33" borderId="36" xfId="65" applyNumberFormat="1" applyFont="1" applyFill="1" applyBorder="1" applyAlignment="1">
      <alignment horizontal="center" vertical="center"/>
      <protection/>
    </xf>
    <xf numFmtId="183" fontId="13" fillId="33" borderId="0" xfId="63" applyNumberFormat="1" applyFont="1" applyFill="1" applyBorder="1" applyAlignment="1">
      <alignment/>
      <protection/>
    </xf>
    <xf numFmtId="0" fontId="9" fillId="33" borderId="0" xfId="57" applyFont="1" applyFill="1" applyAlignment="1">
      <alignment vertical="center"/>
      <protection/>
    </xf>
    <xf numFmtId="0" fontId="2" fillId="33" borderId="16" xfId="57" applyFont="1" applyFill="1" applyBorder="1" applyAlignment="1">
      <alignment horizontal="center" vertical="center" wrapText="1" shrinkToFit="1"/>
      <protection/>
    </xf>
    <xf numFmtId="49" fontId="5" fillId="33" borderId="15" xfId="57" applyNumberFormat="1" applyFont="1" applyFill="1" applyBorder="1" applyAlignment="1">
      <alignment horizontal="center" vertical="center" wrapText="1"/>
      <protection/>
    </xf>
    <xf numFmtId="49" fontId="2" fillId="33" borderId="13" xfId="57" applyNumberFormat="1" applyFont="1" applyFill="1" applyBorder="1" applyAlignment="1">
      <alignment horizontal="left" vertical="center" wrapText="1"/>
      <protection/>
    </xf>
    <xf numFmtId="168" fontId="11" fillId="33" borderId="13" xfId="57" applyNumberFormat="1" applyFont="1" applyFill="1" applyBorder="1">
      <alignment/>
      <protection/>
    </xf>
    <xf numFmtId="168" fontId="11" fillId="33" borderId="17" xfId="57" applyNumberFormat="1" applyFont="1" applyFill="1" applyBorder="1" applyAlignment="1">
      <alignment horizontal="center" vertical="center"/>
      <protection/>
    </xf>
    <xf numFmtId="0" fontId="2" fillId="33" borderId="49" xfId="59" applyFont="1" applyFill="1" applyBorder="1" applyAlignment="1">
      <alignment horizontal="center" vertical="center" wrapText="1"/>
      <protection/>
    </xf>
    <xf numFmtId="0" fontId="2" fillId="33" borderId="29" xfId="59" applyFont="1" applyFill="1" applyBorder="1" applyAlignment="1">
      <alignment horizontal="center" vertical="center" wrapText="1"/>
      <protection/>
    </xf>
    <xf numFmtId="0" fontId="5" fillId="33" borderId="29" xfId="57" applyFont="1" applyFill="1" applyBorder="1" applyAlignment="1">
      <alignment horizontal="center"/>
      <protection/>
    </xf>
    <xf numFmtId="168" fontId="11" fillId="33" borderId="50" xfId="57" applyNumberFormat="1" applyFont="1" applyFill="1" applyBorder="1" applyAlignment="1">
      <alignment horizontal="center" vertical="center"/>
      <protection/>
    </xf>
    <xf numFmtId="0" fontId="2" fillId="33" borderId="24" xfId="57" applyFont="1" applyFill="1" applyBorder="1" applyAlignment="1">
      <alignment horizontal="center" vertical="center" wrapText="1" shrinkToFit="1"/>
      <protection/>
    </xf>
    <xf numFmtId="168" fontId="11" fillId="33" borderId="24" xfId="57" applyNumberFormat="1" applyFont="1" applyFill="1" applyBorder="1" applyAlignment="1">
      <alignment horizontal="center" vertical="center"/>
      <protection/>
    </xf>
    <xf numFmtId="171" fontId="11" fillId="33" borderId="24" xfId="57" applyNumberFormat="1" applyFont="1" applyFill="1" applyBorder="1" applyAlignment="1">
      <alignment horizontal="center" vertical="center"/>
      <protection/>
    </xf>
    <xf numFmtId="168" fontId="11" fillId="33" borderId="27" xfId="57" applyNumberFormat="1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 wrapText="1" shrinkToFit="1"/>
      <protection/>
    </xf>
    <xf numFmtId="0" fontId="2" fillId="33" borderId="16" xfId="57" applyFont="1" applyFill="1" applyBorder="1">
      <alignment/>
      <protection/>
    </xf>
    <xf numFmtId="168" fontId="11" fillId="33" borderId="15" xfId="57" applyNumberFormat="1" applyFont="1" applyFill="1" applyBorder="1" applyAlignment="1">
      <alignment horizontal="center" vertical="center"/>
      <protection/>
    </xf>
    <xf numFmtId="0" fontId="5" fillId="33" borderId="29" xfId="57" applyFont="1" applyFill="1" applyBorder="1" applyAlignment="1">
      <alignment horizontal="center" vertical="center"/>
      <protection/>
    </xf>
    <xf numFmtId="0" fontId="11" fillId="33" borderId="29" xfId="57" applyFont="1" applyFill="1" applyBorder="1" applyAlignment="1">
      <alignment horizontal="center" vertical="center"/>
      <protection/>
    </xf>
    <xf numFmtId="0" fontId="11" fillId="33" borderId="50" xfId="57" applyFont="1" applyFill="1" applyBorder="1" applyAlignment="1">
      <alignment horizontal="center" vertical="center"/>
      <protection/>
    </xf>
    <xf numFmtId="0" fontId="2" fillId="33" borderId="24" xfId="57" applyFont="1" applyFill="1" applyBorder="1" applyAlignment="1">
      <alignment horizontal="center" vertical="center"/>
      <protection/>
    </xf>
    <xf numFmtId="0" fontId="2" fillId="33" borderId="16" xfId="57" applyFont="1" applyFill="1" applyBorder="1" applyAlignment="1">
      <alignment horizontal="center" vertical="center"/>
      <protection/>
    </xf>
    <xf numFmtId="0" fontId="2" fillId="33" borderId="51" xfId="64" applyFont="1" applyFill="1" applyBorder="1" applyAlignment="1">
      <alignment horizontal="center" vertical="center"/>
      <protection/>
    </xf>
    <xf numFmtId="0" fontId="2" fillId="33" borderId="29" xfId="64" applyFont="1" applyFill="1" applyBorder="1" applyAlignment="1">
      <alignment horizontal="center" vertical="center"/>
      <protection/>
    </xf>
    <xf numFmtId="0" fontId="21" fillId="33" borderId="29" xfId="64" applyFont="1" applyFill="1" applyBorder="1" applyAlignment="1">
      <alignment horizontal="center" vertical="center"/>
      <protection/>
    </xf>
    <xf numFmtId="0" fontId="13" fillId="33" borderId="29" xfId="64" applyFont="1" applyFill="1" applyBorder="1" applyAlignment="1">
      <alignment horizontal="center" vertical="center" wrapText="1"/>
      <protection/>
    </xf>
    <xf numFmtId="2" fontId="13" fillId="33" borderId="29" xfId="64" applyNumberFormat="1" applyFont="1" applyFill="1" applyBorder="1" applyAlignment="1">
      <alignment horizontal="center" vertical="center" wrapText="1"/>
      <protection/>
    </xf>
    <xf numFmtId="2" fontId="2" fillId="33" borderId="29" xfId="64" applyNumberFormat="1" applyFont="1" applyFill="1" applyBorder="1" applyAlignment="1">
      <alignment horizontal="center" vertical="center"/>
      <protection/>
    </xf>
    <xf numFmtId="2" fontId="2" fillId="33" borderId="50" xfId="64" applyNumberFormat="1" applyFont="1" applyFill="1" applyBorder="1" applyAlignment="1">
      <alignment horizontal="center" vertical="center"/>
      <protection/>
    </xf>
    <xf numFmtId="3" fontId="10" fillId="33" borderId="14" xfId="64" applyNumberFormat="1" applyFont="1" applyFill="1" applyBorder="1" applyAlignment="1">
      <alignment horizontal="center" vertical="center"/>
      <protection/>
    </xf>
    <xf numFmtId="165" fontId="21" fillId="33" borderId="14" xfId="71" applyNumberFormat="1" applyFont="1" applyFill="1" applyBorder="1" applyAlignment="1">
      <alignment horizontal="center" vertical="center"/>
    </xf>
    <xf numFmtId="190" fontId="36" fillId="33" borderId="14" xfId="74" applyNumberFormat="1" applyFont="1" applyFill="1" applyBorder="1" applyAlignment="1">
      <alignment horizontal="center" vertical="center" wrapText="1"/>
    </xf>
    <xf numFmtId="3" fontId="36" fillId="33" borderId="14" xfId="0" applyNumberFormat="1" applyFont="1" applyFill="1" applyBorder="1" applyAlignment="1">
      <alignment horizontal="center" vertical="center" wrapText="1"/>
    </xf>
    <xf numFmtId="0" fontId="13" fillId="33" borderId="49" xfId="65" applyFont="1" applyFill="1" applyBorder="1" applyAlignment="1">
      <alignment horizontal="center" vertical="center" wrapText="1"/>
      <protection/>
    </xf>
    <xf numFmtId="0" fontId="13" fillId="33" borderId="50" xfId="65" applyFont="1" applyFill="1" applyBorder="1" applyAlignment="1">
      <alignment horizontal="center" vertical="center"/>
      <protection/>
    </xf>
    <xf numFmtId="0" fontId="13" fillId="33" borderId="35" xfId="54" applyFont="1" applyFill="1" applyBorder="1" applyAlignment="1">
      <alignment horizontal="center" vertical="center" wrapText="1" shrinkToFit="1"/>
      <protection/>
    </xf>
    <xf numFmtId="0" fontId="13" fillId="33" borderId="32" xfId="54" applyFont="1" applyFill="1" applyBorder="1" applyAlignment="1">
      <alignment horizontal="center" vertical="center" wrapText="1" shrinkToFit="1"/>
      <protection/>
    </xf>
    <xf numFmtId="0" fontId="13" fillId="33" borderId="53" xfId="66" applyFont="1" applyFill="1" applyBorder="1" applyAlignment="1" applyProtection="1">
      <alignment horizontal="center" vertical="center" wrapText="1"/>
      <protection locked="0"/>
    </xf>
    <xf numFmtId="0" fontId="13" fillId="33" borderId="36" xfId="65" applyFont="1" applyFill="1" applyBorder="1" applyAlignment="1">
      <alignment horizontal="center" vertical="center"/>
      <protection/>
    </xf>
    <xf numFmtId="1" fontId="13" fillId="33" borderId="14" xfId="65" applyNumberFormat="1" applyFont="1" applyFill="1" applyBorder="1" applyAlignment="1">
      <alignment horizontal="center" vertical="center"/>
      <protection/>
    </xf>
    <xf numFmtId="180" fontId="13" fillId="33" borderId="36" xfId="65" applyNumberFormat="1" applyFont="1" applyFill="1" applyBorder="1" applyAlignment="1">
      <alignment horizontal="center" vertical="center"/>
      <protection/>
    </xf>
    <xf numFmtId="168" fontId="13" fillId="33" borderId="14" xfId="65" applyNumberFormat="1" applyFont="1" applyFill="1" applyBorder="1" applyAlignment="1">
      <alignment horizontal="center" vertical="center"/>
      <protection/>
    </xf>
    <xf numFmtId="168" fontId="13" fillId="33" borderId="36" xfId="65" applyNumberFormat="1" applyFont="1" applyFill="1" applyBorder="1" applyAlignment="1">
      <alignment horizontal="center" vertical="center"/>
      <protection/>
    </xf>
    <xf numFmtId="168" fontId="13" fillId="33" borderId="14" xfId="65" applyNumberFormat="1" applyFont="1" applyFill="1" applyBorder="1" applyAlignment="1">
      <alignment horizontal="center" vertical="center" wrapText="1"/>
      <protection/>
    </xf>
    <xf numFmtId="168" fontId="13" fillId="33" borderId="36" xfId="65" applyNumberFormat="1" applyFont="1" applyFill="1" applyBorder="1" applyAlignment="1">
      <alignment horizontal="center" vertical="center" wrapText="1"/>
      <protection/>
    </xf>
    <xf numFmtId="1" fontId="13" fillId="33" borderId="16" xfId="65" applyNumberFormat="1" applyFont="1" applyFill="1" applyBorder="1" applyAlignment="1">
      <alignment horizontal="center" vertical="center"/>
      <protection/>
    </xf>
    <xf numFmtId="2" fontId="13" fillId="33" borderId="36" xfId="65" applyNumberFormat="1" applyFont="1" applyFill="1" applyBorder="1" applyAlignment="1">
      <alignment horizontal="center" vertical="center"/>
      <protection/>
    </xf>
    <xf numFmtId="182" fontId="13" fillId="33" borderId="15" xfId="65" applyNumberFormat="1" applyFont="1" applyFill="1" applyBorder="1" applyAlignment="1">
      <alignment horizontal="center" vertical="center"/>
      <protection/>
    </xf>
    <xf numFmtId="2" fontId="13" fillId="33" borderId="54" xfId="65" applyNumberFormat="1" applyFont="1" applyFill="1" applyBorder="1" applyAlignment="1">
      <alignment horizontal="center" vertical="center"/>
      <protection/>
    </xf>
    <xf numFmtId="3" fontId="21" fillId="33" borderId="17" xfId="64" applyNumberFormat="1" applyFont="1" applyFill="1" applyBorder="1" applyAlignment="1">
      <alignment horizontal="center" vertical="center"/>
      <protection/>
    </xf>
    <xf numFmtId="0" fontId="13" fillId="33" borderId="0" xfId="63" applyFont="1" applyFill="1" applyBorder="1" applyAlignment="1">
      <alignment horizontal="center"/>
      <protection/>
    </xf>
    <xf numFmtId="183" fontId="13" fillId="33" borderId="0" xfId="63" applyNumberFormat="1" applyFont="1" applyFill="1" applyBorder="1" applyAlignment="1">
      <alignment horizontal="center"/>
      <protection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3" borderId="49" xfId="57" applyFont="1" applyFill="1" applyBorder="1" applyAlignment="1">
      <alignment horizontal="center" vertical="center" wrapText="1" shrinkToFit="1"/>
      <protection/>
    </xf>
    <xf numFmtId="0" fontId="2" fillId="33" borderId="53" xfId="57" applyFont="1" applyFill="1" applyBorder="1" applyAlignment="1">
      <alignment horizontal="center" vertical="center" wrapText="1" shrinkToFi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35" xfId="57" applyFont="1" applyFill="1" applyBorder="1" applyAlignment="1">
      <alignment horizontal="center" vertical="center" wrapText="1" shrinkToFit="1"/>
      <protection/>
    </xf>
    <xf numFmtId="0" fontId="30" fillId="33" borderId="0" xfId="57" applyFont="1" applyFill="1" applyAlignment="1">
      <alignment horizontal="left" vertical="center" wrapText="1" shrinkToFit="1"/>
      <protection/>
    </xf>
    <xf numFmtId="0" fontId="3" fillId="33" borderId="0" xfId="57" applyFont="1" applyFill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14" fillId="33" borderId="55" xfId="57" applyFont="1" applyFill="1" applyBorder="1" applyAlignment="1">
      <alignment horizontal="center" vertical="center" wrapText="1"/>
      <protection/>
    </xf>
    <xf numFmtId="0" fontId="9" fillId="33" borderId="0" xfId="57" applyFont="1" applyFill="1" applyAlignment="1">
      <alignment horizontal="center" vertical="center"/>
      <protection/>
    </xf>
    <xf numFmtId="0" fontId="11" fillId="33" borderId="0" xfId="0" applyFont="1" applyFill="1" applyAlignment="1">
      <alignment horizontal="left" vertical="center" wrapText="1"/>
    </xf>
    <xf numFmtId="0" fontId="2" fillId="33" borderId="56" xfId="57" applyFont="1" applyFill="1" applyBorder="1" applyAlignment="1">
      <alignment horizontal="center" vertical="center" wrapText="1" shrinkToFit="1"/>
      <protection/>
    </xf>
    <xf numFmtId="0" fontId="2" fillId="33" borderId="28" xfId="57" applyFont="1" applyFill="1" applyBorder="1" applyAlignment="1">
      <alignment horizontal="center" vertical="center" wrapText="1" shrinkToFit="1"/>
      <protection/>
    </xf>
    <xf numFmtId="0" fontId="2" fillId="33" borderId="57" xfId="59" applyFont="1" applyFill="1" applyBorder="1" applyAlignment="1">
      <alignment horizontal="center" vertical="center"/>
      <protection/>
    </xf>
    <xf numFmtId="0" fontId="2" fillId="33" borderId="12" xfId="59" applyFont="1" applyFill="1" applyBorder="1" applyAlignment="1">
      <alignment horizontal="center" vertical="center"/>
      <protection/>
    </xf>
    <xf numFmtId="0" fontId="2" fillId="33" borderId="58" xfId="59" applyFont="1" applyFill="1" applyBorder="1" applyAlignment="1">
      <alignment horizontal="center" vertical="center" wrapText="1"/>
      <protection/>
    </xf>
    <xf numFmtId="0" fontId="2" fillId="33" borderId="51" xfId="59" applyFont="1" applyFill="1" applyBorder="1" applyAlignment="1">
      <alignment horizontal="center" vertical="center" wrapText="1"/>
      <protection/>
    </xf>
    <xf numFmtId="0" fontId="11" fillId="33" borderId="0" xfId="57" applyFont="1" applyFill="1" applyAlignment="1">
      <alignment horizontal="center" vertical="center"/>
      <protection/>
    </xf>
    <xf numFmtId="0" fontId="2" fillId="33" borderId="59" xfId="57" applyFont="1" applyFill="1" applyBorder="1" applyAlignment="1">
      <alignment horizontal="center" vertical="center" wrapText="1" shrinkToFit="1"/>
      <protection/>
    </xf>
    <xf numFmtId="0" fontId="2" fillId="33" borderId="21" xfId="57" applyFont="1" applyFill="1" applyBorder="1" applyAlignment="1">
      <alignment horizontal="center" vertical="center" wrapText="1" shrinkToFit="1"/>
      <protection/>
    </xf>
    <xf numFmtId="0" fontId="2" fillId="33" borderId="60" xfId="57" applyFont="1" applyFill="1" applyBorder="1" applyAlignment="1">
      <alignment horizontal="center" vertical="center" wrapText="1" shrinkToFit="1"/>
      <protection/>
    </xf>
    <xf numFmtId="0" fontId="2" fillId="33" borderId="45" xfId="57" applyFont="1" applyFill="1" applyBorder="1" applyAlignment="1">
      <alignment horizontal="center" vertical="center" wrapText="1" shrinkToFit="1"/>
      <protection/>
    </xf>
    <xf numFmtId="0" fontId="11" fillId="33" borderId="0" xfId="57" applyFont="1" applyFill="1" applyAlignment="1">
      <alignment horizontal="center"/>
      <protection/>
    </xf>
    <xf numFmtId="0" fontId="2" fillId="33" borderId="0" xfId="57" applyFont="1" applyFill="1" applyAlignment="1">
      <alignment horizontal="center"/>
      <protection/>
    </xf>
    <xf numFmtId="0" fontId="2" fillId="33" borderId="20" xfId="57" applyFont="1" applyFill="1" applyBorder="1" applyAlignment="1">
      <alignment horizontal="center" vertical="center" wrapText="1" shrinkToFit="1"/>
      <protection/>
    </xf>
    <xf numFmtId="0" fontId="14" fillId="33" borderId="0" xfId="0" applyFont="1" applyFill="1" applyAlignment="1">
      <alignment horizontal="left" vertical="center" wrapText="1"/>
    </xf>
    <xf numFmtId="0" fontId="11" fillId="33" borderId="32" xfId="57" applyFont="1" applyFill="1" applyBorder="1" applyAlignment="1">
      <alignment horizontal="center" vertical="center" wrapText="1" shrinkToFit="1"/>
      <protection/>
    </xf>
    <xf numFmtId="0" fontId="11" fillId="33" borderId="14" xfId="57" applyFont="1" applyFill="1" applyBorder="1" applyAlignment="1">
      <alignment horizontal="center" vertical="center" wrapText="1" shrinkToFit="1"/>
      <protection/>
    </xf>
    <xf numFmtId="0" fontId="2" fillId="33" borderId="20" xfId="59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>
      <alignment horizontal="center" vertical="center" wrapText="1" shrinkToFit="1"/>
      <protection/>
    </xf>
    <xf numFmtId="0" fontId="2" fillId="33" borderId="20" xfId="59" applyFont="1" applyFill="1" applyBorder="1" applyAlignment="1">
      <alignment horizontal="center" vertical="center" wrapText="1"/>
      <protection/>
    </xf>
    <xf numFmtId="0" fontId="2" fillId="33" borderId="24" xfId="57" applyFont="1" applyFill="1" applyBorder="1" applyAlignment="1">
      <alignment horizontal="center" vertical="center" wrapText="1" shrinkToFit="1"/>
      <protection/>
    </xf>
    <xf numFmtId="0" fontId="2" fillId="33" borderId="32" xfId="57" applyFont="1" applyFill="1" applyBorder="1" applyAlignment="1">
      <alignment horizontal="center" vertical="center" wrapText="1" shrinkToFit="1"/>
      <protection/>
    </xf>
    <xf numFmtId="0" fontId="2" fillId="33" borderId="14" xfId="57" applyFont="1" applyFill="1" applyBorder="1" applyAlignment="1">
      <alignment horizontal="center" vertical="center" wrapText="1" shrinkToFit="1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0" fontId="2" fillId="33" borderId="12" xfId="59" applyFont="1" applyFill="1" applyBorder="1" applyAlignment="1">
      <alignment horizontal="center" vertical="center" wrapText="1"/>
      <protection/>
    </xf>
    <xf numFmtId="0" fontId="2" fillId="33" borderId="16" xfId="57" applyFont="1" applyFill="1" applyBorder="1" applyAlignment="1">
      <alignment horizontal="center" vertical="center" wrapText="1" shrinkToFit="1"/>
      <protection/>
    </xf>
    <xf numFmtId="0" fontId="2" fillId="33" borderId="10" xfId="57" applyFont="1" applyFill="1" applyBorder="1" applyAlignment="1">
      <alignment horizontal="center" vertical="center"/>
      <protection/>
    </xf>
    <xf numFmtId="0" fontId="3" fillId="33" borderId="0" xfId="57" applyFont="1" applyFill="1" applyAlignment="1">
      <alignment horizontal="left" vertical="center" wrapText="1"/>
      <protection/>
    </xf>
    <xf numFmtId="0" fontId="0" fillId="33" borderId="61" xfId="55" applyFont="1" applyFill="1" applyBorder="1" applyAlignment="1" applyProtection="1">
      <alignment horizontal="center" vertical="center" wrapText="1" shrinkToFit="1"/>
      <protection locked="0"/>
    </xf>
    <xf numFmtId="0" fontId="0" fillId="33" borderId="62" xfId="55" applyFont="1" applyFill="1" applyBorder="1" applyAlignment="1" applyProtection="1">
      <alignment horizontal="center" vertical="center" wrapText="1" shrinkToFit="1"/>
      <protection locked="0"/>
    </xf>
    <xf numFmtId="0" fontId="0" fillId="33" borderId="63" xfId="55" applyFont="1" applyFill="1" applyBorder="1" applyAlignment="1" applyProtection="1">
      <alignment horizontal="center" vertical="center" wrapText="1" shrinkToFit="1"/>
      <protection locked="0"/>
    </xf>
    <xf numFmtId="0" fontId="27" fillId="33" borderId="0" xfId="55" applyFont="1" applyFill="1" applyAlignment="1">
      <alignment horizontal="right" vertical="center"/>
      <protection/>
    </xf>
    <xf numFmtId="0" fontId="26" fillId="33" borderId="0" xfId="55" applyFont="1" applyFill="1" applyAlignment="1">
      <alignment horizontal="left" vertical="center" wrapText="1"/>
      <protection/>
    </xf>
    <xf numFmtId="0" fontId="0" fillId="33" borderId="64" xfId="55" applyFont="1" applyFill="1" applyBorder="1" applyAlignment="1">
      <alignment horizontal="center" vertical="center" wrapText="1" shrinkToFit="1"/>
      <protection/>
    </xf>
    <xf numFmtId="0" fontId="0" fillId="33" borderId="65" xfId="55" applyFont="1" applyFill="1" applyBorder="1" applyAlignment="1">
      <alignment horizontal="center" vertical="center" wrapText="1" shrinkToFit="1"/>
      <protection/>
    </xf>
    <xf numFmtId="0" fontId="0" fillId="33" borderId="0" xfId="55" applyFont="1" applyFill="1" applyBorder="1" applyAlignment="1">
      <alignment horizontal="center" vertical="center" wrapText="1" shrinkToFit="1"/>
      <protection/>
    </xf>
    <xf numFmtId="0" fontId="0" fillId="33" borderId="52" xfId="55" applyFont="1" applyFill="1" applyBorder="1" applyAlignment="1">
      <alignment horizontal="center" vertical="center" wrapText="1" shrinkToFit="1"/>
      <protection/>
    </xf>
    <xf numFmtId="0" fontId="11" fillId="33" borderId="66" xfId="55" applyFont="1" applyFill="1" applyBorder="1" applyAlignment="1">
      <alignment horizontal="center" vertical="center" wrapText="1"/>
      <protection/>
    </xf>
    <xf numFmtId="0" fontId="11" fillId="33" borderId="67" xfId="55" applyFont="1" applyFill="1" applyBorder="1" applyAlignment="1">
      <alignment horizontal="center" vertical="center" wrapText="1"/>
      <protection/>
    </xf>
    <xf numFmtId="0" fontId="0" fillId="33" borderId="66" xfId="55" applyFill="1" applyBorder="1" applyAlignment="1">
      <alignment horizontal="center" vertical="center" wrapText="1"/>
      <protection/>
    </xf>
    <xf numFmtId="0" fontId="0" fillId="33" borderId="67" xfId="55" applyFill="1" applyBorder="1" applyAlignment="1">
      <alignment horizontal="center" vertical="center" wrapText="1"/>
      <protection/>
    </xf>
    <xf numFmtId="0" fontId="0" fillId="33" borderId="68" xfId="55" applyFont="1" applyFill="1" applyBorder="1" applyAlignment="1">
      <alignment horizontal="center" vertical="center" wrapText="1" shrinkToFit="1"/>
      <protection/>
    </xf>
    <xf numFmtId="0" fontId="0" fillId="33" borderId="69" xfId="55" applyFont="1" applyFill="1" applyBorder="1" applyAlignment="1">
      <alignment horizontal="center" vertical="center" wrapText="1" shrinkToFit="1"/>
      <protection/>
    </xf>
    <xf numFmtId="0" fontId="2" fillId="33" borderId="70" xfId="57" applyFont="1" applyFill="1" applyBorder="1" applyAlignment="1">
      <alignment horizontal="center" vertical="center" wrapText="1" shrinkToFit="1"/>
      <protection/>
    </xf>
    <xf numFmtId="0" fontId="2" fillId="33" borderId="71" xfId="57" applyFont="1" applyFill="1" applyBorder="1" applyAlignment="1">
      <alignment horizontal="center" vertical="center" wrapText="1" shrinkToFit="1"/>
      <protection/>
    </xf>
    <xf numFmtId="0" fontId="11" fillId="33" borderId="0" xfId="55" applyFont="1" applyFill="1" applyAlignment="1">
      <alignment horizontal="center" vertical="center" wrapText="1"/>
      <protection/>
    </xf>
    <xf numFmtId="0" fontId="0" fillId="33" borderId="0" xfId="55" applyFill="1" applyAlignment="1">
      <alignment horizontal="center" vertical="center" wrapText="1"/>
      <protection/>
    </xf>
    <xf numFmtId="0" fontId="0" fillId="33" borderId="0" xfId="55" applyFont="1" applyFill="1" applyAlignment="1">
      <alignment horizontal="center" vertical="center" wrapText="1"/>
      <protection/>
    </xf>
    <xf numFmtId="0" fontId="0" fillId="33" borderId="72" xfId="55" applyFont="1" applyFill="1" applyBorder="1" applyAlignment="1">
      <alignment horizontal="center" vertical="center"/>
      <protection/>
    </xf>
    <xf numFmtId="0" fontId="0" fillId="33" borderId="73" xfId="55" applyFont="1" applyFill="1" applyBorder="1" applyAlignment="1">
      <alignment horizontal="center" vertical="center"/>
      <protection/>
    </xf>
    <xf numFmtId="0" fontId="0" fillId="33" borderId="74" xfId="55" applyFont="1" applyFill="1" applyBorder="1" applyAlignment="1">
      <alignment horizontal="center" vertical="center"/>
      <protection/>
    </xf>
    <xf numFmtId="0" fontId="0" fillId="33" borderId="72" xfId="55" applyFont="1" applyFill="1" applyBorder="1" applyAlignment="1">
      <alignment horizontal="center" vertical="center" wrapText="1" shrinkToFit="1"/>
      <protection/>
    </xf>
    <xf numFmtId="0" fontId="0" fillId="33" borderId="73" xfId="55" applyFont="1" applyFill="1" applyBorder="1" applyAlignment="1">
      <alignment horizontal="center" vertical="center" wrapText="1" shrinkToFit="1"/>
      <protection/>
    </xf>
    <xf numFmtId="0" fontId="0" fillId="33" borderId="74" xfId="55" applyFont="1" applyFill="1" applyBorder="1" applyAlignment="1">
      <alignment horizontal="center" vertical="center" wrapText="1" shrinkToFit="1"/>
      <protection/>
    </xf>
    <xf numFmtId="0" fontId="0" fillId="33" borderId="0" xfId="55" applyFont="1" applyFill="1">
      <alignment/>
      <protection/>
    </xf>
    <xf numFmtId="0" fontId="0" fillId="33" borderId="0" xfId="55" applyFill="1">
      <alignment/>
      <protection/>
    </xf>
    <xf numFmtId="0" fontId="0" fillId="33" borderId="0" xfId="0" applyFill="1" applyAlignment="1">
      <alignment horizontal="center" vertical="center" wrapText="1"/>
    </xf>
    <xf numFmtId="0" fontId="23" fillId="33" borderId="0" xfId="60" applyNumberFormat="1" applyFont="1" applyFill="1" applyBorder="1" applyAlignment="1" applyProtection="1">
      <alignment horizontal="center" vertical="top" wrapText="1"/>
      <protection/>
    </xf>
    <xf numFmtId="0" fontId="0" fillId="33" borderId="75" xfId="55" applyFont="1" applyFill="1" applyBorder="1" applyAlignment="1">
      <alignment horizontal="center" vertical="center" wrapText="1" shrinkToFit="1"/>
      <protection/>
    </xf>
    <xf numFmtId="0" fontId="0" fillId="33" borderId="55" xfId="55" applyFont="1" applyFill="1" applyBorder="1" applyAlignment="1">
      <alignment horizontal="center" vertical="center" wrapText="1" shrinkToFit="1"/>
      <protection/>
    </xf>
    <xf numFmtId="0" fontId="0" fillId="33" borderId="76" xfId="55" applyFont="1" applyFill="1" applyBorder="1" applyAlignment="1">
      <alignment horizontal="center" vertical="center" wrapText="1" shrinkToFit="1"/>
      <protection/>
    </xf>
    <xf numFmtId="0" fontId="11" fillId="33" borderId="0" xfId="0" applyFont="1" applyFill="1" applyAlignment="1">
      <alignment horizontal="center" vertical="center" wrapText="1"/>
    </xf>
    <xf numFmtId="0" fontId="2" fillId="33" borderId="56" xfId="55" applyNumberFormat="1" applyFont="1" applyFill="1" applyBorder="1" applyAlignment="1" applyProtection="1">
      <alignment horizontal="center" vertical="center"/>
      <protection/>
    </xf>
    <xf numFmtId="0" fontId="2" fillId="33" borderId="77" xfId="55" applyNumberFormat="1" applyFont="1" applyFill="1" applyBorder="1" applyAlignment="1" applyProtection="1">
      <alignment horizontal="center" vertical="center"/>
      <protection/>
    </xf>
    <xf numFmtId="0" fontId="2" fillId="33" borderId="28" xfId="55" applyNumberFormat="1" applyFont="1" applyFill="1" applyBorder="1" applyAlignment="1" applyProtection="1">
      <alignment horizontal="center" vertical="center"/>
      <protection/>
    </xf>
    <xf numFmtId="0" fontId="2" fillId="33" borderId="65" xfId="55" applyNumberFormat="1" applyFont="1" applyFill="1" applyBorder="1" applyAlignment="1" applyProtection="1">
      <alignment horizontal="center" vertical="center" wrapText="1"/>
      <protection/>
    </xf>
    <xf numFmtId="0" fontId="2" fillId="33" borderId="52" xfId="55" applyNumberFormat="1" applyFont="1" applyFill="1" applyBorder="1" applyAlignment="1" applyProtection="1">
      <alignment horizontal="center" vertical="center" wrapText="1"/>
      <protection/>
    </xf>
    <xf numFmtId="0" fontId="2" fillId="33" borderId="78" xfId="55" applyNumberFormat="1" applyFont="1" applyFill="1" applyBorder="1" applyAlignment="1" applyProtection="1">
      <alignment horizontal="center" vertical="center" wrapText="1"/>
      <protection/>
    </xf>
    <xf numFmtId="0" fontId="9" fillId="33" borderId="0" xfId="60" applyNumberFormat="1" applyFont="1" applyFill="1" applyBorder="1" applyAlignment="1" applyProtection="1">
      <alignment horizontal="right" vertical="center" wrapText="1" shrinkToFit="1"/>
      <protection/>
    </xf>
    <xf numFmtId="0" fontId="0" fillId="33" borderId="73" xfId="55" applyFill="1" applyBorder="1" applyAlignment="1">
      <alignment horizontal="center" vertical="center"/>
      <protection/>
    </xf>
    <xf numFmtId="0" fontId="0" fillId="33" borderId="74" xfId="55" applyFill="1" applyBorder="1" applyAlignment="1">
      <alignment horizontal="center" vertical="center"/>
      <protection/>
    </xf>
    <xf numFmtId="0" fontId="0" fillId="33" borderId="73" xfId="55" applyFill="1" applyBorder="1" applyAlignment="1">
      <alignment horizontal="center" vertical="center" wrapText="1" shrinkToFit="1"/>
      <protection/>
    </xf>
    <xf numFmtId="0" fontId="0" fillId="33" borderId="74" xfId="55" applyFill="1" applyBorder="1" applyAlignment="1">
      <alignment horizontal="center" vertical="center" wrapText="1" shrinkToFit="1"/>
      <protection/>
    </xf>
    <xf numFmtId="0" fontId="0" fillId="33" borderId="30" xfId="55" applyFont="1" applyFill="1" applyBorder="1" applyAlignment="1">
      <alignment horizontal="center" vertical="center" wrapText="1" shrinkToFit="1"/>
      <protection/>
    </xf>
    <xf numFmtId="0" fontId="0" fillId="33" borderId="79" xfId="55" applyFont="1" applyFill="1" applyBorder="1" applyAlignment="1">
      <alignment horizontal="center" vertical="center" wrapText="1" shrinkToFit="1"/>
      <protection/>
    </xf>
    <xf numFmtId="0" fontId="0" fillId="33" borderId="78" xfId="55" applyFont="1" applyFill="1" applyBorder="1" applyAlignment="1">
      <alignment horizontal="center" vertical="center" wrapText="1" shrinkToFit="1"/>
      <protection/>
    </xf>
    <xf numFmtId="0" fontId="30" fillId="33" borderId="0" xfId="57" applyFont="1" applyFill="1" applyAlignment="1">
      <alignment horizontal="center"/>
      <protection/>
    </xf>
    <xf numFmtId="0" fontId="0" fillId="33" borderId="70" xfId="55" applyFont="1" applyFill="1" applyBorder="1" applyAlignment="1">
      <alignment horizontal="center" vertical="center" wrapText="1" shrinkToFit="1"/>
      <protection/>
    </xf>
    <xf numFmtId="0" fontId="0" fillId="33" borderId="71" xfId="0" applyFill="1" applyBorder="1" applyAlignment="1">
      <alignment/>
    </xf>
    <xf numFmtId="0" fontId="0" fillId="33" borderId="53" xfId="0" applyFill="1" applyBorder="1" applyAlignment="1">
      <alignment/>
    </xf>
    <xf numFmtId="0" fontId="2" fillId="33" borderId="66" xfId="55" applyNumberFormat="1" applyFont="1" applyFill="1" applyBorder="1" applyAlignment="1" applyProtection="1">
      <alignment horizontal="center" vertical="center" wrapText="1" shrinkToFit="1"/>
      <protection/>
    </xf>
    <xf numFmtId="0" fontId="2" fillId="33" borderId="67" xfId="55" applyNumberFormat="1" applyFont="1" applyFill="1" applyBorder="1" applyAlignment="1" applyProtection="1">
      <alignment horizontal="center" vertical="center" wrapText="1" shrinkToFit="1"/>
      <protection/>
    </xf>
    <xf numFmtId="0" fontId="2" fillId="33" borderId="80" xfId="55" applyNumberFormat="1" applyFont="1" applyFill="1" applyBorder="1" applyAlignment="1" applyProtection="1">
      <alignment horizontal="center" vertical="center" wrapText="1" shrinkToFit="1"/>
      <protection/>
    </xf>
    <xf numFmtId="0" fontId="2" fillId="33" borderId="66" xfId="55" applyNumberFormat="1" applyFont="1" applyFill="1" applyBorder="1" applyAlignment="1" applyProtection="1">
      <alignment horizontal="center" vertical="center" wrapText="1"/>
      <protection/>
    </xf>
    <xf numFmtId="0" fontId="2" fillId="33" borderId="67" xfId="55" applyNumberFormat="1" applyFont="1" applyFill="1" applyBorder="1" applyAlignment="1" applyProtection="1">
      <alignment horizontal="center" vertical="center" wrapText="1"/>
      <protection/>
    </xf>
    <xf numFmtId="0" fontId="2" fillId="33" borderId="80" xfId="55" applyNumberFormat="1" applyFont="1" applyFill="1" applyBorder="1" applyAlignment="1" applyProtection="1">
      <alignment horizontal="center" vertical="center" wrapText="1"/>
      <protection/>
    </xf>
    <xf numFmtId="0" fontId="9" fillId="33" borderId="0" xfId="60" applyNumberFormat="1" applyFont="1" applyFill="1" applyBorder="1" applyAlignment="1" applyProtection="1">
      <alignment horizontal="right" vertical="top"/>
      <protection/>
    </xf>
    <xf numFmtId="0" fontId="23" fillId="33" borderId="0" xfId="60" applyNumberFormat="1" applyFont="1" applyFill="1" applyBorder="1" applyAlignment="1" applyProtection="1">
      <alignment horizontal="left" vertical="center" wrapText="1"/>
      <protection/>
    </xf>
    <xf numFmtId="0" fontId="9" fillId="33" borderId="0" xfId="55" applyNumberFormat="1" applyFont="1" applyFill="1" applyBorder="1" applyAlignment="1" applyProtection="1">
      <alignment horizontal="right" vertical="top"/>
      <protection/>
    </xf>
    <xf numFmtId="0" fontId="30" fillId="33" borderId="0" xfId="0" applyFont="1" applyFill="1" applyAlignment="1">
      <alignment horizontal="center" vertical="center" shrinkToFit="1"/>
    </xf>
    <xf numFmtId="0" fontId="10" fillId="33" borderId="42" xfId="0" applyFont="1" applyFill="1" applyBorder="1" applyAlignment="1">
      <alignment horizontal="center" vertical="center" wrapText="1" shrinkToFit="1"/>
    </xf>
    <xf numFmtId="0" fontId="10" fillId="33" borderId="43" xfId="0" applyFont="1" applyFill="1" applyBorder="1" applyAlignment="1">
      <alignment horizontal="center" vertical="center" wrapText="1" shrinkToFit="1"/>
    </xf>
    <xf numFmtId="0" fontId="10" fillId="33" borderId="44" xfId="0" applyFont="1" applyFill="1" applyBorder="1" applyAlignment="1">
      <alignment horizontal="center" vertical="center" wrapText="1" shrinkToFit="1"/>
    </xf>
    <xf numFmtId="0" fontId="10" fillId="33" borderId="72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right"/>
    </xf>
    <xf numFmtId="183" fontId="13" fillId="33" borderId="0" xfId="63" applyNumberFormat="1" applyFont="1" applyFill="1" applyBorder="1" applyAlignment="1">
      <alignment horizontal="center"/>
      <protection/>
    </xf>
    <xf numFmtId="0" fontId="0" fillId="33" borderId="20" xfId="62" applyFont="1" applyFill="1" applyBorder="1" applyAlignment="1">
      <alignment horizontal="center" vertical="center" wrapText="1"/>
      <protection/>
    </xf>
    <xf numFmtId="0" fontId="0" fillId="33" borderId="10" xfId="62" applyFont="1" applyFill="1" applyBorder="1" applyAlignment="1">
      <alignment horizontal="center" vertical="center" wrapText="1"/>
      <protection/>
    </xf>
    <xf numFmtId="0" fontId="0" fillId="33" borderId="49" xfId="62" applyFont="1" applyFill="1" applyBorder="1" applyAlignment="1">
      <alignment horizontal="center" vertical="center" wrapText="1"/>
      <protection/>
    </xf>
    <xf numFmtId="0" fontId="0" fillId="33" borderId="29" xfId="62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/>
    </xf>
    <xf numFmtId="0" fontId="0" fillId="33" borderId="32" xfId="62" applyFont="1" applyFill="1" applyBorder="1" applyAlignment="1">
      <alignment horizontal="center" vertical="center" wrapText="1"/>
      <protection/>
    </xf>
    <xf numFmtId="0" fontId="0" fillId="33" borderId="14" xfId="62" applyFont="1" applyFill="1" applyBorder="1" applyAlignment="1">
      <alignment horizontal="center" vertical="center" wrapText="1"/>
      <protection/>
    </xf>
    <xf numFmtId="0" fontId="0" fillId="33" borderId="19" xfId="62" applyFont="1" applyFill="1" applyBorder="1" applyAlignment="1">
      <alignment horizontal="center" vertical="center" wrapText="1"/>
      <protection/>
    </xf>
    <xf numFmtId="0" fontId="13" fillId="33" borderId="0" xfId="63" applyFont="1" applyFill="1" applyAlignment="1">
      <alignment horizontal="center"/>
      <protection/>
    </xf>
    <xf numFmtId="0" fontId="13" fillId="33" borderId="0" xfId="63" applyFont="1" applyFill="1" applyBorder="1" applyAlignment="1">
      <alignment/>
      <protection/>
    </xf>
    <xf numFmtId="0" fontId="0" fillId="33" borderId="0" xfId="0" applyFill="1" applyBorder="1" applyAlignment="1">
      <alignment/>
    </xf>
    <xf numFmtId="184" fontId="13" fillId="33" borderId="0" xfId="63" applyNumberFormat="1" applyFont="1" applyFill="1" applyBorder="1" applyAlignment="1">
      <alignment horizontal="center"/>
      <protection/>
    </xf>
    <xf numFmtId="0" fontId="13" fillId="33" borderId="0" xfId="63" applyFont="1" applyFill="1" applyBorder="1" applyAlignment="1">
      <alignment horizontal="center"/>
      <protection/>
    </xf>
    <xf numFmtId="0" fontId="34" fillId="33" borderId="0" xfId="57" applyFont="1" applyFill="1" applyAlignment="1">
      <alignment horizontal="left"/>
      <protection/>
    </xf>
    <xf numFmtId="0" fontId="23" fillId="33" borderId="0" xfId="63" applyFont="1" applyFill="1" applyAlignment="1">
      <alignment horizontal="center" wrapText="1"/>
      <protection/>
    </xf>
    <xf numFmtId="0" fontId="13" fillId="33" borderId="32" xfId="63" applyFont="1" applyFill="1" applyBorder="1" applyAlignment="1">
      <alignment horizontal="center" vertical="center"/>
      <protection/>
    </xf>
    <xf numFmtId="0" fontId="13" fillId="33" borderId="14" xfId="63" applyFont="1" applyFill="1" applyBorder="1" applyAlignment="1">
      <alignment horizontal="center" vertical="center"/>
      <protection/>
    </xf>
    <xf numFmtId="0" fontId="13" fillId="33" borderId="20" xfId="63" applyFont="1" applyFill="1" applyBorder="1" applyAlignment="1">
      <alignment horizontal="center" vertical="center"/>
      <protection/>
    </xf>
    <xf numFmtId="0" fontId="13" fillId="33" borderId="10" xfId="63" applyFont="1" applyFill="1" applyBorder="1" applyAlignment="1">
      <alignment horizontal="center" vertical="center"/>
      <protection/>
    </xf>
    <xf numFmtId="0" fontId="11" fillId="33" borderId="0" xfId="58" applyFont="1" applyFill="1" applyAlignment="1">
      <alignment horizontal="center"/>
      <protection/>
    </xf>
    <xf numFmtId="0" fontId="11" fillId="33" borderId="0" xfId="0" applyFont="1" applyFill="1" applyBorder="1" applyAlignment="1">
      <alignment horizontal="center" vertical="center"/>
    </xf>
    <xf numFmtId="0" fontId="40" fillId="33" borderId="0" xfId="57" applyFont="1" applyFill="1" applyAlignment="1">
      <alignment horizontal="left"/>
      <protection/>
    </xf>
    <xf numFmtId="0" fontId="23" fillId="33" borderId="0" xfId="63" applyFont="1" applyFill="1" applyAlignment="1">
      <alignment horizontal="left" wrapText="1"/>
      <protection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3" fillId="33" borderId="56" xfId="63" applyFont="1" applyFill="1" applyBorder="1" applyAlignment="1">
      <alignment horizontal="center" vertical="center"/>
      <protection/>
    </xf>
    <xf numFmtId="0" fontId="13" fillId="33" borderId="28" xfId="63" applyFont="1" applyFill="1" applyBorder="1" applyAlignment="1">
      <alignment horizontal="center" vertical="center"/>
      <protection/>
    </xf>
    <xf numFmtId="0" fontId="13" fillId="33" borderId="57" xfId="63" applyFont="1" applyFill="1" applyBorder="1" applyAlignment="1">
      <alignment horizontal="center" vertical="center"/>
      <protection/>
    </xf>
    <xf numFmtId="0" fontId="13" fillId="33" borderId="12" xfId="63" applyFont="1" applyFill="1" applyBorder="1" applyAlignment="1">
      <alignment horizontal="center" vertical="center"/>
      <protection/>
    </xf>
    <xf numFmtId="0" fontId="0" fillId="33" borderId="57" xfId="62" applyFont="1" applyFill="1" applyBorder="1" applyAlignment="1">
      <alignment horizontal="center" vertical="center" wrapText="1"/>
      <protection/>
    </xf>
    <xf numFmtId="0" fontId="0" fillId="33" borderId="12" xfId="62" applyFont="1" applyFill="1" applyBorder="1" applyAlignment="1">
      <alignment horizontal="center" vertical="center" wrapText="1"/>
      <protection/>
    </xf>
    <xf numFmtId="0" fontId="0" fillId="33" borderId="16" xfId="62" applyFont="1" applyFill="1" applyBorder="1" applyAlignment="1">
      <alignment horizontal="center" vertical="center" wrapText="1"/>
      <protection/>
    </xf>
    <xf numFmtId="0" fontId="0" fillId="33" borderId="49" xfId="62" applyFont="1" applyFill="1" applyBorder="1" applyAlignment="1">
      <alignment horizontal="center" vertical="center"/>
      <protection/>
    </xf>
    <xf numFmtId="0" fontId="0" fillId="33" borderId="53" xfId="62" applyFill="1" applyBorder="1" applyAlignment="1">
      <alignment horizontal="center" vertical="center"/>
      <protection/>
    </xf>
    <xf numFmtId="0" fontId="11" fillId="33" borderId="0" xfId="0" applyFont="1" applyFill="1" applyAlignment="1">
      <alignment horizontal="center"/>
    </xf>
    <xf numFmtId="0" fontId="2" fillId="33" borderId="0" xfId="66" applyFont="1" applyFill="1" applyAlignment="1">
      <alignment horizontal="right"/>
      <protection/>
    </xf>
    <xf numFmtId="2" fontId="14" fillId="33" borderId="0" xfId="0" applyNumberFormat="1" applyFont="1" applyFill="1" applyBorder="1" applyAlignment="1">
      <alignment horizontal="center" wrapText="1"/>
    </xf>
    <xf numFmtId="0" fontId="0" fillId="33" borderId="0" xfId="62" applyFont="1" applyFill="1" applyAlignment="1">
      <alignment horizontal="right"/>
      <protection/>
    </xf>
    <xf numFmtId="0" fontId="0" fillId="33" borderId="0" xfId="62" applyFill="1" applyAlignment="1">
      <alignment horizontal="right"/>
      <protection/>
    </xf>
    <xf numFmtId="0" fontId="8" fillId="33" borderId="56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33" borderId="81" xfId="62" applyFont="1" applyFill="1" applyBorder="1" applyAlignment="1">
      <alignment horizontal="center" vertical="center" wrapText="1"/>
      <protection/>
    </xf>
    <xf numFmtId="0" fontId="13" fillId="33" borderId="0" xfId="63" applyFont="1" applyFill="1" applyAlignment="1">
      <alignment horizontal="right" vertical="center"/>
      <protection/>
    </xf>
    <xf numFmtId="0" fontId="0" fillId="33" borderId="60" xfId="62" applyFont="1" applyFill="1" applyBorder="1" applyAlignment="1">
      <alignment horizontal="center" vertical="center" wrapText="1"/>
      <protection/>
    </xf>
    <xf numFmtId="0" fontId="0" fillId="33" borderId="82" xfId="62" applyFont="1" applyFill="1" applyBorder="1" applyAlignment="1">
      <alignment horizontal="center" vertical="center" wrapText="1"/>
      <protection/>
    </xf>
    <xf numFmtId="0" fontId="0" fillId="33" borderId="20" xfId="62" applyFont="1" applyFill="1" applyBorder="1" applyAlignment="1">
      <alignment horizontal="center" vertical="center"/>
      <protection/>
    </xf>
    <xf numFmtId="0" fontId="0" fillId="33" borderId="20" xfId="62" applyFill="1" applyBorder="1" applyAlignment="1">
      <alignment horizontal="center" vertical="center"/>
      <protection/>
    </xf>
    <xf numFmtId="0" fontId="11" fillId="33" borderId="0" xfId="58" applyFont="1" applyFill="1" applyAlignment="1">
      <alignment horizontal="right"/>
      <protection/>
    </xf>
    <xf numFmtId="0" fontId="20" fillId="33" borderId="0" xfId="63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 horizontal="left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14" fillId="33" borderId="0" xfId="0" applyNumberFormat="1" applyFont="1" applyFill="1" applyBorder="1" applyAlignment="1">
      <alignment horizontal="left" wrapText="1"/>
    </xf>
    <xf numFmtId="0" fontId="0" fillId="33" borderId="11" xfId="62" applyFont="1" applyFill="1" applyBorder="1" applyAlignment="1">
      <alignment horizontal="center" vertical="center" wrapText="1"/>
      <protection/>
    </xf>
    <xf numFmtId="0" fontId="0" fillId="33" borderId="81" xfId="62" applyFill="1" applyBorder="1" applyAlignment="1">
      <alignment horizontal="center" vertical="center" wrapText="1"/>
      <protection/>
    </xf>
    <xf numFmtId="0" fontId="0" fillId="33" borderId="12" xfId="62" applyFill="1" applyBorder="1" applyAlignment="1">
      <alignment horizontal="center" vertical="center" wrapText="1"/>
      <protection/>
    </xf>
    <xf numFmtId="0" fontId="0" fillId="33" borderId="10" xfId="62" applyFont="1" applyFill="1" applyBorder="1" applyAlignment="1">
      <alignment horizontal="center"/>
      <protection/>
    </xf>
    <xf numFmtId="0" fontId="0" fillId="33" borderId="10" xfId="62" applyFill="1" applyBorder="1" applyAlignment="1">
      <alignment horizontal="center"/>
      <protection/>
    </xf>
    <xf numFmtId="0" fontId="0" fillId="33" borderId="10" xfId="62" applyFill="1" applyBorder="1" applyAlignment="1">
      <alignment horizontal="center" vertical="center" wrapText="1"/>
      <protection/>
    </xf>
    <xf numFmtId="0" fontId="0" fillId="33" borderId="0" xfId="62" applyFont="1" applyFill="1" applyAlignment="1">
      <alignment horizontal="center"/>
      <protection/>
    </xf>
    <xf numFmtId="0" fontId="0" fillId="33" borderId="0" xfId="62" applyFill="1" applyAlignment="1">
      <alignment horizontal="center"/>
      <protection/>
    </xf>
    <xf numFmtId="0" fontId="45" fillId="33" borderId="0" xfId="57" applyFont="1" applyFill="1" applyAlignment="1">
      <alignment horizontal="left"/>
      <protection/>
    </xf>
    <xf numFmtId="0" fontId="14" fillId="33" borderId="0" xfId="62" applyFont="1" applyFill="1" applyAlignment="1">
      <alignment horizontal="center"/>
      <protection/>
    </xf>
    <xf numFmtId="0" fontId="0" fillId="33" borderId="11" xfId="62" applyFill="1" applyBorder="1" applyAlignment="1">
      <alignment horizontal="center" vertical="center" wrapText="1"/>
      <protection/>
    </xf>
    <xf numFmtId="0" fontId="0" fillId="33" borderId="11" xfId="62" applyFill="1" applyBorder="1" applyAlignment="1">
      <alignment horizontal="center" vertical="center"/>
      <protection/>
    </xf>
    <xf numFmtId="0" fontId="0" fillId="33" borderId="81" xfId="62" applyFill="1" applyBorder="1" applyAlignment="1">
      <alignment horizontal="center" vertical="center"/>
      <protection/>
    </xf>
    <xf numFmtId="0" fontId="0" fillId="33" borderId="12" xfId="62" applyFill="1" applyBorder="1" applyAlignment="1">
      <alignment horizontal="center" vertical="center"/>
      <protection/>
    </xf>
    <xf numFmtId="0" fontId="40" fillId="0" borderId="0" xfId="57" applyFont="1" applyFill="1" applyAlignment="1">
      <alignment horizontal="left"/>
      <protection/>
    </xf>
    <xf numFmtId="0" fontId="14" fillId="0" borderId="0" xfId="62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62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0" fillId="0" borderId="0" xfId="0" applyAlignment="1">
      <alignment horizontal="center"/>
    </xf>
    <xf numFmtId="0" fontId="0" fillId="33" borderId="10" xfId="62" applyFont="1" applyFill="1" applyBorder="1" applyAlignment="1">
      <alignment horizontal="center" vertical="center"/>
      <protection/>
    </xf>
    <xf numFmtId="0" fontId="0" fillId="33" borderId="59" xfId="62" applyFont="1" applyFill="1" applyBorder="1" applyAlignment="1">
      <alignment horizontal="center" vertical="center" wrapText="1"/>
      <protection/>
    </xf>
    <xf numFmtId="0" fontId="0" fillId="33" borderId="83" xfId="62" applyFont="1" applyFill="1" applyBorder="1" applyAlignment="1">
      <alignment horizontal="center" vertical="center" wrapText="1"/>
      <protection/>
    </xf>
    <xf numFmtId="0" fontId="0" fillId="33" borderId="8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3" fillId="32" borderId="32" xfId="66" applyFont="1" applyFill="1" applyBorder="1" applyAlignment="1">
      <alignment horizontal="center" vertical="center" wrapText="1"/>
      <protection/>
    </xf>
    <xf numFmtId="0" fontId="13" fillId="32" borderId="14" xfId="66" applyFont="1" applyFill="1" applyBorder="1" applyAlignment="1">
      <alignment horizontal="center" vertical="center" wrapText="1"/>
      <protection/>
    </xf>
    <xf numFmtId="0" fontId="20" fillId="32" borderId="20" xfId="66" applyFont="1" applyFill="1" applyBorder="1" applyAlignment="1">
      <alignment horizontal="center" vertical="center" wrapText="1"/>
      <protection/>
    </xf>
    <xf numFmtId="0" fontId="20" fillId="32" borderId="10" xfId="66" applyFont="1" applyFill="1" applyBorder="1" applyAlignment="1">
      <alignment horizontal="center" vertical="center" wrapText="1"/>
      <protection/>
    </xf>
    <xf numFmtId="0" fontId="13" fillId="32" borderId="20" xfId="66" applyFont="1" applyFill="1" applyBorder="1" applyAlignment="1">
      <alignment horizontal="center" vertical="center" wrapText="1"/>
      <protection/>
    </xf>
    <xf numFmtId="0" fontId="13" fillId="32" borderId="10" xfId="66" applyFont="1" applyFill="1" applyBorder="1" applyAlignment="1">
      <alignment horizontal="center" vertical="center" wrapText="1"/>
      <protection/>
    </xf>
    <xf numFmtId="0" fontId="0" fillId="0" borderId="29" xfId="62" applyFont="1" applyBorder="1" applyAlignment="1">
      <alignment horizontal="center" vertical="center"/>
      <protection/>
    </xf>
    <xf numFmtId="0" fontId="0" fillId="0" borderId="24" xfId="62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0" xfId="62" applyBorder="1" applyAlignment="1">
      <alignment horizontal="center" vertical="center" wrapText="1"/>
      <protection/>
    </xf>
    <xf numFmtId="0" fontId="30" fillId="0" borderId="0" xfId="57" applyFont="1" applyAlignment="1">
      <alignment horizontal="left" vertical="center" wrapText="1" shrinkToFit="1"/>
      <protection/>
    </xf>
    <xf numFmtId="0" fontId="13" fillId="0" borderId="0" xfId="63" applyFont="1" applyAlignment="1">
      <alignment horizontal="right"/>
      <protection/>
    </xf>
    <xf numFmtId="0" fontId="9" fillId="0" borderId="0" xfId="57" applyFont="1">
      <alignment/>
      <protection/>
    </xf>
    <xf numFmtId="0" fontId="13" fillId="33" borderId="19" xfId="54" applyFont="1" applyFill="1" applyBorder="1" applyAlignment="1">
      <alignment horizontal="center" vertical="center" wrapText="1" shrinkToFit="1"/>
      <protection/>
    </xf>
    <xf numFmtId="0" fontId="13" fillId="32" borderId="16" xfId="54" applyFont="1" applyFill="1" applyBorder="1" applyAlignment="1">
      <alignment horizontal="center" vertical="center" wrapText="1" shrinkToFit="1"/>
      <protection/>
    </xf>
    <xf numFmtId="0" fontId="13" fillId="32" borderId="14" xfId="66" applyFont="1" applyFill="1" applyBorder="1" applyAlignment="1">
      <alignment horizontal="center" vertical="center"/>
      <protection/>
    </xf>
    <xf numFmtId="0" fontId="40" fillId="0" borderId="0" xfId="66" applyFont="1" applyAlignment="1">
      <alignment horizontal="center" vertical="center"/>
      <protection/>
    </xf>
    <xf numFmtId="0" fontId="9" fillId="33" borderId="0" xfId="57" applyFont="1" applyFill="1">
      <alignment/>
      <protection/>
    </xf>
    <xf numFmtId="0" fontId="3" fillId="33" borderId="0" xfId="64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 vertical="center" wrapText="1"/>
    </xf>
    <xf numFmtId="0" fontId="2" fillId="33" borderId="70" xfId="64" applyFont="1" applyFill="1" applyBorder="1" applyAlignment="1">
      <alignment horizontal="center" vertical="center"/>
      <protection/>
    </xf>
    <xf numFmtId="0" fontId="2" fillId="33" borderId="69" xfId="64" applyFont="1" applyFill="1" applyBorder="1" applyAlignment="1">
      <alignment horizontal="center" vertical="center"/>
      <protection/>
    </xf>
    <xf numFmtId="0" fontId="2" fillId="33" borderId="25" xfId="64" applyFont="1" applyFill="1" applyBorder="1" applyAlignment="1">
      <alignment horizontal="center" vertical="center"/>
      <protection/>
    </xf>
    <xf numFmtId="0" fontId="2" fillId="33" borderId="32" xfId="64" applyFont="1" applyFill="1" applyBorder="1" applyAlignment="1">
      <alignment horizontal="left" vertical="center"/>
      <protection/>
    </xf>
    <xf numFmtId="0" fontId="2" fillId="33" borderId="77" xfId="64" applyFont="1" applyFill="1" applyBorder="1" applyAlignment="1">
      <alignment horizontal="left" vertical="center"/>
      <protection/>
    </xf>
    <xf numFmtId="0" fontId="2" fillId="33" borderId="15" xfId="64" applyFont="1" applyFill="1" applyBorder="1" applyAlignment="1">
      <alignment horizontal="left" vertical="center"/>
      <protection/>
    </xf>
    <xf numFmtId="0" fontId="2" fillId="33" borderId="49" xfId="64" applyFont="1" applyFill="1" applyBorder="1" applyAlignment="1">
      <alignment horizontal="center" vertical="center" wrapText="1"/>
      <protection/>
    </xf>
    <xf numFmtId="0" fontId="2" fillId="33" borderId="84" xfId="64" applyFont="1" applyFill="1" applyBorder="1" applyAlignment="1">
      <alignment horizontal="center" vertical="center" wrapText="1"/>
      <protection/>
    </xf>
    <xf numFmtId="0" fontId="2" fillId="33" borderId="50" xfId="64" applyFont="1" applyFill="1" applyBorder="1" applyAlignment="1">
      <alignment horizontal="center" vertical="center" wrapText="1"/>
      <protection/>
    </xf>
    <xf numFmtId="0" fontId="13" fillId="33" borderId="68" xfId="66" applyFont="1" applyFill="1" applyBorder="1" applyAlignment="1" applyProtection="1">
      <alignment horizontal="center" vertical="center" wrapText="1"/>
      <protection locked="0"/>
    </xf>
    <xf numFmtId="0" fontId="13" fillId="33" borderId="30" xfId="66" applyFont="1" applyFill="1" applyBorder="1" applyAlignment="1" applyProtection="1">
      <alignment horizontal="center" vertical="center" wrapText="1"/>
      <protection locked="0"/>
    </xf>
    <xf numFmtId="0" fontId="2" fillId="33" borderId="59" xfId="64" applyFont="1" applyFill="1" applyBorder="1" applyAlignment="1" applyProtection="1">
      <alignment horizontal="center" vertical="center" wrapText="1" shrinkToFit="1"/>
      <protection locked="0"/>
    </xf>
    <xf numFmtId="0" fontId="2" fillId="33" borderId="21" xfId="64" applyFont="1" applyFill="1" applyBorder="1" applyAlignment="1" applyProtection="1">
      <alignment horizontal="center" vertical="center" wrapText="1" shrinkToFit="1"/>
      <protection locked="0"/>
    </xf>
    <xf numFmtId="0" fontId="0" fillId="33" borderId="35" xfId="62" applyFont="1" applyFill="1" applyBorder="1" applyAlignment="1">
      <alignment horizontal="center" vertical="center" wrapText="1"/>
      <protection/>
    </xf>
    <xf numFmtId="0" fontId="0" fillId="33" borderId="24" xfId="62" applyFont="1" applyFill="1" applyBorder="1" applyAlignment="1">
      <alignment horizontal="center" vertical="center" wrapText="1"/>
      <protection/>
    </xf>
    <xf numFmtId="0" fontId="0" fillId="33" borderId="58" xfId="62" applyFont="1" applyFill="1" applyBorder="1" applyAlignment="1">
      <alignment horizontal="center" vertical="center" wrapText="1"/>
      <protection/>
    </xf>
    <xf numFmtId="0" fontId="0" fillId="33" borderId="65" xfId="62" applyFont="1" applyFill="1" applyBorder="1" applyAlignment="1">
      <alignment horizontal="center" vertical="center" wrapText="1"/>
      <protection/>
    </xf>
    <xf numFmtId="0" fontId="0" fillId="33" borderId="51" xfId="62" applyFont="1" applyFill="1" applyBorder="1" applyAlignment="1">
      <alignment horizontal="center" vertical="center" wrapText="1"/>
      <protection/>
    </xf>
    <xf numFmtId="0" fontId="0" fillId="33" borderId="78" xfId="62" applyFont="1" applyFill="1" applyBorder="1" applyAlignment="1">
      <alignment horizontal="center" vertical="center" wrapText="1"/>
      <protection/>
    </xf>
    <xf numFmtId="0" fontId="13" fillId="33" borderId="20" xfId="66" applyFont="1" applyFill="1" applyBorder="1" applyAlignment="1" applyProtection="1">
      <alignment horizontal="center" vertical="center" wrapText="1"/>
      <protection locked="0"/>
    </xf>
    <xf numFmtId="0" fontId="13" fillId="33" borderId="10" xfId="66" applyFont="1" applyFill="1" applyBorder="1" applyAlignment="1" applyProtection="1">
      <alignment horizontal="center" vertical="center" wrapText="1"/>
      <protection locked="0"/>
    </xf>
    <xf numFmtId="0" fontId="20" fillId="33" borderId="0" xfId="65" applyFont="1" applyFill="1" applyAlignment="1">
      <alignment horizontal="center"/>
      <protection/>
    </xf>
    <xf numFmtId="0" fontId="14" fillId="33" borderId="0" xfId="0" applyFont="1" applyFill="1" applyAlignment="1">
      <alignment horizontal="center" vertical="center" wrapText="1"/>
    </xf>
    <xf numFmtId="0" fontId="0" fillId="33" borderId="64" xfId="62" applyFont="1" applyFill="1" applyBorder="1" applyAlignment="1">
      <alignment wrapText="1"/>
      <protection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57" applyFont="1">
      <alignment/>
      <protection/>
    </xf>
    <xf numFmtId="0" fontId="30" fillId="0" borderId="0" xfId="57" applyFont="1">
      <alignment/>
      <protection/>
    </xf>
    <xf numFmtId="0" fontId="15" fillId="0" borderId="10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indent="7"/>
    </xf>
    <xf numFmtId="0" fontId="0" fillId="0" borderId="85" xfId="0" applyBorder="1" applyAlignment="1">
      <alignment horizontal="left" vertical="center" indent="7"/>
    </xf>
    <xf numFmtId="0" fontId="0" fillId="0" borderId="24" xfId="0" applyBorder="1" applyAlignment="1">
      <alignment horizontal="left" vertical="center" indent="7"/>
    </xf>
    <xf numFmtId="0" fontId="0" fillId="0" borderId="10" xfId="0" applyBorder="1" applyAlignment="1">
      <alignment horizontal="left" vertical="center" wrapText="1" indent="1"/>
    </xf>
    <xf numFmtId="17" fontId="0" fillId="0" borderId="10" xfId="0" applyNumberFormat="1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0" borderId="0" xfId="57" applyFont="1" applyAlignment="1">
      <alignment horizontal="center"/>
      <protection/>
    </xf>
    <xf numFmtId="0" fontId="0" fillId="0" borderId="0" xfId="0" applyAlignment="1">
      <alignment horizontal="justify" vertical="center" wrapText="1"/>
    </xf>
    <xf numFmtId="17" fontId="0" fillId="0" borderId="10" xfId="0" applyNumberFormat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3" fillId="0" borderId="0" xfId="57" applyFont="1">
      <alignment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4" fillId="0" borderId="0" xfId="57" applyFont="1" applyAlignment="1">
      <alignment horizontal="center" vertical="center"/>
      <protection/>
    </xf>
    <xf numFmtId="0" fontId="2" fillId="0" borderId="0" xfId="66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8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1" xfId="54"/>
    <cellStyle name="Обычный_methodics230802-pril1-3" xfId="55"/>
    <cellStyle name="Обычный_methodics230802-pril1-3 2" xfId="56"/>
    <cellStyle name="Обычный_Tarif_2002 год" xfId="57"/>
    <cellStyle name="Обычный_Tarif_2002 год 2" xfId="58"/>
    <cellStyle name="Обычный_Tarif_97" xfId="59"/>
    <cellStyle name="Обычный_Книга1" xfId="60"/>
    <cellStyle name="Обычный_Лист1" xfId="61"/>
    <cellStyle name="Обычный_передача эл.энерг2010" xfId="62"/>
    <cellStyle name="Обычный_Судоремсервис электро и тепло" xfId="63"/>
    <cellStyle name="Обычный_табл22-24 c 1 июня 2003(ВН)" xfId="64"/>
    <cellStyle name="Обычный_Таблицы по письму РЭК" xfId="65"/>
    <cellStyle name="Обычный_тарифы на 2002г с 1-01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emnaya\&#1084;&#1086;&#1080;%20&#1076;&#1086;&#1082;-&#1090;&#1099;\&#1069;&#1082;&#1089;&#1087;&#1077;&#1088;&#1090;&#1085;&#1099;&#1077;%20&#1079;&#1072;&#1082;&#1083;&#1102;&#1095;&#1077;&#1085;&#1080;&#1103;%202009%20&#1075;&#1086;&#1076;&#1072;\&#1087;&#1077;&#1088;&#1077;&#1076;&#1072;&#1095;&#1072;%20&#1101;&#1083;.&#1101;&#1085;&#1077;&#1088;&#1075;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tarif-016\&#1084;&#1086;&#1080;%20&#1076;&#1086;&#1082;&#1091;&#1084;&#1077;&#1085;&#1090;&#1099;\&#1069;&#1050;&#1057;&#1055;&#1045;&#1056;&#1058;&#1053;&#1067;&#1045;%20&#1047;&#1040;&#1050;&#1051;&#1070;&#1063;&#1045;&#1053;&#1048;&#1071;\&#1058;&#1040;&#1056;&#1048;&#1060;&#1067;%202013&#1075;\&#1040;&#1082;&#1088;&#1086;&#1089;\&#1056;&#1072;&#1089;&#1095;&#1077;&#1090;%20&#1056;&#1057;&#1058;_&#1040;&#1082;&#1088;&#1086;&#1089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 эл"/>
      <sheetName val="1"/>
      <sheetName val="2"/>
      <sheetName val="П1.3 2005г."/>
      <sheetName val="4 "/>
      <sheetName val="5 "/>
      <sheetName val="6 2007 год (2)"/>
      <sheetName val="16 (3)"/>
      <sheetName val="21.3"/>
      <sheetName val="24"/>
      <sheetName val="1.25"/>
      <sheetName val="2.1"/>
      <sheetName val="2.2"/>
    </sheetNames>
    <sheetDataSet>
      <sheetData sheetId="2">
        <row r="46">
          <cell r="G46">
            <v>4.112</v>
          </cell>
          <cell r="H46">
            <v>4.112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2.2"/>
      <sheetName val="1.3"/>
      <sheetName val="1.4"/>
      <sheetName val="1.5 "/>
      <sheetName val="1.6"/>
      <sheetName val="1.15 свод"/>
      <sheetName val="1.15 сбыт"/>
      <sheetName val="1.15 передача"/>
      <sheetName val="1.16 свод"/>
      <sheetName val="1.16 сбыт"/>
      <sheetName val="1.16 передача"/>
      <sheetName val="1.17 свод"/>
      <sheetName val="1.17 сбыт"/>
      <sheetName val="1.17 передача"/>
      <sheetName val="1.21 общая"/>
      <sheetName val="1.24"/>
      <sheetName val="1.25"/>
      <sheetName val="2.1"/>
      <sheetName val="2.2"/>
      <sheetName val="1.1.2 (не надо)"/>
    </sheetNames>
    <sheetDataSet>
      <sheetData sheetId="5">
        <row r="7">
          <cell r="T7">
            <v>61</v>
          </cell>
          <cell r="U7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6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9.375" style="42" customWidth="1"/>
    <col min="2" max="2" width="61.50390625" style="41" customWidth="1"/>
    <col min="3" max="3" width="23.125" style="0" customWidth="1"/>
  </cols>
  <sheetData>
    <row r="1" spans="1:3" ht="15.75">
      <c r="A1" s="843" t="s">
        <v>326</v>
      </c>
      <c r="B1" s="843"/>
      <c r="C1" s="843"/>
    </row>
    <row r="2" spans="1:3" ht="15.75">
      <c r="A2" s="844" t="s">
        <v>536</v>
      </c>
      <c r="B2" s="844"/>
      <c r="C2" s="844"/>
    </row>
    <row r="4" spans="1:7" ht="31.5" customHeight="1">
      <c r="A4" s="13">
        <v>1</v>
      </c>
      <c r="B4" s="74" t="s">
        <v>65</v>
      </c>
      <c r="C4" s="74" t="s">
        <v>314</v>
      </c>
      <c r="D4" s="43"/>
      <c r="E4" s="43"/>
      <c r="F4" s="43"/>
      <c r="G4" s="43"/>
    </row>
    <row r="5" spans="1:13" ht="31.5" customHeight="1">
      <c r="A5" s="13">
        <v>2</v>
      </c>
      <c r="B5" s="45" t="s">
        <v>32</v>
      </c>
      <c r="C5" s="74" t="s">
        <v>31</v>
      </c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5" ht="30.75" customHeight="1">
      <c r="A6" s="13">
        <v>3</v>
      </c>
      <c r="B6" s="45" t="s">
        <v>325</v>
      </c>
      <c r="C6" s="74" t="s">
        <v>324</v>
      </c>
      <c r="D6" s="43"/>
      <c r="E6" s="43"/>
    </row>
    <row r="7" spans="1:7" ht="47.25">
      <c r="A7" s="13">
        <v>4</v>
      </c>
      <c r="B7" s="45" t="s">
        <v>116</v>
      </c>
      <c r="C7" s="74" t="s">
        <v>323</v>
      </c>
      <c r="D7" s="43"/>
      <c r="E7" s="43"/>
      <c r="F7" s="43"/>
      <c r="G7" s="43"/>
    </row>
    <row r="8" spans="1:7" ht="47.25">
      <c r="A8" s="13">
        <v>5</v>
      </c>
      <c r="B8" s="45" t="s">
        <v>305</v>
      </c>
      <c r="C8" s="74" t="s">
        <v>322</v>
      </c>
      <c r="D8" s="43"/>
      <c r="E8" s="43"/>
      <c r="F8" s="43"/>
      <c r="G8" s="43"/>
    </row>
    <row r="9" spans="1:7" ht="31.5">
      <c r="A9" s="13">
        <v>6</v>
      </c>
      <c r="B9" s="45" t="s">
        <v>137</v>
      </c>
      <c r="C9" s="74" t="s">
        <v>136</v>
      </c>
      <c r="D9" s="43"/>
      <c r="E9" s="43"/>
      <c r="F9" s="43"/>
      <c r="G9" s="43"/>
    </row>
    <row r="10" spans="1:13" ht="33.75" customHeight="1">
      <c r="A10" s="13">
        <v>7</v>
      </c>
      <c r="B10" s="45" t="s">
        <v>321</v>
      </c>
      <c r="C10" s="74" t="s">
        <v>320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9" ht="69" customHeight="1">
      <c r="A11" s="13">
        <v>8</v>
      </c>
      <c r="B11" s="45" t="s">
        <v>576</v>
      </c>
      <c r="C11" s="74" t="s">
        <v>319</v>
      </c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4" ht="47.25">
      <c r="A12" s="13">
        <v>9</v>
      </c>
      <c r="B12" s="45" t="s">
        <v>318</v>
      </c>
      <c r="C12" s="74" t="s">
        <v>317</v>
      </c>
      <c r="D12" s="43"/>
    </row>
    <row r="13" spans="1:6" ht="30.75" customHeight="1">
      <c r="A13" s="13">
        <v>10</v>
      </c>
      <c r="B13" s="45" t="s">
        <v>315</v>
      </c>
      <c r="C13" s="74" t="s">
        <v>316</v>
      </c>
      <c r="D13" s="44"/>
      <c r="E13" s="44"/>
      <c r="F13" s="44"/>
    </row>
    <row r="14" spans="1:6" ht="30" customHeight="1">
      <c r="A14" s="13">
        <v>11</v>
      </c>
      <c r="B14" s="45" t="s">
        <v>315</v>
      </c>
      <c r="C14" s="74" t="s">
        <v>162</v>
      </c>
      <c r="D14" s="44"/>
      <c r="E14" s="44"/>
      <c r="F14" s="44"/>
    </row>
    <row r="15" spans="1:3" ht="30.75" customHeight="1">
      <c r="A15" s="13">
        <v>12</v>
      </c>
      <c r="B15" s="75" t="s">
        <v>214</v>
      </c>
      <c r="C15" s="74" t="s">
        <v>215</v>
      </c>
    </row>
    <row r="16" spans="1:4" ht="30" customHeight="1">
      <c r="A16" s="13">
        <v>13</v>
      </c>
      <c r="B16" s="75" t="s">
        <v>214</v>
      </c>
      <c r="C16" s="74" t="s">
        <v>254</v>
      </c>
      <c r="D16" s="4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N35"/>
  <sheetViews>
    <sheetView view="pageBreakPreview" zoomScaleNormal="80" zoomScaleSheetLayoutView="100" zoomScalePageLayoutView="0" workbookViewId="0" topLeftCell="A2">
      <selection activeCell="M13" sqref="M13"/>
    </sheetView>
  </sheetViews>
  <sheetFormatPr defaultColWidth="10.625" defaultRowHeight="12.75"/>
  <cols>
    <col min="1" max="1" width="7.00390625" style="427" customWidth="1"/>
    <col min="2" max="2" width="57.375" style="427" customWidth="1"/>
    <col min="3" max="3" width="15.00390625" style="427" hidden="1" customWidth="1"/>
    <col min="4" max="4" width="13.125" style="427" hidden="1" customWidth="1"/>
    <col min="5" max="5" width="12.625" style="427" hidden="1" customWidth="1"/>
    <col min="6" max="6" width="14.00390625" style="427" hidden="1" customWidth="1"/>
    <col min="7" max="7" width="10.875" style="427" hidden="1" customWidth="1"/>
    <col min="8" max="11" width="20.875" style="427" hidden="1" customWidth="1"/>
    <col min="12" max="12" width="16.875" style="427" customWidth="1"/>
    <col min="13" max="13" width="20.125" style="427" customWidth="1"/>
    <col min="14" max="14" width="15.375" style="427" customWidth="1"/>
    <col min="15" max="15" width="15.00390625" style="427" customWidth="1"/>
    <col min="16" max="16384" width="10.625" style="427" customWidth="1"/>
  </cols>
  <sheetData>
    <row r="1" spans="1:15" ht="18.75">
      <c r="A1" s="983" t="s">
        <v>313</v>
      </c>
      <c r="B1" s="983"/>
      <c r="C1" s="983"/>
      <c r="D1" s="983"/>
      <c r="E1" s="425"/>
      <c r="F1" s="425"/>
      <c r="G1" s="426"/>
      <c r="H1" s="425"/>
      <c r="L1" s="429"/>
      <c r="M1" s="428" t="s">
        <v>320</v>
      </c>
      <c r="O1" s="470"/>
    </row>
    <row r="2" spans="1:13" ht="39.75" customHeight="1">
      <c r="A2" s="984" t="s">
        <v>504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6"/>
    </row>
    <row r="3" spans="6:13" ht="20.25" customHeight="1" thickBot="1">
      <c r="F3" s="428"/>
      <c r="G3" s="428"/>
      <c r="J3" s="432"/>
      <c r="K3" s="432"/>
      <c r="M3" s="432" t="s">
        <v>421</v>
      </c>
    </row>
    <row r="4" spans="1:66" ht="25.5" customHeight="1">
      <c r="A4" s="987" t="s">
        <v>308</v>
      </c>
      <c r="B4" s="989" t="s">
        <v>328</v>
      </c>
      <c r="C4" s="117" t="s">
        <v>329</v>
      </c>
      <c r="D4" s="117" t="s">
        <v>330</v>
      </c>
      <c r="E4" s="117" t="s">
        <v>331</v>
      </c>
      <c r="F4" s="117" t="s">
        <v>332</v>
      </c>
      <c r="G4" s="117" t="s">
        <v>333</v>
      </c>
      <c r="H4" s="117" t="s">
        <v>334</v>
      </c>
      <c r="I4" s="117" t="s">
        <v>335</v>
      </c>
      <c r="J4" s="117" t="s">
        <v>336</v>
      </c>
      <c r="K4" s="116" t="s">
        <v>337</v>
      </c>
      <c r="L4" s="991" t="s">
        <v>502</v>
      </c>
      <c r="M4" s="969" t="s">
        <v>511</v>
      </c>
      <c r="N4" s="476" t="s">
        <v>310</v>
      </c>
      <c r="O4" s="114"/>
      <c r="P4" s="433"/>
      <c r="Q4" s="433"/>
      <c r="R4" s="433"/>
      <c r="S4" s="433"/>
      <c r="T4" s="433"/>
      <c r="U4" s="433"/>
      <c r="V4" s="433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</row>
    <row r="5" spans="1:15" ht="24.75" customHeight="1">
      <c r="A5" s="988"/>
      <c r="B5" s="990"/>
      <c r="C5" s="113">
        <v>3</v>
      </c>
      <c r="D5" s="113">
        <v>4</v>
      </c>
      <c r="E5" s="113">
        <v>4</v>
      </c>
      <c r="F5" s="113">
        <v>5</v>
      </c>
      <c r="G5" s="113">
        <v>6</v>
      </c>
      <c r="H5" s="180">
        <f>B5+1</f>
        <v>1</v>
      </c>
      <c r="I5" s="180">
        <f>C5+1</f>
        <v>4</v>
      </c>
      <c r="J5" s="180">
        <f>D5+1</f>
        <v>5</v>
      </c>
      <c r="K5" s="180">
        <f>J5+1</f>
        <v>6</v>
      </c>
      <c r="L5" s="992"/>
      <c r="M5" s="993"/>
      <c r="N5" s="477" t="s">
        <v>512</v>
      </c>
      <c r="O5" s="436" t="s">
        <v>513</v>
      </c>
    </row>
    <row r="6" spans="1:15" s="437" customFormat="1" ht="13.5" customHeight="1">
      <c r="A6" s="179">
        <v>1</v>
      </c>
      <c r="B6" s="180">
        <v>2</v>
      </c>
      <c r="C6" s="113"/>
      <c r="D6" s="113"/>
      <c r="E6" s="113"/>
      <c r="F6" s="113"/>
      <c r="G6" s="113"/>
      <c r="H6" s="180"/>
      <c r="I6" s="180"/>
      <c r="J6" s="180"/>
      <c r="K6" s="180"/>
      <c r="L6" s="178">
        <f>B6+1</f>
        <v>3</v>
      </c>
      <c r="M6" s="178">
        <v>4</v>
      </c>
      <c r="N6" s="477">
        <f>M6+1</f>
        <v>5</v>
      </c>
      <c r="O6" s="435">
        <f>N6+1</f>
        <v>6</v>
      </c>
    </row>
    <row r="7" spans="1:15" s="446" customFormat="1" ht="14.25" customHeight="1">
      <c r="A7" s="179" t="s">
        <v>8</v>
      </c>
      <c r="B7" s="104" t="s">
        <v>339</v>
      </c>
      <c r="C7" s="113"/>
      <c r="D7" s="113">
        <v>77</v>
      </c>
      <c r="E7" s="107">
        <v>88</v>
      </c>
      <c r="F7" s="113">
        <v>102</v>
      </c>
      <c r="G7" s="107">
        <v>99</v>
      </c>
      <c r="H7" s="180">
        <v>110</v>
      </c>
      <c r="I7" s="180">
        <v>56</v>
      </c>
      <c r="J7" s="180">
        <v>110</v>
      </c>
      <c r="K7" s="180">
        <v>129</v>
      </c>
      <c r="L7" s="102"/>
      <c r="M7" s="100" t="e">
        <f>'1.15'!#REF!-'1.15 сбыт'!M7</f>
        <v>#REF!</v>
      </c>
      <c r="N7" s="100" t="e">
        <f>'1.15'!#REF!-'1.15 сбыт'!N7</f>
        <v>#REF!</v>
      </c>
      <c r="O7" s="100" t="e">
        <f>'1.15'!#REF!-'1.15 сбыт'!O7</f>
        <v>#REF!</v>
      </c>
    </row>
    <row r="8" spans="1:15" ht="14.25" customHeight="1">
      <c r="A8" s="179" t="s">
        <v>12</v>
      </c>
      <c r="B8" s="104" t="s">
        <v>340</v>
      </c>
      <c r="C8" s="180"/>
      <c r="D8" s="180">
        <f>SUM(D9:D10)</f>
        <v>0</v>
      </c>
      <c r="E8" s="107">
        <v>0</v>
      </c>
      <c r="F8" s="180">
        <f aca="true" t="shared" si="0" ref="F8:K8">SUM(F9:F10)</f>
        <v>0</v>
      </c>
      <c r="G8" s="103">
        <f t="shared" si="0"/>
        <v>0</v>
      </c>
      <c r="H8" s="103">
        <f t="shared" si="0"/>
        <v>0</v>
      </c>
      <c r="I8" s="103">
        <f t="shared" si="0"/>
        <v>0</v>
      </c>
      <c r="J8" s="103">
        <f t="shared" si="0"/>
        <v>0</v>
      </c>
      <c r="K8" s="103">
        <f t="shared" si="0"/>
        <v>0</v>
      </c>
      <c r="L8" s="102"/>
      <c r="M8" s="100"/>
      <c r="N8" s="478"/>
      <c r="O8" s="106"/>
    </row>
    <row r="9" spans="1:15" ht="14.25" customHeight="1">
      <c r="A9" s="179" t="s">
        <v>34</v>
      </c>
      <c r="B9" s="104" t="s">
        <v>341</v>
      </c>
      <c r="C9" s="180"/>
      <c r="D9" s="180"/>
      <c r="E9" s="107"/>
      <c r="F9" s="180"/>
      <c r="G9" s="103"/>
      <c r="H9" s="180"/>
      <c r="I9" s="180"/>
      <c r="J9" s="180"/>
      <c r="K9" s="180"/>
      <c r="L9" s="102"/>
      <c r="M9" s="100"/>
      <c r="N9" s="478"/>
      <c r="O9" s="106"/>
    </row>
    <row r="10" spans="1:15" ht="14.25" customHeight="1">
      <c r="A10" s="179" t="s">
        <v>158</v>
      </c>
      <c r="B10" s="104" t="s">
        <v>342</v>
      </c>
      <c r="C10" s="180"/>
      <c r="D10" s="180"/>
      <c r="E10" s="107"/>
      <c r="F10" s="180"/>
      <c r="G10" s="103"/>
      <c r="H10" s="180"/>
      <c r="I10" s="180"/>
      <c r="J10" s="180"/>
      <c r="K10" s="180"/>
      <c r="L10" s="102"/>
      <c r="M10" s="100"/>
      <c r="N10" s="478"/>
      <c r="O10" s="106"/>
    </row>
    <row r="11" spans="1:15" s="446" customFormat="1" ht="14.25" customHeight="1">
      <c r="A11" s="179" t="s">
        <v>14</v>
      </c>
      <c r="B11" s="104" t="s">
        <v>343</v>
      </c>
      <c r="C11" s="180"/>
      <c r="D11" s="180">
        <v>133</v>
      </c>
      <c r="E11" s="180">
        <f aca="true" t="shared" si="1" ref="E11:K11">E12+E13</f>
        <v>788</v>
      </c>
      <c r="F11" s="180">
        <f t="shared" si="1"/>
        <v>823</v>
      </c>
      <c r="G11" s="180">
        <f t="shared" si="1"/>
        <v>823</v>
      </c>
      <c r="H11" s="180">
        <f t="shared" si="1"/>
        <v>1019</v>
      </c>
      <c r="I11" s="180">
        <f t="shared" si="1"/>
        <v>495</v>
      </c>
      <c r="J11" s="180">
        <f t="shared" si="1"/>
        <v>1020</v>
      </c>
      <c r="K11" s="180">
        <f t="shared" si="1"/>
        <v>1200</v>
      </c>
      <c r="L11" s="102"/>
      <c r="M11" s="100" t="e">
        <f>'1.15'!#REF!-'1.15 сбыт'!M11</f>
        <v>#REF!</v>
      </c>
      <c r="N11" s="100" t="e">
        <f>'1.15'!#REF!-'1.15 сбыт'!N11</f>
        <v>#REF!</v>
      </c>
      <c r="O11" s="100" t="e">
        <f>'1.15'!#REF!-'1.15 сбыт'!O11</f>
        <v>#REF!</v>
      </c>
    </row>
    <row r="12" spans="1:15" ht="15.75" customHeight="1">
      <c r="A12" s="179" t="s">
        <v>175</v>
      </c>
      <c r="B12" s="104" t="s">
        <v>344</v>
      </c>
      <c r="C12" s="180"/>
      <c r="D12" s="180"/>
      <c r="E12" s="107">
        <v>576</v>
      </c>
      <c r="F12" s="180">
        <v>548</v>
      </c>
      <c r="G12" s="103">
        <v>548</v>
      </c>
      <c r="H12" s="180">
        <v>619</v>
      </c>
      <c r="I12" s="180">
        <v>300</v>
      </c>
      <c r="J12" s="180">
        <v>620</v>
      </c>
      <c r="K12" s="180">
        <v>800</v>
      </c>
      <c r="L12" s="102"/>
      <c r="M12" s="100" t="e">
        <f>'1.15'!#REF!-'1.15 сбыт'!M12</f>
        <v>#REF!</v>
      </c>
      <c r="N12" s="100" t="e">
        <f>'1.15'!#REF!-'1.15 сбыт'!N12</f>
        <v>#REF!</v>
      </c>
      <c r="O12" s="100" t="e">
        <f>'1.15'!#REF!-'1.15 сбыт'!O12</f>
        <v>#REF!</v>
      </c>
    </row>
    <row r="13" spans="1:15" ht="14.25" customHeight="1">
      <c r="A13" s="179" t="s">
        <v>176</v>
      </c>
      <c r="B13" s="104" t="s">
        <v>345</v>
      </c>
      <c r="C13" s="180"/>
      <c r="D13" s="180"/>
      <c r="E13" s="107">
        <v>212</v>
      </c>
      <c r="F13" s="180">
        <v>275</v>
      </c>
      <c r="G13" s="103">
        <v>275</v>
      </c>
      <c r="H13" s="180">
        <v>400</v>
      </c>
      <c r="I13" s="180">
        <v>195</v>
      </c>
      <c r="J13" s="180">
        <v>400</v>
      </c>
      <c r="K13" s="180">
        <v>400</v>
      </c>
      <c r="L13" s="102"/>
      <c r="M13" s="100" t="e">
        <f>'1.15'!#REF!-'1.15 сбыт'!M13</f>
        <v>#REF!</v>
      </c>
      <c r="N13" s="100" t="e">
        <f>'1.15'!#REF!-'1.15 сбыт'!N13</f>
        <v>#REF!</v>
      </c>
      <c r="O13" s="100" t="e">
        <f>'1.15'!#REF!-'1.15 сбыт'!O13</f>
        <v>#REF!</v>
      </c>
    </row>
    <row r="14" spans="1:15" ht="14.25" customHeight="1">
      <c r="A14" s="179" t="s">
        <v>22</v>
      </c>
      <c r="B14" s="104" t="s">
        <v>346</v>
      </c>
      <c r="C14" s="180"/>
      <c r="D14" s="180">
        <f>SUM(D15:D16)</f>
        <v>474</v>
      </c>
      <c r="E14" s="107">
        <f aca="true" t="shared" si="2" ref="E14:K14">E15+E16</f>
        <v>797</v>
      </c>
      <c r="F14" s="107">
        <f t="shared" si="2"/>
        <v>828</v>
      </c>
      <c r="G14" s="107">
        <f t="shared" si="2"/>
        <v>860</v>
      </c>
      <c r="H14" s="107">
        <f t="shared" si="2"/>
        <v>893</v>
      </c>
      <c r="I14" s="107">
        <f t="shared" si="2"/>
        <v>450</v>
      </c>
      <c r="J14" s="107">
        <f t="shared" si="2"/>
        <v>893</v>
      </c>
      <c r="K14" s="107">
        <f t="shared" si="2"/>
        <v>1102</v>
      </c>
      <c r="L14" s="102"/>
      <c r="M14" s="100" t="e">
        <f>'1.15'!#REF!-'1.15 сбыт'!M14</f>
        <v>#REF!</v>
      </c>
      <c r="N14" s="100" t="e">
        <f>'1.15'!#REF!-'1.15 сбыт'!N14</f>
        <v>#REF!</v>
      </c>
      <c r="O14" s="100" t="e">
        <f>'1.15'!#REF!-'1.15 сбыт'!O14</f>
        <v>#REF!</v>
      </c>
    </row>
    <row r="15" spans="1:15" ht="14.25" customHeight="1">
      <c r="A15" s="179" t="s">
        <v>129</v>
      </c>
      <c r="B15" s="104" t="s">
        <v>347</v>
      </c>
      <c r="C15" s="180"/>
      <c r="D15" s="180">
        <v>474</v>
      </c>
      <c r="E15" s="107">
        <v>728</v>
      </c>
      <c r="F15" s="180">
        <v>788</v>
      </c>
      <c r="G15" s="103">
        <v>785</v>
      </c>
      <c r="H15" s="180">
        <v>850</v>
      </c>
      <c r="I15" s="180">
        <v>418</v>
      </c>
      <c r="J15" s="180">
        <v>850</v>
      </c>
      <c r="K15" s="180">
        <v>1051</v>
      </c>
      <c r="L15" s="102"/>
      <c r="M15" s="100" t="e">
        <f>'1.15'!#REF!-'1.15 сбыт'!M15</f>
        <v>#REF!</v>
      </c>
      <c r="N15" s="100" t="e">
        <f>'1.15'!#REF!-'1.15 сбыт'!N15</f>
        <v>#REF!</v>
      </c>
      <c r="O15" s="100" t="e">
        <f>'1.15'!#REF!-'1.15 сбыт'!O15</f>
        <v>#REF!</v>
      </c>
    </row>
    <row r="16" spans="1:15" ht="14.25" customHeight="1">
      <c r="A16" s="179" t="s">
        <v>133</v>
      </c>
      <c r="B16" s="104" t="s">
        <v>348</v>
      </c>
      <c r="C16" s="180"/>
      <c r="D16" s="180">
        <v>0</v>
      </c>
      <c r="E16" s="107">
        <v>69</v>
      </c>
      <c r="F16" s="180">
        <v>40</v>
      </c>
      <c r="G16" s="103">
        <v>75</v>
      </c>
      <c r="H16" s="180">
        <v>43</v>
      </c>
      <c r="I16" s="180">
        <v>32</v>
      </c>
      <c r="J16" s="180">
        <v>43</v>
      </c>
      <c r="K16" s="180">
        <v>51</v>
      </c>
      <c r="L16" s="102"/>
      <c r="M16" s="100" t="e">
        <f>'1.15'!#REF!-'1.15 сбыт'!M16</f>
        <v>#REF!</v>
      </c>
      <c r="N16" s="100" t="e">
        <f>'1.15'!#REF!-'1.15 сбыт'!N16</f>
        <v>#REF!</v>
      </c>
      <c r="O16" s="100" t="e">
        <f>'1.15'!#REF!-'1.15 сбыт'!O16</f>
        <v>#REF!</v>
      </c>
    </row>
    <row r="17" spans="1:15" ht="14.25" customHeight="1">
      <c r="A17" s="179" t="s">
        <v>24</v>
      </c>
      <c r="B17" s="104" t="s">
        <v>349</v>
      </c>
      <c r="C17" s="180"/>
      <c r="D17" s="180">
        <v>129</v>
      </c>
      <c r="E17" s="107">
        <f>E15*25%</f>
        <v>182</v>
      </c>
      <c r="F17" s="107">
        <f aca="true" t="shared" si="3" ref="F17:K17">F15*25%</f>
        <v>197</v>
      </c>
      <c r="G17" s="107">
        <f t="shared" si="3"/>
        <v>196.25</v>
      </c>
      <c r="H17" s="107">
        <f t="shared" si="3"/>
        <v>212.5</v>
      </c>
      <c r="I17" s="107">
        <f t="shared" si="3"/>
        <v>104.5</v>
      </c>
      <c r="J17" s="107">
        <f t="shared" si="3"/>
        <v>212.5</v>
      </c>
      <c r="K17" s="107">
        <f t="shared" si="3"/>
        <v>262.75</v>
      </c>
      <c r="L17" s="102"/>
      <c r="M17" s="100" t="e">
        <f>'1.15'!#REF!-'1.15 сбыт'!M17</f>
        <v>#REF!</v>
      </c>
      <c r="N17" s="100" t="e">
        <f>'1.15'!#REF!-'1.15 сбыт'!N17</f>
        <v>#REF!</v>
      </c>
      <c r="O17" s="100" t="e">
        <f>'1.15'!#REF!-'1.15 сбыт'!O17</f>
        <v>#REF!</v>
      </c>
    </row>
    <row r="18" spans="1:15" ht="14.25" customHeight="1">
      <c r="A18" s="179" t="s">
        <v>26</v>
      </c>
      <c r="B18" s="104" t="s">
        <v>350</v>
      </c>
      <c r="C18" s="180"/>
      <c r="D18" s="103">
        <v>10</v>
      </c>
      <c r="E18" s="180">
        <v>745</v>
      </c>
      <c r="F18" s="180">
        <v>745</v>
      </c>
      <c r="G18" s="180">
        <v>745</v>
      </c>
      <c r="H18" s="180">
        <v>745</v>
      </c>
      <c r="I18" s="180">
        <v>372</v>
      </c>
      <c r="J18" s="180">
        <v>745</v>
      </c>
      <c r="K18" s="180">
        <v>745</v>
      </c>
      <c r="L18" s="102"/>
      <c r="M18" s="479">
        <f>'1.17 передача'!D14</f>
        <v>0</v>
      </c>
      <c r="N18" s="100" t="e">
        <f>'1.15'!#REF!-'1.15 сбыт'!N18</f>
        <v>#REF!</v>
      </c>
      <c r="O18" s="100" t="e">
        <f>'1.15'!#REF!-'1.15 сбыт'!O18</f>
        <v>#REF!</v>
      </c>
    </row>
    <row r="19" spans="1:15" ht="14.25" customHeight="1">
      <c r="A19" s="179" t="s">
        <v>28</v>
      </c>
      <c r="B19" s="104" t="s">
        <v>351</v>
      </c>
      <c r="C19" s="180"/>
      <c r="D19" s="103">
        <v>108</v>
      </c>
      <c r="E19" s="107">
        <v>525</v>
      </c>
      <c r="F19" s="180">
        <v>525</v>
      </c>
      <c r="G19" s="103">
        <v>525</v>
      </c>
      <c r="H19" s="180">
        <v>525</v>
      </c>
      <c r="I19" s="180">
        <v>262</v>
      </c>
      <c r="J19" s="180">
        <v>525</v>
      </c>
      <c r="K19" s="180">
        <v>550</v>
      </c>
      <c r="L19" s="102"/>
      <c r="M19" s="100" t="e">
        <f>'1.15'!#REF!-'1.15 сбыт'!M19</f>
        <v>#REF!</v>
      </c>
      <c r="N19" s="100" t="e">
        <f>'1.15'!#REF!-'1.15 сбыт'!N19</f>
        <v>#REF!</v>
      </c>
      <c r="O19" s="100" t="e">
        <f>'1.15'!#REF!-'1.15 сбыт'!O19</f>
        <v>#REF!</v>
      </c>
    </row>
    <row r="20" spans="1:15" ht="14.25" customHeight="1">
      <c r="A20" s="179" t="s">
        <v>352</v>
      </c>
      <c r="B20" s="104" t="s">
        <v>353</v>
      </c>
      <c r="C20" s="180"/>
      <c r="D20" s="103">
        <f>SUM(D21:D22)</f>
        <v>4</v>
      </c>
      <c r="E20" s="107">
        <f>E21+E22</f>
        <v>21</v>
      </c>
      <c r="F20" s="107">
        <f aca="true" t="shared" si="4" ref="F20:K20">F21+F22</f>
        <v>24</v>
      </c>
      <c r="G20" s="107">
        <f t="shared" si="4"/>
        <v>26</v>
      </c>
      <c r="H20" s="107">
        <f t="shared" si="4"/>
        <v>27</v>
      </c>
      <c r="I20" s="107">
        <f t="shared" si="4"/>
        <v>24</v>
      </c>
      <c r="J20" s="107">
        <f t="shared" si="4"/>
        <v>27</v>
      </c>
      <c r="K20" s="107">
        <f t="shared" si="4"/>
        <v>30</v>
      </c>
      <c r="L20" s="102"/>
      <c r="M20" s="100" t="e">
        <f>'1.15'!#REF!-'1.15 сбыт'!M20</f>
        <v>#REF!</v>
      </c>
      <c r="N20" s="100" t="e">
        <f>'1.15'!#REF!-'1.15 сбыт'!N20</f>
        <v>#REF!</v>
      </c>
      <c r="O20" s="100" t="e">
        <f>'1.15'!#REF!-'1.15 сбыт'!O20</f>
        <v>#REF!</v>
      </c>
    </row>
    <row r="21" spans="1:15" ht="14.25" customHeight="1">
      <c r="A21" s="179" t="s">
        <v>354</v>
      </c>
      <c r="B21" s="104" t="s">
        <v>355</v>
      </c>
      <c r="C21" s="180"/>
      <c r="D21" s="103">
        <v>4</v>
      </c>
      <c r="E21" s="107">
        <v>18</v>
      </c>
      <c r="F21" s="180">
        <v>21</v>
      </c>
      <c r="G21" s="103">
        <v>23</v>
      </c>
      <c r="H21" s="180">
        <v>23</v>
      </c>
      <c r="I21" s="180">
        <v>23</v>
      </c>
      <c r="J21" s="180">
        <v>23</v>
      </c>
      <c r="K21" s="180">
        <v>25</v>
      </c>
      <c r="L21" s="102"/>
      <c r="M21" s="100" t="e">
        <f>'1.15'!#REF!-'1.15 сбыт'!M21</f>
        <v>#REF!</v>
      </c>
      <c r="N21" s="100" t="e">
        <f>'1.15'!#REF!-'1.15 сбыт'!N21</f>
        <v>#REF!</v>
      </c>
      <c r="O21" s="100" t="e">
        <f>'1.15'!#REF!-'1.15 сбыт'!O21</f>
        <v>#REF!</v>
      </c>
    </row>
    <row r="22" spans="1:15" ht="14.25" customHeight="1">
      <c r="A22" s="179" t="s">
        <v>356</v>
      </c>
      <c r="B22" s="104" t="s">
        <v>357</v>
      </c>
      <c r="C22" s="180"/>
      <c r="D22" s="103"/>
      <c r="E22" s="107">
        <v>3</v>
      </c>
      <c r="F22" s="180">
        <v>3</v>
      </c>
      <c r="G22" s="103">
        <v>3</v>
      </c>
      <c r="H22" s="180">
        <v>4</v>
      </c>
      <c r="I22" s="180">
        <v>1</v>
      </c>
      <c r="J22" s="180">
        <v>4</v>
      </c>
      <c r="K22" s="180">
        <v>5</v>
      </c>
      <c r="L22" s="102"/>
      <c r="M22" s="176" t="e">
        <f>'1.15'!#REF!-'1.15 сбыт'!M22</f>
        <v>#REF!</v>
      </c>
      <c r="N22" s="176" t="e">
        <f>'1.15'!#REF!-'1.15 сбыт'!N22</f>
        <v>#REF!</v>
      </c>
      <c r="O22" s="176" t="e">
        <f>'1.15'!#REF!-'1.15 сбыт'!O22</f>
        <v>#REF!</v>
      </c>
    </row>
    <row r="23" spans="1:15" ht="30.75" customHeight="1">
      <c r="A23" s="179" t="s">
        <v>358</v>
      </c>
      <c r="B23" s="99" t="s">
        <v>359</v>
      </c>
      <c r="C23" s="180"/>
      <c r="D23" s="103">
        <f aca="true" t="shared" si="5" ref="D23:K23">SUM(D7+D8+D11+D14+D17+D18+D19+D20)</f>
        <v>935</v>
      </c>
      <c r="E23" s="180">
        <f t="shared" si="5"/>
        <v>3146</v>
      </c>
      <c r="F23" s="180">
        <f t="shared" si="5"/>
        <v>3244</v>
      </c>
      <c r="G23" s="103">
        <f t="shared" si="5"/>
        <v>3274.25</v>
      </c>
      <c r="H23" s="103">
        <f t="shared" si="5"/>
        <v>3531.5</v>
      </c>
      <c r="I23" s="103">
        <f t="shared" si="5"/>
        <v>1763.5</v>
      </c>
      <c r="J23" s="103">
        <f t="shared" si="5"/>
        <v>3532.5</v>
      </c>
      <c r="K23" s="103">
        <f t="shared" si="5"/>
        <v>4018.75</v>
      </c>
      <c r="L23" s="102"/>
      <c r="M23" s="100" t="e">
        <f>M7+M11+M14+M17+M18+M19+M20</f>
        <v>#REF!</v>
      </c>
      <c r="N23" s="100" t="e">
        <f>N7+N11+N14+N17+N18+N19+N20</f>
        <v>#REF!</v>
      </c>
      <c r="O23" s="100" t="e">
        <f>O7+O11+O14+O17+O18+O19+O20</f>
        <v>#REF!</v>
      </c>
    </row>
    <row r="24" spans="1:15" ht="14.25" customHeight="1">
      <c r="A24" s="179" t="s">
        <v>360</v>
      </c>
      <c r="B24" s="99" t="s">
        <v>361</v>
      </c>
      <c r="C24" s="180"/>
      <c r="D24" s="180">
        <f>ROUND('[1]2'!D46*1000,0)</f>
        <v>0</v>
      </c>
      <c r="E24" s="180">
        <v>4112</v>
      </c>
      <c r="F24" s="180">
        <f>ROUND('[1]2'!G46*1000,0)</f>
        <v>4112</v>
      </c>
      <c r="G24" s="180">
        <f>ROUND('[1]2'!H46*1000,0)</f>
        <v>4112</v>
      </c>
      <c r="H24" s="180">
        <v>4112</v>
      </c>
      <c r="I24" s="180">
        <v>2630</v>
      </c>
      <c r="J24" s="180">
        <v>4112</v>
      </c>
      <c r="K24" s="180">
        <v>4112</v>
      </c>
      <c r="L24" s="102"/>
      <c r="M24" s="105" t="e">
        <f>'4 '!#REF!*1000</f>
        <v>#REF!</v>
      </c>
      <c r="N24" s="111">
        <f>'4 '!AL23*1000</f>
        <v>2383.7999999999997</v>
      </c>
      <c r="O24" s="111">
        <f>'4 '!AQ23*1000</f>
        <v>2387.4</v>
      </c>
    </row>
    <row r="25" spans="1:15" ht="12.75">
      <c r="A25" s="179" t="s">
        <v>362</v>
      </c>
      <c r="B25" s="104" t="s">
        <v>363</v>
      </c>
      <c r="C25" s="96"/>
      <c r="D25" s="96" t="e">
        <f aca="true" t="shared" si="6" ref="D25:K25">SUM(D23/D24)</f>
        <v>#DIV/0!</v>
      </c>
      <c r="E25" s="96">
        <f t="shared" si="6"/>
        <v>0.7650778210116731</v>
      </c>
      <c r="F25" s="96">
        <f t="shared" si="6"/>
        <v>0.7889105058365758</v>
      </c>
      <c r="G25" s="96">
        <f t="shared" si="6"/>
        <v>0.7962670233463035</v>
      </c>
      <c r="H25" s="96">
        <f t="shared" si="6"/>
        <v>0.8588278210116731</v>
      </c>
      <c r="I25" s="96">
        <f t="shared" si="6"/>
        <v>0.6705323193916349</v>
      </c>
      <c r="J25" s="96">
        <f t="shared" si="6"/>
        <v>0.8590710116731517</v>
      </c>
      <c r="K25" s="96">
        <f t="shared" si="6"/>
        <v>0.9773224708171206</v>
      </c>
      <c r="L25" s="108"/>
      <c r="M25" s="98" t="e">
        <f>M23/M24</f>
        <v>#REF!</v>
      </c>
      <c r="N25" s="98" t="e">
        <f>N23/N24</f>
        <v>#REF!</v>
      </c>
      <c r="O25" s="98" t="e">
        <f>O23/O24</f>
        <v>#REF!</v>
      </c>
    </row>
    <row r="26" spans="1:15" ht="12.75">
      <c r="A26" s="179" t="s">
        <v>364</v>
      </c>
      <c r="B26" s="104" t="s">
        <v>365</v>
      </c>
      <c r="C26" s="180"/>
      <c r="D26" s="103">
        <v>4</v>
      </c>
      <c r="E26" s="107">
        <f aca="true" t="shared" si="7" ref="E26:K26">E27-E23</f>
        <v>0</v>
      </c>
      <c r="F26" s="107">
        <f t="shared" si="7"/>
        <v>0</v>
      </c>
      <c r="G26" s="107">
        <f t="shared" si="7"/>
        <v>0</v>
      </c>
      <c r="H26" s="107">
        <f t="shared" si="7"/>
        <v>0</v>
      </c>
      <c r="I26" s="107">
        <f t="shared" si="7"/>
        <v>0</v>
      </c>
      <c r="J26" s="107">
        <f t="shared" si="7"/>
        <v>0</v>
      </c>
      <c r="K26" s="107">
        <f t="shared" si="7"/>
        <v>0</v>
      </c>
      <c r="L26" s="102"/>
      <c r="M26" s="105">
        <v>0</v>
      </c>
      <c r="N26" s="478">
        <v>0</v>
      </c>
      <c r="O26" s="106">
        <v>0</v>
      </c>
    </row>
    <row r="27" spans="1:15" ht="12.75">
      <c r="A27" s="179" t="s">
        <v>366</v>
      </c>
      <c r="B27" s="104" t="s">
        <v>367</v>
      </c>
      <c r="C27" s="180"/>
      <c r="D27" s="103">
        <f>SUM(D23+D26)</f>
        <v>939</v>
      </c>
      <c r="E27" s="103">
        <f aca="true" t="shared" si="8" ref="E27:K27">E23</f>
        <v>3146</v>
      </c>
      <c r="F27" s="103">
        <f t="shared" si="8"/>
        <v>3244</v>
      </c>
      <c r="G27" s="103">
        <f t="shared" si="8"/>
        <v>3274.25</v>
      </c>
      <c r="H27" s="103">
        <f t="shared" si="8"/>
        <v>3531.5</v>
      </c>
      <c r="I27" s="103">
        <f t="shared" si="8"/>
        <v>1763.5</v>
      </c>
      <c r="J27" s="103">
        <f t="shared" si="8"/>
        <v>3532.5</v>
      </c>
      <c r="K27" s="103">
        <f t="shared" si="8"/>
        <v>4018.75</v>
      </c>
      <c r="L27" s="102"/>
      <c r="M27" s="100" t="e">
        <f>M23</f>
        <v>#REF!</v>
      </c>
      <c r="N27" s="100" t="e">
        <f>N23</f>
        <v>#REF!</v>
      </c>
      <c r="O27" s="100" t="e">
        <f>O23</f>
        <v>#REF!</v>
      </c>
    </row>
    <row r="28" spans="1:15" ht="42.75" customHeight="1">
      <c r="A28" s="179" t="s">
        <v>197</v>
      </c>
      <c r="B28" s="99" t="s">
        <v>368</v>
      </c>
      <c r="C28" s="96"/>
      <c r="D28" s="96" t="e">
        <f aca="true" t="shared" si="9" ref="D28:K28">SUM(D27/D24)</f>
        <v>#DIV/0!</v>
      </c>
      <c r="E28" s="96">
        <f t="shared" si="9"/>
        <v>0.7650778210116731</v>
      </c>
      <c r="F28" s="96">
        <f t="shared" si="9"/>
        <v>0.7889105058365758</v>
      </c>
      <c r="G28" s="96">
        <f t="shared" si="9"/>
        <v>0.7962670233463035</v>
      </c>
      <c r="H28" s="96">
        <f t="shared" si="9"/>
        <v>0.8588278210116731</v>
      </c>
      <c r="I28" s="96">
        <f t="shared" si="9"/>
        <v>0.6705323193916349</v>
      </c>
      <c r="J28" s="96">
        <f t="shared" si="9"/>
        <v>0.8590710116731517</v>
      </c>
      <c r="K28" s="96">
        <f t="shared" si="9"/>
        <v>0.9773224708171206</v>
      </c>
      <c r="L28" s="95"/>
      <c r="M28" s="98" t="e">
        <f>M23/M24</f>
        <v>#REF!</v>
      </c>
      <c r="N28" s="98" t="e">
        <f>N23/N24</f>
        <v>#REF!</v>
      </c>
      <c r="O28" s="98" t="e">
        <f>O23/O24</f>
        <v>#REF!</v>
      </c>
    </row>
    <row r="29" spans="1:15" ht="12.75">
      <c r="A29" s="179" t="s">
        <v>369</v>
      </c>
      <c r="B29" s="97" t="s">
        <v>370</v>
      </c>
      <c r="C29" s="96"/>
      <c r="D29" s="96" t="e">
        <f aca="true" t="shared" si="10" ref="D29:K29">ROUND((D27-D11)/D24,3)</f>
        <v>#DIV/0!</v>
      </c>
      <c r="E29" s="96">
        <f t="shared" si="10"/>
        <v>0.573</v>
      </c>
      <c r="F29" s="96">
        <f t="shared" si="10"/>
        <v>0.589</v>
      </c>
      <c r="G29" s="96">
        <f t="shared" si="10"/>
        <v>0.596</v>
      </c>
      <c r="H29" s="96">
        <f t="shared" si="10"/>
        <v>0.611</v>
      </c>
      <c r="I29" s="96">
        <f t="shared" si="10"/>
        <v>0.482</v>
      </c>
      <c r="J29" s="96">
        <f t="shared" si="10"/>
        <v>0.611</v>
      </c>
      <c r="K29" s="96">
        <f t="shared" si="10"/>
        <v>0.685</v>
      </c>
      <c r="L29" s="95"/>
      <c r="M29" s="98" t="e">
        <f>(M23-M11)/M24</f>
        <v>#REF!</v>
      </c>
      <c r="N29" s="480"/>
      <c r="O29" s="481" t="e">
        <f>(O23-O11)/O24</f>
        <v>#REF!</v>
      </c>
    </row>
    <row r="30" spans="1:15" ht="13.5" thickBot="1">
      <c r="A30" s="92" t="s">
        <v>371</v>
      </c>
      <c r="B30" s="91" t="s">
        <v>372</v>
      </c>
      <c r="C30" s="90"/>
      <c r="D30" s="90" t="e">
        <f aca="true" t="shared" si="11" ref="D30:K30">ROUND(D11/D24,3)</f>
        <v>#DIV/0!</v>
      </c>
      <c r="E30" s="90">
        <f t="shared" si="11"/>
        <v>0.192</v>
      </c>
      <c r="F30" s="90">
        <f t="shared" si="11"/>
        <v>0.2</v>
      </c>
      <c r="G30" s="90">
        <f t="shared" si="11"/>
        <v>0.2</v>
      </c>
      <c r="H30" s="90">
        <f t="shared" si="11"/>
        <v>0.248</v>
      </c>
      <c r="I30" s="90">
        <f t="shared" si="11"/>
        <v>0.188</v>
      </c>
      <c r="J30" s="90">
        <f t="shared" si="11"/>
        <v>0.248</v>
      </c>
      <c r="K30" s="90">
        <f t="shared" si="11"/>
        <v>0.292</v>
      </c>
      <c r="L30" s="89"/>
      <c r="M30" s="87" t="e">
        <f>M11/M24</f>
        <v>#REF!</v>
      </c>
      <c r="N30" s="480"/>
      <c r="O30" s="482" t="e">
        <f>O11/O24</f>
        <v>#REF!</v>
      </c>
    </row>
    <row r="31" spans="1:12" ht="12.75">
      <c r="A31" s="462"/>
      <c r="B31" s="463"/>
      <c r="C31" s="464"/>
      <c r="D31" s="464"/>
      <c r="E31" s="464"/>
      <c r="F31" s="464"/>
      <c r="G31" s="464"/>
      <c r="L31" s="465"/>
    </row>
    <row r="33" spans="1:12" s="216" customFormat="1" ht="15.75">
      <c r="A33" s="982"/>
      <c r="B33" s="982"/>
      <c r="C33" s="982"/>
      <c r="D33" s="982"/>
      <c r="E33" s="982"/>
      <c r="F33" s="982"/>
      <c r="G33" s="982"/>
      <c r="H33" s="982"/>
      <c r="I33" s="982"/>
      <c r="J33" s="982"/>
      <c r="K33" s="982"/>
      <c r="L33" s="982"/>
    </row>
    <row r="34" spans="2:7" ht="15.75">
      <c r="B34" s="475" t="s">
        <v>500</v>
      </c>
      <c r="D34" s="428"/>
      <c r="E34" s="466"/>
      <c r="G34" s="466"/>
    </row>
    <row r="35" spans="1:13" ht="15.75" customHeight="1">
      <c r="A35" s="467"/>
      <c r="B35" s="475" t="s">
        <v>499</v>
      </c>
      <c r="C35" s="467"/>
      <c r="D35" s="467"/>
      <c r="E35" s="467"/>
      <c r="F35" s="467"/>
      <c r="G35" s="467"/>
      <c r="H35" s="467"/>
      <c r="I35" s="467"/>
      <c r="J35" s="467"/>
      <c r="K35" s="467"/>
      <c r="L35" s="981" t="s">
        <v>515</v>
      </c>
      <c r="M35" s="981"/>
    </row>
  </sheetData>
  <sheetProtection/>
  <mergeCells count="8">
    <mergeCell ref="L35:M35"/>
    <mergeCell ref="A33:L33"/>
    <mergeCell ref="A1:D1"/>
    <mergeCell ref="A2:M2"/>
    <mergeCell ref="A4:A5"/>
    <mergeCell ref="B4:B5"/>
    <mergeCell ref="L4:L5"/>
    <mergeCell ref="M4:M5"/>
  </mergeCells>
  <printOptions/>
  <pageMargins left="0.7480314960629921" right="0.6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133"/>
  <sheetViews>
    <sheetView zoomScaleSheetLayoutView="100" zoomScalePageLayoutView="0" workbookViewId="0" topLeftCell="A1">
      <selection activeCell="S30" sqref="S30"/>
    </sheetView>
  </sheetViews>
  <sheetFormatPr defaultColWidth="9.00390625" defaultRowHeight="12.75"/>
  <cols>
    <col min="1" max="1" width="8.375" style="367" customWidth="1"/>
    <col min="2" max="2" width="51.875" style="367" customWidth="1"/>
    <col min="3" max="3" width="10.375" style="367" customWidth="1"/>
    <col min="4" max="4" width="16.00390625" style="367" hidden="1" customWidth="1"/>
    <col min="5" max="5" width="18.875" style="367" hidden="1" customWidth="1"/>
    <col min="6" max="6" width="10.875" style="367" hidden="1" customWidth="1"/>
    <col min="7" max="7" width="19.00390625" style="367" hidden="1" customWidth="1"/>
    <col min="8" max="8" width="14.375" style="367" hidden="1" customWidth="1"/>
    <col min="9" max="9" width="19.125" style="367" hidden="1" customWidth="1"/>
    <col min="10" max="10" width="15.125" style="367" hidden="1" customWidth="1"/>
    <col min="11" max="11" width="13.50390625" style="367" hidden="1" customWidth="1"/>
    <col min="12" max="12" width="15.50390625" style="367" hidden="1" customWidth="1"/>
    <col min="13" max="13" width="15.125" style="367" hidden="1" customWidth="1"/>
    <col min="14" max="15" width="16.875" style="367" customWidth="1"/>
    <col min="16" max="16" width="18.625" style="367" customWidth="1"/>
    <col min="17" max="17" width="18.00390625" style="367" hidden="1" customWidth="1"/>
    <col min="18" max="18" width="19.375" style="367" hidden="1" customWidth="1"/>
    <col min="19" max="19" width="16.875" style="367" customWidth="1"/>
    <col min="20" max="20" width="18.125" style="367" hidden="1" customWidth="1"/>
    <col min="21" max="21" width="18.875" style="367" hidden="1" customWidth="1"/>
    <col min="22" max="22" width="10.625" style="367" bestFit="1" customWidth="1"/>
    <col min="23" max="16384" width="9.375" style="367" customWidth="1"/>
  </cols>
  <sheetData>
    <row r="1" spans="1:21" ht="26.25">
      <c r="A1" s="975" t="s">
        <v>555</v>
      </c>
      <c r="B1" s="975"/>
      <c r="C1" s="975"/>
      <c r="D1" s="975"/>
      <c r="F1" s="483"/>
      <c r="H1" s="483"/>
      <c r="I1" s="483"/>
      <c r="J1" s="483"/>
      <c r="K1" s="483"/>
      <c r="P1" s="1006" t="s">
        <v>319</v>
      </c>
      <c r="Q1" s="1006"/>
      <c r="R1" s="1006"/>
      <c r="S1" s="1006"/>
      <c r="T1" s="997" t="s">
        <v>319</v>
      </c>
      <c r="U1" s="997"/>
    </row>
    <row r="3" spans="1:21" ht="36.75" customHeight="1">
      <c r="A3" s="998" t="s">
        <v>566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  <c r="U3" s="998"/>
    </row>
    <row r="4" spans="1:21" ht="15" customHeight="1">
      <c r="A4" s="484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</row>
    <row r="5" spans="1:19" ht="13.5" thickBot="1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O5" s="999"/>
      <c r="P5" s="999"/>
      <c r="Q5" s="999"/>
      <c r="R5" s="999"/>
      <c r="S5" s="1000"/>
    </row>
    <row r="6" spans="1:21" ht="29.25" customHeight="1">
      <c r="A6" s="1001" t="s">
        <v>373</v>
      </c>
      <c r="B6" s="1003" t="s">
        <v>4</v>
      </c>
      <c r="C6" s="1003" t="s">
        <v>374</v>
      </c>
      <c r="D6" s="118" t="s">
        <v>329</v>
      </c>
      <c r="E6" s="183"/>
      <c r="F6" s="183" t="s">
        <v>375</v>
      </c>
      <c r="G6" s="118" t="s">
        <v>376</v>
      </c>
      <c r="H6" s="183" t="s">
        <v>377</v>
      </c>
      <c r="I6" s="118" t="s">
        <v>378</v>
      </c>
      <c r="J6" s="119" t="s">
        <v>379</v>
      </c>
      <c r="K6" s="119" t="s">
        <v>380</v>
      </c>
      <c r="L6" s="991" t="s">
        <v>565</v>
      </c>
      <c r="M6" s="991" t="s">
        <v>574</v>
      </c>
      <c r="N6" s="991" t="s">
        <v>567</v>
      </c>
      <c r="O6" s="991" t="s">
        <v>592</v>
      </c>
      <c r="P6" s="962" t="s">
        <v>594</v>
      </c>
      <c r="Q6" s="1009" t="s">
        <v>338</v>
      </c>
      <c r="R6" s="1010"/>
      <c r="S6" s="1007" t="s">
        <v>593</v>
      </c>
      <c r="T6" s="994" t="s">
        <v>338</v>
      </c>
      <c r="U6" s="995"/>
    </row>
    <row r="7" spans="1:21" ht="29.25" customHeight="1">
      <c r="A7" s="1002"/>
      <c r="B7" s="1004"/>
      <c r="C7" s="1004"/>
      <c r="D7" s="120"/>
      <c r="E7" s="184"/>
      <c r="F7" s="184"/>
      <c r="G7" s="120"/>
      <c r="H7" s="184"/>
      <c r="I7" s="120"/>
      <c r="J7" s="121"/>
      <c r="K7" s="121"/>
      <c r="L7" s="1005"/>
      <c r="M7" s="1005"/>
      <c r="N7" s="1005"/>
      <c r="O7" s="1005"/>
      <c r="P7" s="963"/>
      <c r="Q7" s="435" t="s">
        <v>484</v>
      </c>
      <c r="R7" s="435" t="s">
        <v>485</v>
      </c>
      <c r="S7" s="1008"/>
      <c r="T7" s="486" t="s">
        <v>484</v>
      </c>
      <c r="U7" s="487" t="s">
        <v>485</v>
      </c>
    </row>
    <row r="8" spans="1:21" ht="14.25" customHeight="1" thickBot="1">
      <c r="A8" s="488">
        <v>1</v>
      </c>
      <c r="B8" s="489">
        <v>2</v>
      </c>
      <c r="C8" s="489">
        <v>3</v>
      </c>
      <c r="D8" s="489">
        <v>3</v>
      </c>
      <c r="E8" s="489">
        <v>3</v>
      </c>
      <c r="F8" s="489">
        <v>3</v>
      </c>
      <c r="G8" s="489">
        <v>3</v>
      </c>
      <c r="H8" s="489">
        <v>3</v>
      </c>
      <c r="I8" s="489">
        <v>3</v>
      </c>
      <c r="J8" s="489">
        <v>3</v>
      </c>
      <c r="K8" s="489">
        <v>3</v>
      </c>
      <c r="L8" s="489">
        <v>4</v>
      </c>
      <c r="M8" s="489">
        <v>5</v>
      </c>
      <c r="N8" s="489">
        <v>6</v>
      </c>
      <c r="O8" s="489">
        <v>7</v>
      </c>
      <c r="P8" s="184">
        <v>8</v>
      </c>
      <c r="Q8" s="184">
        <f>+P8+1</f>
        <v>9</v>
      </c>
      <c r="R8" s="184">
        <f>+Q8+1</f>
        <v>10</v>
      </c>
      <c r="S8" s="490">
        <v>9</v>
      </c>
      <c r="T8" s="489">
        <f>+S8+1</f>
        <v>10</v>
      </c>
      <c r="U8" s="491">
        <f>+T8+1</f>
        <v>11</v>
      </c>
    </row>
    <row r="9" spans="1:21" s="500" customFormat="1" ht="30" customHeight="1" thickTop="1">
      <c r="A9" s="492" t="s">
        <v>8</v>
      </c>
      <c r="B9" s="493" t="s">
        <v>381</v>
      </c>
      <c r="C9" s="494" t="s">
        <v>382</v>
      </c>
      <c r="D9" s="493">
        <v>6</v>
      </c>
      <c r="E9" s="493"/>
      <c r="F9" s="495">
        <v>6</v>
      </c>
      <c r="G9" s="495">
        <v>4</v>
      </c>
      <c r="H9" s="495">
        <v>6</v>
      </c>
      <c r="I9" s="496">
        <v>4</v>
      </c>
      <c r="J9" s="496">
        <v>4</v>
      </c>
      <c r="K9" s="496">
        <v>4</v>
      </c>
      <c r="L9" s="497">
        <v>2</v>
      </c>
      <c r="M9" s="497">
        <v>0</v>
      </c>
      <c r="N9" s="497">
        <f>SUM(N10)</f>
        <v>2</v>
      </c>
      <c r="O9" s="497">
        <f aca="true" t="shared" si="0" ref="O9:U9">SUM(O10)</f>
        <v>5</v>
      </c>
      <c r="P9" s="497">
        <f t="shared" si="0"/>
        <v>5</v>
      </c>
      <c r="Q9" s="497">
        <f t="shared" si="0"/>
        <v>4</v>
      </c>
      <c r="R9" s="497">
        <f t="shared" si="0"/>
        <v>3</v>
      </c>
      <c r="S9" s="497">
        <f t="shared" si="0"/>
        <v>0</v>
      </c>
      <c r="T9" s="497">
        <f t="shared" si="0"/>
        <v>4</v>
      </c>
      <c r="U9" s="497">
        <f t="shared" si="0"/>
        <v>3</v>
      </c>
    </row>
    <row r="10" spans="1:21" ht="27.75" customHeight="1">
      <c r="A10" s="131"/>
      <c r="B10" s="132" t="s">
        <v>383</v>
      </c>
      <c r="C10" s="184" t="s">
        <v>382</v>
      </c>
      <c r="D10" s="132">
        <v>4</v>
      </c>
      <c r="E10" s="132">
        <v>280</v>
      </c>
      <c r="F10" s="133">
        <v>4</v>
      </c>
      <c r="G10" s="133">
        <v>4</v>
      </c>
      <c r="H10" s="133">
        <v>4</v>
      </c>
      <c r="I10" s="129">
        <v>4</v>
      </c>
      <c r="J10" s="129">
        <v>4</v>
      </c>
      <c r="K10" s="129">
        <v>4</v>
      </c>
      <c r="L10" s="129">
        <v>2</v>
      </c>
      <c r="M10" s="129">
        <v>0</v>
      </c>
      <c r="N10" s="129">
        <v>2</v>
      </c>
      <c r="O10" s="129">
        <v>5</v>
      </c>
      <c r="P10" s="740">
        <v>5</v>
      </c>
      <c r="Q10" s="501">
        <v>4</v>
      </c>
      <c r="R10" s="501">
        <v>3</v>
      </c>
      <c r="S10" s="741">
        <v>0</v>
      </c>
      <c r="T10" s="498">
        <f>Q10</f>
        <v>4</v>
      </c>
      <c r="U10" s="499">
        <f>R10</f>
        <v>3</v>
      </c>
    </row>
    <row r="11" spans="1:21" ht="15" hidden="1">
      <c r="A11" s="131" t="s">
        <v>12</v>
      </c>
      <c r="B11" s="502" t="s">
        <v>384</v>
      </c>
      <c r="C11" s="184"/>
      <c r="D11" s="132"/>
      <c r="E11" s="132"/>
      <c r="F11" s="133"/>
      <c r="G11" s="133"/>
      <c r="H11" s="133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503"/>
      <c r="T11" s="129"/>
      <c r="U11" s="504"/>
    </row>
    <row r="12" spans="1:21" ht="15" hidden="1">
      <c r="A12" s="135" t="s">
        <v>34</v>
      </c>
      <c r="B12" s="132" t="s">
        <v>385</v>
      </c>
      <c r="C12" s="184" t="s">
        <v>386</v>
      </c>
      <c r="D12" s="132"/>
      <c r="E12" s="132"/>
      <c r="F12" s="133"/>
      <c r="G12" s="133"/>
      <c r="H12" s="133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503"/>
      <c r="T12" s="129"/>
      <c r="U12" s="504"/>
    </row>
    <row r="13" spans="1:21" ht="15" hidden="1">
      <c r="A13" s="131" t="s">
        <v>158</v>
      </c>
      <c r="B13" s="132" t="s">
        <v>387</v>
      </c>
      <c r="C13" s="184"/>
      <c r="D13" s="136"/>
      <c r="E13" s="136"/>
      <c r="F13" s="133"/>
      <c r="G13" s="133"/>
      <c r="H13" s="133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503"/>
      <c r="T13" s="129"/>
      <c r="U13" s="504"/>
    </row>
    <row r="14" spans="1:21" ht="30" hidden="1">
      <c r="A14" s="131" t="s">
        <v>38</v>
      </c>
      <c r="B14" s="132" t="s">
        <v>388</v>
      </c>
      <c r="C14" s="184" t="s">
        <v>386</v>
      </c>
      <c r="D14" s="132"/>
      <c r="E14" s="132"/>
      <c r="F14" s="133"/>
      <c r="G14" s="133"/>
      <c r="H14" s="133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503"/>
      <c r="T14" s="129"/>
      <c r="U14" s="504"/>
    </row>
    <row r="15" spans="1:21" ht="15" hidden="1">
      <c r="A15" s="131" t="s">
        <v>389</v>
      </c>
      <c r="B15" s="132" t="s">
        <v>390</v>
      </c>
      <c r="C15" s="184"/>
      <c r="D15" s="132"/>
      <c r="E15" s="132"/>
      <c r="F15" s="133"/>
      <c r="G15" s="133"/>
      <c r="H15" s="133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503"/>
      <c r="T15" s="129"/>
      <c r="U15" s="504"/>
    </row>
    <row r="16" spans="1:21" ht="30" hidden="1">
      <c r="A16" s="131" t="s">
        <v>391</v>
      </c>
      <c r="B16" s="132" t="s">
        <v>392</v>
      </c>
      <c r="C16" s="184" t="s">
        <v>386</v>
      </c>
      <c r="D16" s="132"/>
      <c r="E16" s="132"/>
      <c r="F16" s="133"/>
      <c r="G16" s="133"/>
      <c r="H16" s="133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503"/>
      <c r="T16" s="129"/>
      <c r="U16" s="504"/>
    </row>
    <row r="17" spans="1:21" ht="15">
      <c r="A17" s="182">
        <v>2</v>
      </c>
      <c r="B17" s="132" t="s">
        <v>393</v>
      </c>
      <c r="C17" s="184" t="s">
        <v>201</v>
      </c>
      <c r="D17" s="137">
        <v>4167</v>
      </c>
      <c r="E17" s="137">
        <f>E33/2.6/1.991</f>
        <v>3429.0847274272687</v>
      </c>
      <c r="F17" s="133">
        <v>4167</v>
      </c>
      <c r="G17" s="133">
        <v>4509</v>
      </c>
      <c r="H17" s="133">
        <v>4495</v>
      </c>
      <c r="I17" s="129">
        <v>4865</v>
      </c>
      <c r="J17" s="129">
        <v>4783</v>
      </c>
      <c r="K17" s="129">
        <v>4798</v>
      </c>
      <c r="L17" s="129">
        <v>9468</v>
      </c>
      <c r="M17" s="129">
        <v>0</v>
      </c>
      <c r="N17" s="129">
        <v>9468</v>
      </c>
      <c r="O17" s="129">
        <f>((19850*45%+14290*37%+14880*5%+14880*5%+23800*10%)*12+14290*37%*0.3*1.5+14880*5%*2*0.3*1.5)/12/5</f>
        <v>3668.37475</v>
      </c>
      <c r="P17" s="129">
        <f>((19850*45%+14290*37%+14880*5%+14880*5%+23800*10%)*12+14290*37%*0.3*1.5+14880*5%*2*0.3*1.5)/12/5*1.1</f>
        <v>4035.212225</v>
      </c>
      <c r="Q17" s="129">
        <v>12167</v>
      </c>
      <c r="R17" s="129">
        <v>12167</v>
      </c>
      <c r="S17" s="503">
        <f>M17*1.067*1.053</f>
        <v>0</v>
      </c>
      <c r="T17" s="503"/>
      <c r="U17" s="503"/>
    </row>
    <row r="18" spans="1:21" ht="30" hidden="1">
      <c r="A18" s="131" t="s">
        <v>394</v>
      </c>
      <c r="B18" s="132" t="s">
        <v>395</v>
      </c>
      <c r="C18" s="184"/>
      <c r="D18" s="132"/>
      <c r="E18" s="132"/>
      <c r="F18" s="133"/>
      <c r="G18" s="133"/>
      <c r="H18" s="133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503"/>
      <c r="T18" s="129"/>
      <c r="U18" s="504"/>
    </row>
    <row r="19" spans="1:21" ht="15" hidden="1">
      <c r="A19" s="131" t="s">
        <v>396</v>
      </c>
      <c r="B19" s="132" t="s">
        <v>397</v>
      </c>
      <c r="C19" s="184" t="s">
        <v>107</v>
      </c>
      <c r="D19" s="137"/>
      <c r="E19" s="137"/>
      <c r="F19" s="133"/>
      <c r="G19" s="133"/>
      <c r="H19" s="133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503"/>
      <c r="T19" s="129"/>
      <c r="U19" s="504"/>
    </row>
    <row r="20" spans="1:21" ht="15" hidden="1">
      <c r="A20" s="131" t="s">
        <v>398</v>
      </c>
      <c r="B20" s="132" t="s">
        <v>399</v>
      </c>
      <c r="C20" s="184" t="s">
        <v>386</v>
      </c>
      <c r="D20" s="137"/>
      <c r="E20" s="137"/>
      <c r="F20" s="133"/>
      <c r="G20" s="133"/>
      <c r="H20" s="133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503"/>
      <c r="T20" s="129"/>
      <c r="U20" s="504"/>
    </row>
    <row r="21" spans="1:21" ht="15">
      <c r="A21" s="182" t="s">
        <v>34</v>
      </c>
      <c r="B21" s="132" t="s">
        <v>400</v>
      </c>
      <c r="C21" s="184"/>
      <c r="D21" s="132"/>
      <c r="E21" s="132"/>
      <c r="F21" s="133"/>
      <c r="G21" s="133"/>
      <c r="H21" s="133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503"/>
      <c r="T21" s="129"/>
      <c r="U21" s="504"/>
    </row>
    <row r="22" spans="1:21" ht="15">
      <c r="A22" s="131"/>
      <c r="B22" s="132" t="s">
        <v>397</v>
      </c>
      <c r="C22" s="184" t="s">
        <v>107</v>
      </c>
      <c r="D22" s="137">
        <v>75</v>
      </c>
      <c r="E22" s="137">
        <v>70</v>
      </c>
      <c r="F22" s="133">
        <v>40</v>
      </c>
      <c r="G22" s="133">
        <v>40</v>
      </c>
      <c r="H22" s="133">
        <v>40</v>
      </c>
      <c r="I22" s="129">
        <v>40</v>
      </c>
      <c r="J22" s="129">
        <v>40</v>
      </c>
      <c r="K22" s="129">
        <v>40</v>
      </c>
      <c r="L22" s="129">
        <v>30</v>
      </c>
      <c r="M22" s="129">
        <v>0</v>
      </c>
      <c r="N22" s="129">
        <v>25</v>
      </c>
      <c r="O22" s="129">
        <v>30</v>
      </c>
      <c r="P22" s="129">
        <v>30</v>
      </c>
      <c r="Q22" s="129">
        <v>30</v>
      </c>
      <c r="R22" s="129">
        <v>30</v>
      </c>
      <c r="S22" s="503">
        <v>0</v>
      </c>
      <c r="T22" s="503"/>
      <c r="U22" s="503"/>
    </row>
    <row r="23" spans="1:22" ht="15">
      <c r="A23" s="131"/>
      <c r="B23" s="132" t="s">
        <v>399</v>
      </c>
      <c r="C23" s="184" t="s">
        <v>386</v>
      </c>
      <c r="D23" s="137">
        <f>D17*D22/100</f>
        <v>3125.25</v>
      </c>
      <c r="E23" s="137">
        <f>E17*2.6*E22%</f>
        <v>6240.934203917629</v>
      </c>
      <c r="F23" s="133">
        <f aca="true" t="shared" si="1" ref="F23:K23">F17*F22/100</f>
        <v>1666.8</v>
      </c>
      <c r="G23" s="133">
        <f t="shared" si="1"/>
        <v>1803.6</v>
      </c>
      <c r="H23" s="133">
        <f t="shared" si="1"/>
        <v>1798</v>
      </c>
      <c r="I23" s="133">
        <f t="shared" si="1"/>
        <v>1946</v>
      </c>
      <c r="J23" s="133">
        <f t="shared" si="1"/>
        <v>1913.2</v>
      </c>
      <c r="K23" s="133">
        <f t="shared" si="1"/>
        <v>1919.2</v>
      </c>
      <c r="L23" s="133">
        <v>2841</v>
      </c>
      <c r="M23" s="133">
        <v>0</v>
      </c>
      <c r="N23" s="133">
        <v>2367</v>
      </c>
      <c r="O23" s="133">
        <f>O17*O22/100</f>
        <v>1100.512425</v>
      </c>
      <c r="P23" s="133">
        <f>P17*P22/100</f>
        <v>1210.5636675</v>
      </c>
      <c r="Q23" s="133">
        <v>3650.1</v>
      </c>
      <c r="R23" s="133">
        <v>3650.1</v>
      </c>
      <c r="S23" s="505">
        <f>S17*S22/100</f>
        <v>0</v>
      </c>
      <c r="T23" s="133"/>
      <c r="U23" s="506"/>
      <c r="V23" s="507"/>
    </row>
    <row r="24" spans="1:21" ht="15">
      <c r="A24" s="131" t="s">
        <v>401</v>
      </c>
      <c r="B24" s="132" t="s">
        <v>402</v>
      </c>
      <c r="C24" s="184"/>
      <c r="D24" s="132"/>
      <c r="E24" s="132"/>
      <c r="F24" s="133"/>
      <c r="G24" s="133"/>
      <c r="H24" s="133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503"/>
      <c r="T24" s="129"/>
      <c r="U24" s="504"/>
    </row>
    <row r="25" spans="1:21" ht="15">
      <c r="A25" s="131" t="s">
        <v>403</v>
      </c>
      <c r="B25" s="132" t="s">
        <v>397</v>
      </c>
      <c r="C25" s="184" t="s">
        <v>107</v>
      </c>
      <c r="D25" s="137"/>
      <c r="E25" s="137">
        <v>29.1</v>
      </c>
      <c r="F25" s="133"/>
      <c r="G25" s="133"/>
      <c r="H25" s="133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503"/>
      <c r="T25" s="129"/>
      <c r="U25" s="504"/>
    </row>
    <row r="26" spans="1:21" ht="15">
      <c r="A26" s="131" t="s">
        <v>404</v>
      </c>
      <c r="B26" s="132" t="s">
        <v>399</v>
      </c>
      <c r="C26" s="184" t="s">
        <v>386</v>
      </c>
      <c r="D26" s="137"/>
      <c r="E26" s="137">
        <f>E17*2.6*E25%</f>
        <v>2594.445504771472</v>
      </c>
      <c r="F26" s="133"/>
      <c r="G26" s="133"/>
      <c r="H26" s="133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503"/>
      <c r="T26" s="129"/>
      <c r="U26" s="504"/>
    </row>
    <row r="27" spans="1:21" ht="15">
      <c r="A27" s="131" t="s">
        <v>405</v>
      </c>
      <c r="B27" s="132" t="s">
        <v>406</v>
      </c>
      <c r="C27" s="184" t="s">
        <v>386</v>
      </c>
      <c r="D27" s="132"/>
      <c r="E27" s="132"/>
      <c r="F27" s="133"/>
      <c r="G27" s="133"/>
      <c r="H27" s="133"/>
      <c r="I27" s="129"/>
      <c r="J27" s="129"/>
      <c r="K27" s="129"/>
      <c r="L27" s="129"/>
      <c r="M27" s="129">
        <v>0</v>
      </c>
      <c r="N27" s="129">
        <v>0</v>
      </c>
      <c r="O27" s="129"/>
      <c r="P27" s="129">
        <v>0</v>
      </c>
      <c r="Q27" s="129"/>
      <c r="R27" s="129">
        <v>2027.833333333333</v>
      </c>
      <c r="S27" s="503">
        <v>0</v>
      </c>
      <c r="T27" s="129"/>
      <c r="U27" s="504"/>
    </row>
    <row r="28" spans="1:21" ht="15">
      <c r="A28" s="131" t="s">
        <v>407</v>
      </c>
      <c r="B28" s="132" t="s">
        <v>397</v>
      </c>
      <c r="C28" s="184" t="s">
        <v>107</v>
      </c>
      <c r="D28" s="138"/>
      <c r="E28" s="138"/>
      <c r="F28" s="133"/>
      <c r="G28" s="133"/>
      <c r="H28" s="133"/>
      <c r="I28" s="129"/>
      <c r="J28" s="129"/>
      <c r="K28" s="129"/>
      <c r="L28" s="129">
        <v>0</v>
      </c>
      <c r="M28" s="129"/>
      <c r="N28" s="129"/>
      <c r="O28" s="129"/>
      <c r="P28" s="129"/>
      <c r="Q28" s="129"/>
      <c r="R28" s="129"/>
      <c r="S28" s="503"/>
      <c r="T28" s="129"/>
      <c r="U28" s="504"/>
    </row>
    <row r="29" spans="1:21" ht="15">
      <c r="A29" s="131" t="s">
        <v>408</v>
      </c>
      <c r="B29" s="132" t="s">
        <v>399</v>
      </c>
      <c r="C29" s="184" t="s">
        <v>386</v>
      </c>
      <c r="D29" s="138"/>
      <c r="E29" s="138"/>
      <c r="F29" s="133"/>
      <c r="G29" s="133"/>
      <c r="H29" s="133"/>
      <c r="I29" s="129"/>
      <c r="J29" s="129"/>
      <c r="K29" s="129"/>
      <c r="L29" s="129">
        <v>0</v>
      </c>
      <c r="M29" s="129"/>
      <c r="N29" s="129"/>
      <c r="O29" s="129"/>
      <c r="P29" s="129"/>
      <c r="Q29" s="129"/>
      <c r="R29" s="129"/>
      <c r="S29" s="503"/>
      <c r="T29" s="129"/>
      <c r="U29" s="504"/>
    </row>
    <row r="30" spans="1:21" ht="30">
      <c r="A30" s="139" t="s">
        <v>158</v>
      </c>
      <c r="B30" s="132" t="s">
        <v>409</v>
      </c>
      <c r="C30" s="184"/>
      <c r="D30" s="132"/>
      <c r="E30" s="132"/>
      <c r="F30" s="133"/>
      <c r="G30" s="133"/>
      <c r="H30" s="133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503"/>
      <c r="T30" s="129"/>
      <c r="U30" s="504"/>
    </row>
    <row r="31" spans="1:21" ht="15">
      <c r="A31" s="140"/>
      <c r="B31" s="132" t="s">
        <v>397</v>
      </c>
      <c r="C31" s="184" t="s">
        <v>107</v>
      </c>
      <c r="D31" s="137">
        <v>160</v>
      </c>
      <c r="E31" s="137">
        <v>160</v>
      </c>
      <c r="F31" s="133">
        <v>160</v>
      </c>
      <c r="G31" s="133">
        <v>160</v>
      </c>
      <c r="H31" s="133">
        <v>160</v>
      </c>
      <c r="I31" s="129">
        <v>160</v>
      </c>
      <c r="J31" s="129">
        <v>160</v>
      </c>
      <c r="K31" s="129">
        <v>160</v>
      </c>
      <c r="L31" s="129">
        <v>160</v>
      </c>
      <c r="M31" s="129">
        <v>0</v>
      </c>
      <c r="N31" s="129">
        <v>160</v>
      </c>
      <c r="O31" s="129">
        <v>160</v>
      </c>
      <c r="P31" s="129">
        <v>160</v>
      </c>
      <c r="Q31" s="129">
        <v>160</v>
      </c>
      <c r="R31" s="129">
        <v>160</v>
      </c>
      <c r="S31" s="503">
        <f>N31</f>
        <v>160</v>
      </c>
      <c r="T31" s="129"/>
      <c r="U31" s="504"/>
    </row>
    <row r="32" spans="1:23" ht="15">
      <c r="A32" s="140"/>
      <c r="B32" s="132" t="s">
        <v>399</v>
      </c>
      <c r="C32" s="184" t="s">
        <v>386</v>
      </c>
      <c r="D32" s="137">
        <f>(D17+D23)*D31%</f>
        <v>11667.6</v>
      </c>
      <c r="E32" s="137">
        <f>E17*E31%</f>
        <v>5486.53556388363</v>
      </c>
      <c r="F32" s="133">
        <f aca="true" t="shared" si="2" ref="F32:K32">(F17+F23)*F31%</f>
        <v>9334.08</v>
      </c>
      <c r="G32" s="133">
        <f t="shared" si="2"/>
        <v>10100.160000000002</v>
      </c>
      <c r="H32" s="133">
        <f t="shared" si="2"/>
        <v>10068.800000000001</v>
      </c>
      <c r="I32" s="133">
        <f t="shared" si="2"/>
        <v>10897.6</v>
      </c>
      <c r="J32" s="133">
        <f t="shared" si="2"/>
        <v>10713.92</v>
      </c>
      <c r="K32" s="133">
        <f t="shared" si="2"/>
        <v>10747.52</v>
      </c>
      <c r="L32" s="129">
        <f>(L17+L23)*160%</f>
        <v>19694.4</v>
      </c>
      <c r="M32" s="133">
        <f>(M17+M23+M27/12)*M31%</f>
        <v>0</v>
      </c>
      <c r="N32" s="133">
        <v>18937</v>
      </c>
      <c r="O32" s="133">
        <f>(O17+O23+O27)*O31%</f>
        <v>7630.21948</v>
      </c>
      <c r="P32" s="133">
        <f>(P17+P23+P27/12)*P31%</f>
        <v>8393.241428</v>
      </c>
      <c r="Q32" s="133">
        <f>(Q17+Q23+Q27/12)*Q31%</f>
        <v>25307.36</v>
      </c>
      <c r="R32" s="133">
        <f>(R17+R23+R27/12)*R31%</f>
        <v>25577.73777777778</v>
      </c>
      <c r="S32" s="505">
        <f>(S17+S23)*S31/100</f>
        <v>0</v>
      </c>
      <c r="T32" s="133"/>
      <c r="U32" s="506"/>
      <c r="W32" s="507"/>
    </row>
    <row r="33" spans="1:21" s="516" customFormat="1" ht="30" customHeight="1" thickBot="1">
      <c r="A33" s="508" t="s">
        <v>38</v>
      </c>
      <c r="B33" s="509" t="s">
        <v>410</v>
      </c>
      <c r="C33" s="510" t="s">
        <v>386</v>
      </c>
      <c r="D33" s="511">
        <f>D17+D23+D32</f>
        <v>18959.85</v>
      </c>
      <c r="E33" s="511">
        <v>17751</v>
      </c>
      <c r="F33" s="512">
        <f aca="true" t="shared" si="3" ref="F33:K33">F17+F23+F32</f>
        <v>15167.880000000001</v>
      </c>
      <c r="G33" s="512">
        <f t="shared" si="3"/>
        <v>16412.760000000002</v>
      </c>
      <c r="H33" s="512">
        <f t="shared" si="3"/>
        <v>16361.800000000001</v>
      </c>
      <c r="I33" s="512">
        <f t="shared" si="3"/>
        <v>17708.6</v>
      </c>
      <c r="J33" s="512">
        <f t="shared" si="3"/>
        <v>17410.12</v>
      </c>
      <c r="K33" s="512">
        <f t="shared" si="3"/>
        <v>17464.72</v>
      </c>
      <c r="L33" s="513">
        <f>L17+L23+L32</f>
        <v>32003.4</v>
      </c>
      <c r="M33" s="512">
        <f aca="true" t="shared" si="4" ref="M33:R33">M17+M23+M27/12+M32</f>
        <v>0</v>
      </c>
      <c r="N33" s="512">
        <f>N17+N23+N32</f>
        <v>30772</v>
      </c>
      <c r="O33" s="512">
        <f t="shared" si="4"/>
        <v>12399.106655</v>
      </c>
      <c r="P33" s="512">
        <f t="shared" si="4"/>
        <v>13639.0173205</v>
      </c>
      <c r="Q33" s="512">
        <f t="shared" si="4"/>
        <v>41124.46</v>
      </c>
      <c r="R33" s="512">
        <f t="shared" si="4"/>
        <v>41563.82388888889</v>
      </c>
      <c r="S33" s="514">
        <f>S17+S23+S27+S32</f>
        <v>0</v>
      </c>
      <c r="T33" s="512"/>
      <c r="U33" s="515"/>
    </row>
    <row r="34" spans="1:21" s="523" customFormat="1" ht="29.25" thickBot="1">
      <c r="A34" s="517" t="s">
        <v>14</v>
      </c>
      <c r="B34" s="518" t="s">
        <v>411</v>
      </c>
      <c r="C34" s="519" t="s">
        <v>412</v>
      </c>
      <c r="D34" s="520">
        <f aca="true" t="shared" si="5" ref="D34:K34">D35+D37</f>
        <v>979.0727999999999</v>
      </c>
      <c r="E34" s="520">
        <f t="shared" si="5"/>
        <v>61941.36</v>
      </c>
      <c r="F34" s="521">
        <f t="shared" si="5"/>
        <v>797.05824</v>
      </c>
      <c r="G34" s="521">
        <f t="shared" si="5"/>
        <v>827.81248</v>
      </c>
      <c r="H34" s="521">
        <f t="shared" si="5"/>
        <v>860.3664</v>
      </c>
      <c r="I34" s="521">
        <f t="shared" si="5"/>
        <v>893.0128</v>
      </c>
      <c r="J34" s="521">
        <f t="shared" si="5"/>
        <v>449.84288</v>
      </c>
      <c r="K34" s="521">
        <f t="shared" si="5"/>
        <v>889.3065600000001</v>
      </c>
      <c r="L34" s="521">
        <v>793</v>
      </c>
      <c r="M34" s="521">
        <v>0</v>
      </c>
      <c r="N34" s="742">
        <f aca="true" t="shared" si="6" ref="N34:S34">N35+N36+N37</f>
        <v>739</v>
      </c>
      <c r="O34" s="742">
        <f t="shared" si="6"/>
        <v>795</v>
      </c>
      <c r="P34" s="742">
        <f t="shared" si="6"/>
        <v>869</v>
      </c>
      <c r="Q34" s="742">
        <f t="shared" si="6"/>
        <v>1009.5</v>
      </c>
      <c r="R34" s="742">
        <f t="shared" si="6"/>
        <v>778.5</v>
      </c>
      <c r="S34" s="742">
        <f t="shared" si="6"/>
        <v>0</v>
      </c>
      <c r="T34" s="521"/>
      <c r="U34" s="522"/>
    </row>
    <row r="35" spans="1:21" ht="15">
      <c r="A35" s="524" t="s">
        <v>175</v>
      </c>
      <c r="B35" s="525" t="s">
        <v>413</v>
      </c>
      <c r="C35" s="526" t="s">
        <v>414</v>
      </c>
      <c r="D35" s="527">
        <v>69</v>
      </c>
      <c r="E35" s="527">
        <v>2298</v>
      </c>
      <c r="F35" s="528">
        <v>69</v>
      </c>
      <c r="G35" s="528">
        <v>40</v>
      </c>
      <c r="H35" s="528">
        <v>75</v>
      </c>
      <c r="I35" s="529">
        <v>43</v>
      </c>
      <c r="J35" s="529">
        <v>32</v>
      </c>
      <c r="K35" s="529">
        <v>51</v>
      </c>
      <c r="L35" s="529">
        <v>25</v>
      </c>
      <c r="M35" s="529">
        <v>0</v>
      </c>
      <c r="N35" s="529">
        <v>0</v>
      </c>
      <c r="O35" s="529">
        <f>(50000*45%+50000*37%+50000*2*5%+50000*10%)/1000</f>
        <v>51</v>
      </c>
      <c r="P35" s="529">
        <f>(50000*45%+50000*37%+50000*2*5%+50000*10%)/1000</f>
        <v>51</v>
      </c>
      <c r="Q35" s="529">
        <v>22.5</v>
      </c>
      <c r="R35" s="529">
        <v>22.5</v>
      </c>
      <c r="S35" s="530">
        <v>0</v>
      </c>
      <c r="T35" s="529"/>
      <c r="U35" s="531"/>
    </row>
    <row r="36" spans="1:21" ht="15">
      <c r="A36" s="139" t="s">
        <v>176</v>
      </c>
      <c r="B36" s="147" t="s">
        <v>415</v>
      </c>
      <c r="C36" s="184" t="s">
        <v>414</v>
      </c>
      <c r="D36" s="137"/>
      <c r="E36" s="137"/>
      <c r="F36" s="133"/>
      <c r="G36" s="133"/>
      <c r="H36" s="133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503"/>
      <c r="T36" s="129"/>
      <c r="U36" s="504"/>
    </row>
    <row r="37" spans="1:22" ht="15">
      <c r="A37" s="139" t="s">
        <v>416</v>
      </c>
      <c r="B37" s="147" t="s">
        <v>417</v>
      </c>
      <c r="C37" s="184" t="s">
        <v>414</v>
      </c>
      <c r="D37" s="137">
        <f aca="true" t="shared" si="7" ref="D37:K37">D33*D10*12/1000</f>
        <v>910.0727999999999</v>
      </c>
      <c r="E37" s="137">
        <f t="shared" si="7"/>
        <v>59643.36</v>
      </c>
      <c r="F37" s="133">
        <f t="shared" si="7"/>
        <v>728.05824</v>
      </c>
      <c r="G37" s="133">
        <f t="shared" si="7"/>
        <v>787.81248</v>
      </c>
      <c r="H37" s="133">
        <f t="shared" si="7"/>
        <v>785.3664</v>
      </c>
      <c r="I37" s="133">
        <f t="shared" si="7"/>
        <v>850.0128</v>
      </c>
      <c r="J37" s="133">
        <f>J33*J10*6/1000</f>
        <v>417.84288</v>
      </c>
      <c r="K37" s="133">
        <f t="shared" si="7"/>
        <v>838.3065600000001</v>
      </c>
      <c r="L37" s="133">
        <f>L33*L10*12/1000</f>
        <v>768.0816000000001</v>
      </c>
      <c r="M37" s="133">
        <f>M33*M10*12/1000</f>
        <v>0</v>
      </c>
      <c r="N37" s="133">
        <v>739</v>
      </c>
      <c r="O37" s="133">
        <f>ROUND(O33*O10*12/1000,0)</f>
        <v>744</v>
      </c>
      <c r="P37" s="133">
        <f>ROUND(P33*P10*12/1000,0)</f>
        <v>818</v>
      </c>
      <c r="Q37" s="133">
        <f>ROUND(Q33*Q10*6/1000,0)</f>
        <v>987</v>
      </c>
      <c r="R37" s="133">
        <f>ROUND((R33-R27/12-R27*R31%/12)*R10*6/1000+(R27+R27*R31%)*R10/1000,0)</f>
        <v>756</v>
      </c>
      <c r="S37" s="505">
        <f>S33*S10*12/1000</f>
        <v>0</v>
      </c>
      <c r="T37" s="133"/>
      <c r="U37" s="506"/>
      <c r="V37" s="532"/>
    </row>
    <row r="38" spans="1:21" ht="42" customHeight="1">
      <c r="A38" s="182" t="s">
        <v>22</v>
      </c>
      <c r="B38" s="533" t="s">
        <v>418</v>
      </c>
      <c r="C38" s="184"/>
      <c r="D38" s="132"/>
      <c r="E38" s="132"/>
      <c r="F38" s="133"/>
      <c r="G38" s="133"/>
      <c r="H38" s="133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503"/>
      <c r="T38" s="129"/>
      <c r="U38" s="504"/>
    </row>
    <row r="39" spans="1:21" ht="30">
      <c r="A39" s="182" t="s">
        <v>129</v>
      </c>
      <c r="B39" s="147" t="s">
        <v>419</v>
      </c>
      <c r="C39" s="184" t="s">
        <v>382</v>
      </c>
      <c r="D39" s="132"/>
      <c r="E39" s="132"/>
      <c r="F39" s="133"/>
      <c r="G39" s="133"/>
      <c r="H39" s="133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503"/>
      <c r="T39" s="129"/>
      <c r="U39" s="504"/>
    </row>
    <row r="40" spans="1:21" ht="15">
      <c r="A40" s="182" t="s">
        <v>133</v>
      </c>
      <c r="B40" s="147" t="s">
        <v>420</v>
      </c>
      <c r="C40" s="184" t="s">
        <v>386</v>
      </c>
      <c r="D40" s="132"/>
      <c r="E40" s="132"/>
      <c r="F40" s="133"/>
      <c r="G40" s="133"/>
      <c r="H40" s="133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503"/>
      <c r="T40" s="129"/>
      <c r="U40" s="504"/>
    </row>
    <row r="41" spans="1:21" ht="15">
      <c r="A41" s="182" t="s">
        <v>134</v>
      </c>
      <c r="B41" s="147" t="s">
        <v>413</v>
      </c>
      <c r="C41" s="184" t="s">
        <v>421</v>
      </c>
      <c r="D41" s="132"/>
      <c r="E41" s="132"/>
      <c r="F41" s="133"/>
      <c r="G41" s="133"/>
      <c r="H41" s="133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503"/>
      <c r="T41" s="129"/>
      <c r="U41" s="504"/>
    </row>
    <row r="42" spans="1:21" ht="15">
      <c r="A42" s="182" t="s">
        <v>422</v>
      </c>
      <c r="B42" s="147" t="s">
        <v>423</v>
      </c>
      <c r="C42" s="184" t="s">
        <v>421</v>
      </c>
      <c r="D42" s="132"/>
      <c r="E42" s="132"/>
      <c r="F42" s="133"/>
      <c r="G42" s="133"/>
      <c r="H42" s="133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503"/>
      <c r="T42" s="129"/>
      <c r="U42" s="504"/>
    </row>
    <row r="43" spans="1:21" ht="30">
      <c r="A43" s="182" t="s">
        <v>424</v>
      </c>
      <c r="B43" s="147" t="s">
        <v>425</v>
      </c>
      <c r="C43" s="184" t="s">
        <v>421</v>
      </c>
      <c r="D43" s="132"/>
      <c r="E43" s="132"/>
      <c r="F43" s="133"/>
      <c r="G43" s="133"/>
      <c r="H43" s="133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503"/>
      <c r="T43" s="129"/>
      <c r="U43" s="504"/>
    </row>
    <row r="44" spans="1:21" ht="15">
      <c r="A44" s="182" t="s">
        <v>24</v>
      </c>
      <c r="B44" s="533" t="s">
        <v>426</v>
      </c>
      <c r="C44" s="184"/>
      <c r="D44" s="132"/>
      <c r="E44" s="132"/>
      <c r="F44" s="133"/>
      <c r="G44" s="133"/>
      <c r="H44" s="133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503"/>
      <c r="T44" s="129"/>
      <c r="U44" s="504"/>
    </row>
    <row r="45" spans="1:21" ht="30">
      <c r="A45" s="182" t="s">
        <v>47</v>
      </c>
      <c r="B45" s="147" t="s">
        <v>427</v>
      </c>
      <c r="C45" s="184" t="s">
        <v>382</v>
      </c>
      <c r="D45" s="132">
        <v>11</v>
      </c>
      <c r="E45" s="132">
        <v>280</v>
      </c>
      <c r="F45" s="133">
        <f aca="true" t="shared" si="8" ref="F45:K45">F10</f>
        <v>4</v>
      </c>
      <c r="G45" s="133">
        <f t="shared" si="8"/>
        <v>4</v>
      </c>
      <c r="H45" s="133">
        <f t="shared" si="8"/>
        <v>4</v>
      </c>
      <c r="I45" s="133">
        <f t="shared" si="8"/>
        <v>4</v>
      </c>
      <c r="J45" s="133">
        <f t="shared" si="8"/>
        <v>4</v>
      </c>
      <c r="K45" s="133">
        <f t="shared" si="8"/>
        <v>4</v>
      </c>
      <c r="L45" s="133">
        <f aca="true" t="shared" si="9" ref="L45:S45">L10</f>
        <v>2</v>
      </c>
      <c r="M45" s="133">
        <f t="shared" si="9"/>
        <v>0</v>
      </c>
      <c r="N45" s="534">
        <v>2</v>
      </c>
      <c r="O45" s="133">
        <f t="shared" si="9"/>
        <v>5</v>
      </c>
      <c r="P45" s="133">
        <f t="shared" si="9"/>
        <v>5</v>
      </c>
      <c r="Q45" s="133">
        <f t="shared" si="9"/>
        <v>4</v>
      </c>
      <c r="R45" s="133">
        <f t="shared" si="9"/>
        <v>3</v>
      </c>
      <c r="S45" s="535">
        <f t="shared" si="9"/>
        <v>0</v>
      </c>
      <c r="T45" s="133"/>
      <c r="U45" s="506"/>
    </row>
    <row r="46" spans="1:21" ht="15">
      <c r="A46" s="182" t="s">
        <v>48</v>
      </c>
      <c r="B46" s="147" t="s">
        <v>428</v>
      </c>
      <c r="C46" s="184" t="s">
        <v>386</v>
      </c>
      <c r="D46" s="137"/>
      <c r="E46" s="137">
        <f>E47/E45*1000/12</f>
        <v>357.1428571428571</v>
      </c>
      <c r="F46" s="133"/>
      <c r="G46" s="133"/>
      <c r="H46" s="133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503"/>
      <c r="T46" s="129"/>
      <c r="U46" s="504"/>
    </row>
    <row r="47" spans="1:21" ht="15">
      <c r="A47" s="182" t="s">
        <v>50</v>
      </c>
      <c r="B47" s="147" t="s">
        <v>429</v>
      </c>
      <c r="C47" s="184" t="s">
        <v>421</v>
      </c>
      <c r="D47" s="138"/>
      <c r="E47" s="138">
        <v>1200</v>
      </c>
      <c r="F47" s="133"/>
      <c r="G47" s="133"/>
      <c r="H47" s="133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503"/>
      <c r="T47" s="129"/>
      <c r="U47" s="504"/>
    </row>
    <row r="48" spans="1:21" ht="15">
      <c r="A48" s="536" t="s">
        <v>430</v>
      </c>
      <c r="B48" s="533" t="s">
        <v>431</v>
      </c>
      <c r="C48" s="184" t="s">
        <v>421</v>
      </c>
      <c r="D48" s="137">
        <f aca="true" t="shared" si="10" ref="D48:O48">D34+D47</f>
        <v>979.0727999999999</v>
      </c>
      <c r="E48" s="137">
        <f t="shared" si="10"/>
        <v>63141.36</v>
      </c>
      <c r="F48" s="133">
        <f t="shared" si="10"/>
        <v>797.05824</v>
      </c>
      <c r="G48" s="133">
        <f t="shared" si="10"/>
        <v>827.81248</v>
      </c>
      <c r="H48" s="133">
        <f t="shared" si="10"/>
        <v>860.3664</v>
      </c>
      <c r="I48" s="133">
        <f t="shared" si="10"/>
        <v>893.0128</v>
      </c>
      <c r="J48" s="133">
        <f t="shared" si="10"/>
        <v>449.84288</v>
      </c>
      <c r="K48" s="133">
        <f t="shared" si="10"/>
        <v>889.3065600000001</v>
      </c>
      <c r="L48" s="133">
        <f t="shared" si="10"/>
        <v>793</v>
      </c>
      <c r="M48" s="133">
        <f t="shared" si="10"/>
        <v>0</v>
      </c>
      <c r="N48" s="133">
        <f>N34+N47</f>
        <v>739</v>
      </c>
      <c r="O48" s="133">
        <f t="shared" si="10"/>
        <v>795</v>
      </c>
      <c r="P48" s="133">
        <f>P34+P47</f>
        <v>869</v>
      </c>
      <c r="Q48" s="133">
        <f>Q34+Q47</f>
        <v>1009.5</v>
      </c>
      <c r="R48" s="133">
        <f>R34+R47</f>
        <v>778.5</v>
      </c>
      <c r="S48" s="505">
        <f>S34</f>
        <v>0</v>
      </c>
      <c r="T48" s="133"/>
      <c r="U48" s="506"/>
    </row>
    <row r="49" spans="1:22" ht="15">
      <c r="A49" s="536" t="s">
        <v>28</v>
      </c>
      <c r="B49" s="533" t="s">
        <v>432</v>
      </c>
      <c r="C49" s="184" t="s">
        <v>386</v>
      </c>
      <c r="D49" s="137">
        <f aca="true" t="shared" si="11" ref="D49:I49">D48/D45/12*1000</f>
        <v>7417.218181818181</v>
      </c>
      <c r="E49" s="137">
        <f t="shared" si="11"/>
        <v>18792.071428571428</v>
      </c>
      <c r="F49" s="133">
        <f t="shared" si="11"/>
        <v>16605.38</v>
      </c>
      <c r="G49" s="133">
        <f t="shared" si="11"/>
        <v>17246.093333333334</v>
      </c>
      <c r="H49" s="133">
        <f t="shared" si="11"/>
        <v>17924.3</v>
      </c>
      <c r="I49" s="133">
        <f t="shared" si="11"/>
        <v>18604.433333333334</v>
      </c>
      <c r="J49" s="133">
        <f>J48/J45/6*1000</f>
        <v>18743.45333333333</v>
      </c>
      <c r="K49" s="133">
        <f>K48/K45/12*1000</f>
        <v>18527.220000000005</v>
      </c>
      <c r="L49" s="133">
        <v>33029</v>
      </c>
      <c r="M49" s="133" t="e">
        <f>M48/M45/12*1000</f>
        <v>#DIV/0!</v>
      </c>
      <c r="N49" s="133">
        <v>30772</v>
      </c>
      <c r="O49" s="133">
        <f>O48/O45/12*1000</f>
        <v>13250</v>
      </c>
      <c r="P49" s="133">
        <f>P48/P45/12*1000</f>
        <v>14483.333333333334</v>
      </c>
      <c r="Q49" s="133">
        <f>Q48/Q45/12*1000</f>
        <v>21031.25</v>
      </c>
      <c r="R49" s="133">
        <f>R48/R45/12*1000</f>
        <v>21625</v>
      </c>
      <c r="S49" s="505" t="e">
        <f>S37/S45/12*1000</f>
        <v>#DIV/0!</v>
      </c>
      <c r="T49" s="133"/>
      <c r="U49" s="506"/>
      <c r="V49" s="537"/>
    </row>
    <row r="50" spans="1:21" ht="15.75" thickBot="1">
      <c r="A50" s="538"/>
      <c r="B50" s="539"/>
      <c r="C50" s="540"/>
      <c r="D50" s="541"/>
      <c r="E50" s="541"/>
      <c r="F50" s="542"/>
      <c r="G50" s="542"/>
      <c r="H50" s="542"/>
      <c r="I50" s="542"/>
      <c r="J50" s="542"/>
      <c r="K50" s="542"/>
      <c r="L50" s="542"/>
      <c r="M50" s="542"/>
      <c r="N50" s="542"/>
      <c r="O50" s="542"/>
      <c r="P50" s="542"/>
      <c r="Q50" s="542"/>
      <c r="R50" s="542"/>
      <c r="S50" s="543"/>
      <c r="T50" s="542"/>
      <c r="U50" s="544"/>
    </row>
    <row r="51" spans="1:12" ht="12.75">
      <c r="A51" s="485"/>
      <c r="B51" s="545"/>
      <c r="C51" s="546"/>
      <c r="D51" s="485"/>
      <c r="E51" s="485"/>
      <c r="F51" s="485"/>
      <c r="G51" s="485"/>
      <c r="H51" s="485"/>
      <c r="I51" s="485"/>
      <c r="J51" s="485"/>
      <c r="K51" s="485"/>
      <c r="L51" s="485"/>
    </row>
    <row r="52" spans="1:12" s="548" customFormat="1" ht="14.25" customHeight="1">
      <c r="A52" s="547"/>
      <c r="B52" s="547"/>
      <c r="C52" s="547"/>
      <c r="D52" s="547"/>
      <c r="E52" s="547"/>
      <c r="F52" s="547"/>
      <c r="G52" s="547"/>
      <c r="H52" s="547"/>
      <c r="I52" s="547"/>
      <c r="J52" s="547"/>
      <c r="K52" s="547"/>
      <c r="L52" s="547"/>
    </row>
    <row r="53" spans="1:21" ht="15.75">
      <c r="A53" s="996" t="s">
        <v>575</v>
      </c>
      <c r="B53" s="996"/>
      <c r="C53" s="996"/>
      <c r="D53" s="996"/>
      <c r="E53" s="996"/>
      <c r="F53" s="996"/>
      <c r="G53" s="996"/>
      <c r="H53" s="996"/>
      <c r="I53" s="996"/>
      <c r="J53" s="996"/>
      <c r="K53" s="996"/>
      <c r="L53" s="996"/>
      <c r="M53" s="996"/>
      <c r="N53" s="996"/>
      <c r="O53" s="996"/>
      <c r="P53" s="996"/>
      <c r="Q53" s="996"/>
      <c r="R53" s="996"/>
      <c r="S53" s="996"/>
      <c r="T53" s="996"/>
      <c r="U53" s="996"/>
    </row>
    <row r="54" spans="1:12" ht="15.75">
      <c r="A54" s="549"/>
      <c r="B54" s="549"/>
      <c r="C54" s="549"/>
      <c r="D54" s="549"/>
      <c r="E54" s="549"/>
      <c r="F54" s="549"/>
      <c r="G54" s="549"/>
      <c r="H54" s="549"/>
      <c r="I54" s="549"/>
      <c r="J54" s="549"/>
      <c r="K54" s="549"/>
      <c r="L54" s="549"/>
    </row>
    <row r="55" spans="1:12" ht="15.75">
      <c r="A55" s="467"/>
      <c r="B55" s="467"/>
      <c r="C55" s="467"/>
      <c r="D55" s="467"/>
      <c r="E55" s="467"/>
      <c r="F55" s="467"/>
      <c r="G55" s="467"/>
      <c r="H55" s="467"/>
      <c r="I55" s="467"/>
      <c r="J55" s="467"/>
      <c r="K55" s="467"/>
      <c r="L55" s="467"/>
    </row>
    <row r="56" spans="2:3" ht="12.75">
      <c r="B56" s="550"/>
      <c r="C56" s="551"/>
    </row>
    <row r="57" spans="2:3" ht="12.75">
      <c r="B57" s="550"/>
      <c r="C57" s="551"/>
    </row>
    <row r="58" spans="2:3" ht="12.75">
      <c r="B58" s="550"/>
      <c r="C58" s="551"/>
    </row>
    <row r="59" spans="2:3" ht="12.75">
      <c r="B59" s="550"/>
      <c r="C59" s="551"/>
    </row>
    <row r="60" spans="2:3" ht="12.75">
      <c r="B60" s="550"/>
      <c r="C60" s="551"/>
    </row>
    <row r="61" spans="2:3" ht="12.75">
      <c r="B61" s="550"/>
      <c r="C61" s="551"/>
    </row>
    <row r="62" spans="2:3" ht="12.75">
      <c r="B62" s="550"/>
      <c r="C62" s="551"/>
    </row>
    <row r="63" spans="2:3" ht="12.75">
      <c r="B63" s="550"/>
      <c r="C63" s="551"/>
    </row>
    <row r="64" spans="2:3" ht="12.75">
      <c r="B64" s="550"/>
      <c r="C64" s="551"/>
    </row>
    <row r="65" spans="2:3" ht="12.75">
      <c r="B65" s="550"/>
      <c r="C65" s="551"/>
    </row>
    <row r="66" spans="2:3" ht="12.75">
      <c r="B66" s="550"/>
      <c r="C66" s="551"/>
    </row>
    <row r="67" spans="2:3" ht="12.75">
      <c r="B67" s="550"/>
      <c r="C67" s="551"/>
    </row>
    <row r="68" spans="2:3" ht="12.75">
      <c r="B68" s="550"/>
      <c r="C68" s="551"/>
    </row>
    <row r="69" spans="2:3" ht="12.75">
      <c r="B69" s="550"/>
      <c r="C69" s="551"/>
    </row>
    <row r="70" spans="2:3" ht="12.75">
      <c r="B70" s="550"/>
      <c r="C70" s="551"/>
    </row>
    <row r="71" spans="2:3" ht="12.75">
      <c r="B71" s="550"/>
      <c r="C71" s="551"/>
    </row>
    <row r="72" spans="2:3" ht="12.75">
      <c r="B72" s="550"/>
      <c r="C72" s="551"/>
    </row>
    <row r="73" spans="2:3" ht="12.75">
      <c r="B73" s="550"/>
      <c r="C73" s="551"/>
    </row>
    <row r="74" spans="2:3" ht="12.75">
      <c r="B74" s="550"/>
      <c r="C74" s="551"/>
    </row>
    <row r="75" spans="2:3" ht="12.75">
      <c r="B75" s="550"/>
      <c r="C75" s="551"/>
    </row>
    <row r="76" spans="2:3" ht="12.75">
      <c r="B76" s="550"/>
      <c r="C76" s="551"/>
    </row>
    <row r="77" spans="2:3" ht="12.75">
      <c r="B77" s="550"/>
      <c r="C77" s="551"/>
    </row>
    <row r="78" spans="2:3" ht="12.75">
      <c r="B78" s="550"/>
      <c r="C78" s="551"/>
    </row>
    <row r="79" spans="2:3" ht="12.75">
      <c r="B79" s="550"/>
      <c r="C79" s="551"/>
    </row>
    <row r="80" spans="2:3" ht="12.75">
      <c r="B80" s="550"/>
      <c r="C80" s="551"/>
    </row>
    <row r="81" spans="2:3" ht="12.75">
      <c r="B81" s="550"/>
      <c r="C81" s="551"/>
    </row>
    <row r="82" spans="2:3" ht="12.75">
      <c r="B82" s="550"/>
      <c r="C82" s="551"/>
    </row>
    <row r="83" spans="2:3" ht="12.75">
      <c r="B83" s="550"/>
      <c r="C83" s="551"/>
    </row>
    <row r="84" spans="2:3" ht="12.75">
      <c r="B84" s="550"/>
      <c r="C84" s="551"/>
    </row>
    <row r="85" spans="2:3" ht="12.75">
      <c r="B85" s="550"/>
      <c r="C85" s="551"/>
    </row>
    <row r="86" spans="2:3" ht="12.75">
      <c r="B86" s="550"/>
      <c r="C86" s="551"/>
    </row>
    <row r="87" spans="2:3" ht="12.75">
      <c r="B87" s="550"/>
      <c r="C87" s="551"/>
    </row>
    <row r="88" spans="2:3" ht="12.75">
      <c r="B88" s="550"/>
      <c r="C88" s="551"/>
    </row>
    <row r="89" spans="2:3" ht="12.75">
      <c r="B89" s="550"/>
      <c r="C89" s="551"/>
    </row>
    <row r="90" spans="2:3" ht="12.75">
      <c r="B90" s="550"/>
      <c r="C90" s="551"/>
    </row>
    <row r="91" spans="2:3" ht="12.75">
      <c r="B91" s="550"/>
      <c r="C91" s="551"/>
    </row>
    <row r="92" spans="2:3" ht="12.75">
      <c r="B92" s="550"/>
      <c r="C92" s="551"/>
    </row>
    <row r="93" spans="2:3" ht="12.75">
      <c r="B93" s="550"/>
      <c r="C93" s="551"/>
    </row>
    <row r="94" spans="2:3" ht="12.75">
      <c r="B94" s="550"/>
      <c r="C94" s="551"/>
    </row>
    <row r="95" spans="2:3" ht="12.75">
      <c r="B95" s="550"/>
      <c r="C95" s="551"/>
    </row>
    <row r="96" spans="2:3" ht="12.75">
      <c r="B96" s="550"/>
      <c r="C96" s="551"/>
    </row>
    <row r="97" spans="2:3" ht="12.75">
      <c r="B97" s="550"/>
      <c r="C97" s="551"/>
    </row>
    <row r="98" spans="2:3" ht="12.75">
      <c r="B98" s="550"/>
      <c r="C98" s="551"/>
    </row>
    <row r="99" spans="2:3" ht="12.75">
      <c r="B99" s="550"/>
      <c r="C99" s="551"/>
    </row>
    <row r="100" spans="2:3" ht="12.75">
      <c r="B100" s="550"/>
      <c r="C100" s="551"/>
    </row>
    <row r="101" spans="2:3" ht="12.75">
      <c r="B101" s="550"/>
      <c r="C101" s="551"/>
    </row>
    <row r="102" spans="2:3" ht="12.75">
      <c r="B102" s="550"/>
      <c r="C102" s="551"/>
    </row>
    <row r="103" spans="2:3" ht="12.75">
      <c r="B103" s="550"/>
      <c r="C103" s="551"/>
    </row>
    <row r="104" spans="2:3" ht="12.75">
      <c r="B104" s="550"/>
      <c r="C104" s="551"/>
    </row>
    <row r="105" spans="2:3" ht="12.75">
      <c r="B105" s="550"/>
      <c r="C105" s="551"/>
    </row>
    <row r="106" spans="2:3" ht="12.75">
      <c r="B106" s="550"/>
      <c r="C106" s="551"/>
    </row>
    <row r="107" spans="2:3" ht="12.75">
      <c r="B107" s="550"/>
      <c r="C107" s="551"/>
    </row>
    <row r="108" spans="2:3" ht="12.75">
      <c r="B108" s="550"/>
      <c r="C108" s="551"/>
    </row>
    <row r="109" spans="2:3" ht="12.75">
      <c r="B109" s="550"/>
      <c r="C109" s="551"/>
    </row>
    <row r="110" spans="2:3" ht="12.75">
      <c r="B110" s="550"/>
      <c r="C110" s="551"/>
    </row>
    <row r="111" ht="12.75">
      <c r="C111" s="551"/>
    </row>
    <row r="112" ht="12.75">
      <c r="C112" s="551"/>
    </row>
    <row r="113" ht="12.75">
      <c r="C113" s="551"/>
    </row>
    <row r="114" ht="12.75">
      <c r="C114" s="551"/>
    </row>
    <row r="115" ht="12.75">
      <c r="C115" s="551"/>
    </row>
    <row r="116" ht="12.75">
      <c r="C116" s="551"/>
    </row>
    <row r="117" ht="12.75">
      <c r="C117" s="551"/>
    </row>
    <row r="118" ht="12.75">
      <c r="C118" s="551"/>
    </row>
    <row r="119" ht="12.75">
      <c r="C119" s="551"/>
    </row>
    <row r="120" ht="12.75">
      <c r="C120" s="551"/>
    </row>
    <row r="121" ht="12.75">
      <c r="C121" s="551"/>
    </row>
    <row r="122" ht="12.75">
      <c r="C122" s="551"/>
    </row>
    <row r="123" ht="12.75">
      <c r="C123" s="551"/>
    </row>
    <row r="124" ht="12.75">
      <c r="C124" s="551"/>
    </row>
    <row r="125" ht="12.75">
      <c r="C125" s="551"/>
    </row>
    <row r="126" ht="12.75">
      <c r="C126" s="551"/>
    </row>
    <row r="127" ht="12.75">
      <c r="C127" s="551"/>
    </row>
    <row r="128" ht="12.75">
      <c r="C128" s="551"/>
    </row>
    <row r="129" ht="12.75">
      <c r="C129" s="551"/>
    </row>
    <row r="130" ht="12.75">
      <c r="C130" s="551"/>
    </row>
    <row r="131" ht="12.75">
      <c r="C131" s="551"/>
    </row>
    <row r="132" ht="12.75">
      <c r="C132" s="551"/>
    </row>
    <row r="133" ht="12.75">
      <c r="C133" s="551"/>
    </row>
  </sheetData>
  <sheetProtection/>
  <mergeCells count="17">
    <mergeCell ref="P1:S1"/>
    <mergeCell ref="M6:M7"/>
    <mergeCell ref="N6:N7"/>
    <mergeCell ref="O6:O7"/>
    <mergeCell ref="S6:S7"/>
    <mergeCell ref="P6:P7"/>
    <mergeCell ref="Q6:R6"/>
    <mergeCell ref="T6:U6"/>
    <mergeCell ref="A53:U53"/>
    <mergeCell ref="A1:D1"/>
    <mergeCell ref="T1:U1"/>
    <mergeCell ref="A3:U3"/>
    <mergeCell ref="O5:S5"/>
    <mergeCell ref="A6:A7"/>
    <mergeCell ref="B6:B7"/>
    <mergeCell ref="C6:C7"/>
    <mergeCell ref="L6:L7"/>
  </mergeCells>
  <printOptions/>
  <pageMargins left="0.7480314960629921" right="1.1811023622047245" top="0.75" bottom="0.5905511811023623" header="0.5118110236220472" footer="0.5118110236220472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32"/>
  <sheetViews>
    <sheetView view="pageBreakPreview" zoomScaleNormal="80" zoomScaleSheetLayoutView="100" zoomScalePageLayoutView="0" workbookViewId="0" topLeftCell="A1">
      <selection activeCell="P54" sqref="P54"/>
    </sheetView>
  </sheetViews>
  <sheetFormatPr defaultColWidth="9.00390625" defaultRowHeight="12.75"/>
  <cols>
    <col min="1" max="1" width="8.375" style="367" customWidth="1"/>
    <col min="2" max="2" width="51.875" style="367" customWidth="1"/>
    <col min="3" max="3" width="10.375" style="367" customWidth="1"/>
    <col min="4" max="4" width="16.00390625" style="367" hidden="1" customWidth="1"/>
    <col min="5" max="5" width="18.875" style="367" hidden="1" customWidth="1"/>
    <col min="6" max="6" width="10.875" style="367" hidden="1" customWidth="1"/>
    <col min="7" max="7" width="19.00390625" style="367" hidden="1" customWidth="1"/>
    <col min="8" max="8" width="14.375" style="367" hidden="1" customWidth="1"/>
    <col min="9" max="9" width="19.125" style="367" hidden="1" customWidth="1"/>
    <col min="10" max="10" width="15.125" style="367" hidden="1" customWidth="1"/>
    <col min="11" max="11" width="13.50390625" style="367" hidden="1" customWidth="1"/>
    <col min="12" max="12" width="16.875" style="367" customWidth="1"/>
    <col min="13" max="13" width="19.50390625" style="367" customWidth="1"/>
    <col min="14" max="16384" width="9.375" style="367" customWidth="1"/>
  </cols>
  <sheetData>
    <row r="1" spans="1:13" ht="18.75">
      <c r="A1" s="983" t="s">
        <v>313</v>
      </c>
      <c r="B1" s="983"/>
      <c r="C1" s="983"/>
      <c r="D1" s="983"/>
      <c r="F1" s="483"/>
      <c r="H1" s="483"/>
      <c r="I1" s="483"/>
      <c r="J1" s="483"/>
      <c r="K1" s="483"/>
      <c r="M1" s="483" t="s">
        <v>319</v>
      </c>
    </row>
    <row r="3" spans="1:13" ht="43.5" customHeight="1">
      <c r="A3" s="998" t="s">
        <v>505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86"/>
    </row>
    <row r="4" spans="1:12" ht="15" customHeight="1">
      <c r="A4" s="484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</row>
    <row r="5" spans="1:12" ht="16.5" thickBot="1">
      <c r="A5" s="485"/>
      <c r="B5" s="1012"/>
      <c r="C5" s="1013"/>
      <c r="D5" s="485"/>
      <c r="E5" s="485"/>
      <c r="F5" s="485"/>
      <c r="G5" s="485"/>
      <c r="H5" s="485"/>
      <c r="I5" s="485"/>
      <c r="J5" s="485"/>
      <c r="K5" s="485"/>
      <c r="L5" s="552"/>
    </row>
    <row r="6" spans="1:13" ht="29.25" customHeight="1">
      <c r="A6" s="1014" t="s">
        <v>506</v>
      </c>
      <c r="B6" s="1016" t="s">
        <v>4</v>
      </c>
      <c r="C6" s="1016" t="s">
        <v>374</v>
      </c>
      <c r="D6" s="118" t="s">
        <v>329</v>
      </c>
      <c r="E6" s="183"/>
      <c r="F6" s="183" t="s">
        <v>375</v>
      </c>
      <c r="G6" s="118" t="s">
        <v>376</v>
      </c>
      <c r="H6" s="183" t="s">
        <v>377</v>
      </c>
      <c r="I6" s="118" t="s">
        <v>378</v>
      </c>
      <c r="J6" s="119" t="s">
        <v>379</v>
      </c>
      <c r="K6" s="119" t="s">
        <v>380</v>
      </c>
      <c r="L6" s="962" t="s">
        <v>514</v>
      </c>
      <c r="M6" s="969" t="s">
        <v>511</v>
      </c>
    </row>
    <row r="7" spans="1:13" ht="29.25" customHeight="1">
      <c r="A7" s="1015"/>
      <c r="B7" s="1017"/>
      <c r="C7" s="1017"/>
      <c r="D7" s="120"/>
      <c r="E7" s="184"/>
      <c r="F7" s="184"/>
      <c r="G7" s="120"/>
      <c r="H7" s="184"/>
      <c r="I7" s="120"/>
      <c r="J7" s="121"/>
      <c r="K7" s="121"/>
      <c r="L7" s="963"/>
      <c r="M7" s="993"/>
    </row>
    <row r="8" spans="1:13" ht="14.25" customHeight="1">
      <c r="A8" s="122">
        <v>1</v>
      </c>
      <c r="B8" s="123">
        <v>2</v>
      </c>
      <c r="C8" s="123">
        <v>3</v>
      </c>
      <c r="D8" s="123">
        <v>3</v>
      </c>
      <c r="E8" s="123">
        <v>3</v>
      </c>
      <c r="F8" s="123">
        <v>3</v>
      </c>
      <c r="G8" s="123">
        <v>3</v>
      </c>
      <c r="H8" s="123">
        <v>3</v>
      </c>
      <c r="I8" s="123">
        <v>3</v>
      </c>
      <c r="J8" s="123">
        <v>3</v>
      </c>
      <c r="K8" s="123">
        <v>3</v>
      </c>
      <c r="L8" s="123">
        <f>C8+1</f>
        <v>4</v>
      </c>
      <c r="M8" s="124">
        <v>5</v>
      </c>
    </row>
    <row r="9" spans="1:13" s="500" customFormat="1" ht="30" customHeight="1">
      <c r="A9" s="125" t="s">
        <v>8</v>
      </c>
      <c r="B9" s="126" t="s">
        <v>381</v>
      </c>
      <c r="C9" s="127" t="s">
        <v>382</v>
      </c>
      <c r="D9" s="126">
        <v>6</v>
      </c>
      <c r="E9" s="126"/>
      <c r="F9" s="128">
        <v>6</v>
      </c>
      <c r="G9" s="128">
        <v>4</v>
      </c>
      <c r="H9" s="128">
        <v>6</v>
      </c>
      <c r="I9" s="129">
        <v>4</v>
      </c>
      <c r="J9" s="129">
        <v>4</v>
      </c>
      <c r="K9" s="129">
        <v>4</v>
      </c>
      <c r="L9" s="130"/>
      <c r="M9" s="553">
        <f>'1.16'!S9*0.05</f>
        <v>0</v>
      </c>
    </row>
    <row r="10" spans="1:13" ht="27.75" customHeight="1">
      <c r="A10" s="131"/>
      <c r="B10" s="132" t="s">
        <v>383</v>
      </c>
      <c r="C10" s="184" t="s">
        <v>382</v>
      </c>
      <c r="D10" s="132">
        <v>4</v>
      </c>
      <c r="E10" s="132">
        <v>280</v>
      </c>
      <c r="F10" s="133">
        <v>4</v>
      </c>
      <c r="G10" s="133">
        <v>4</v>
      </c>
      <c r="H10" s="133">
        <v>4</v>
      </c>
      <c r="I10" s="129">
        <v>4</v>
      </c>
      <c r="J10" s="129">
        <v>4</v>
      </c>
      <c r="K10" s="129">
        <v>4</v>
      </c>
      <c r="L10" s="129"/>
      <c r="M10" s="554">
        <f>M9</f>
        <v>0</v>
      </c>
    </row>
    <row r="11" spans="1:13" ht="15.75" hidden="1">
      <c r="A11" s="131" t="s">
        <v>12</v>
      </c>
      <c r="B11" s="134" t="s">
        <v>384</v>
      </c>
      <c r="C11" s="184"/>
      <c r="D11" s="132"/>
      <c r="E11" s="132"/>
      <c r="F11" s="133"/>
      <c r="G11" s="133"/>
      <c r="H11" s="133"/>
      <c r="I11" s="129"/>
      <c r="J11" s="129"/>
      <c r="K11" s="129"/>
      <c r="L11" s="129"/>
      <c r="M11" s="555"/>
    </row>
    <row r="12" spans="1:13" ht="15.75" hidden="1">
      <c r="A12" s="135" t="s">
        <v>34</v>
      </c>
      <c r="B12" s="132" t="s">
        <v>385</v>
      </c>
      <c r="C12" s="184" t="s">
        <v>386</v>
      </c>
      <c r="D12" s="132"/>
      <c r="E12" s="132"/>
      <c r="F12" s="133"/>
      <c r="G12" s="133"/>
      <c r="H12" s="133"/>
      <c r="I12" s="129"/>
      <c r="J12" s="129"/>
      <c r="K12" s="129"/>
      <c r="L12" s="129"/>
      <c r="M12" s="555"/>
    </row>
    <row r="13" spans="1:13" ht="15.75" hidden="1">
      <c r="A13" s="131" t="s">
        <v>158</v>
      </c>
      <c r="B13" s="132" t="s">
        <v>387</v>
      </c>
      <c r="C13" s="184"/>
      <c r="D13" s="136"/>
      <c r="E13" s="136"/>
      <c r="F13" s="133"/>
      <c r="G13" s="133"/>
      <c r="H13" s="133"/>
      <c r="I13" s="129"/>
      <c r="J13" s="129"/>
      <c r="K13" s="129"/>
      <c r="L13" s="129"/>
      <c r="M13" s="555"/>
    </row>
    <row r="14" spans="1:13" ht="30" hidden="1">
      <c r="A14" s="131" t="s">
        <v>38</v>
      </c>
      <c r="B14" s="132" t="s">
        <v>388</v>
      </c>
      <c r="C14" s="184" t="s">
        <v>386</v>
      </c>
      <c r="D14" s="132"/>
      <c r="E14" s="132"/>
      <c r="F14" s="133"/>
      <c r="G14" s="133"/>
      <c r="H14" s="133"/>
      <c r="I14" s="129"/>
      <c r="J14" s="129"/>
      <c r="K14" s="129"/>
      <c r="L14" s="129"/>
      <c r="M14" s="555"/>
    </row>
    <row r="15" spans="1:13" ht="15.75" hidden="1">
      <c r="A15" s="131" t="s">
        <v>389</v>
      </c>
      <c r="B15" s="132" t="s">
        <v>390</v>
      </c>
      <c r="C15" s="184"/>
      <c r="D15" s="132"/>
      <c r="E15" s="132"/>
      <c r="F15" s="133"/>
      <c r="G15" s="133"/>
      <c r="H15" s="133"/>
      <c r="I15" s="129"/>
      <c r="J15" s="129"/>
      <c r="K15" s="129"/>
      <c r="L15" s="129"/>
      <c r="M15" s="555"/>
    </row>
    <row r="16" spans="1:13" ht="30" hidden="1">
      <c r="A16" s="131" t="s">
        <v>391</v>
      </c>
      <c r="B16" s="132" t="s">
        <v>392</v>
      </c>
      <c r="C16" s="184" t="s">
        <v>386</v>
      </c>
      <c r="D16" s="132"/>
      <c r="E16" s="132"/>
      <c r="F16" s="133"/>
      <c r="G16" s="133"/>
      <c r="H16" s="133"/>
      <c r="I16" s="129"/>
      <c r="J16" s="129"/>
      <c r="K16" s="129"/>
      <c r="L16" s="129"/>
      <c r="M16" s="555"/>
    </row>
    <row r="17" spans="1:13" ht="15.75">
      <c r="A17" s="182">
        <v>2</v>
      </c>
      <c r="B17" s="132" t="s">
        <v>393</v>
      </c>
      <c r="C17" s="184" t="s">
        <v>201</v>
      </c>
      <c r="D17" s="137">
        <v>4167</v>
      </c>
      <c r="E17" s="137">
        <f>E33/2.6/1.991</f>
        <v>3429.0847274272687</v>
      </c>
      <c r="F17" s="133">
        <v>4167</v>
      </c>
      <c r="G17" s="133">
        <v>4509</v>
      </c>
      <c r="H17" s="133">
        <v>4495</v>
      </c>
      <c r="I17" s="129">
        <v>4865</v>
      </c>
      <c r="J17" s="129">
        <v>4783</v>
      </c>
      <c r="K17" s="129">
        <v>4798</v>
      </c>
      <c r="L17" s="129"/>
      <c r="M17" s="556">
        <f>'1.16'!S17</f>
        <v>0</v>
      </c>
    </row>
    <row r="18" spans="1:13" ht="30" hidden="1">
      <c r="A18" s="131" t="s">
        <v>394</v>
      </c>
      <c r="B18" s="132" t="s">
        <v>395</v>
      </c>
      <c r="C18" s="184"/>
      <c r="D18" s="132"/>
      <c r="E18" s="132"/>
      <c r="F18" s="133"/>
      <c r="G18" s="133"/>
      <c r="H18" s="133"/>
      <c r="I18" s="129"/>
      <c r="J18" s="129"/>
      <c r="K18" s="129"/>
      <c r="L18" s="129"/>
      <c r="M18" s="555"/>
    </row>
    <row r="19" spans="1:13" ht="15.75" hidden="1">
      <c r="A19" s="131" t="s">
        <v>396</v>
      </c>
      <c r="B19" s="132" t="s">
        <v>397</v>
      </c>
      <c r="C19" s="184" t="s">
        <v>107</v>
      </c>
      <c r="D19" s="137"/>
      <c r="E19" s="137"/>
      <c r="F19" s="133"/>
      <c r="G19" s="133"/>
      <c r="H19" s="133"/>
      <c r="I19" s="129"/>
      <c r="J19" s="129"/>
      <c r="K19" s="129"/>
      <c r="L19" s="129"/>
      <c r="M19" s="555"/>
    </row>
    <row r="20" spans="1:13" ht="15.75" hidden="1">
      <c r="A20" s="131" t="s">
        <v>398</v>
      </c>
      <c r="B20" s="132" t="s">
        <v>399</v>
      </c>
      <c r="C20" s="184" t="s">
        <v>386</v>
      </c>
      <c r="D20" s="137"/>
      <c r="E20" s="137"/>
      <c r="F20" s="133"/>
      <c r="G20" s="133"/>
      <c r="H20" s="133"/>
      <c r="I20" s="129"/>
      <c r="J20" s="129"/>
      <c r="K20" s="129"/>
      <c r="L20" s="129"/>
      <c r="M20" s="555"/>
    </row>
    <row r="21" spans="1:13" ht="15.75">
      <c r="A21" s="182" t="s">
        <v>34</v>
      </c>
      <c r="B21" s="132" t="s">
        <v>400</v>
      </c>
      <c r="C21" s="184"/>
      <c r="D21" s="132"/>
      <c r="E21" s="132"/>
      <c r="F21" s="133"/>
      <c r="G21" s="133"/>
      <c r="H21" s="133"/>
      <c r="I21" s="129"/>
      <c r="J21" s="129"/>
      <c r="K21" s="129"/>
      <c r="L21" s="129"/>
      <c r="M21" s="555"/>
    </row>
    <row r="22" spans="1:13" ht="15.75">
      <c r="A22" s="131"/>
      <c r="B22" s="132" t="s">
        <v>397</v>
      </c>
      <c r="C22" s="184" t="s">
        <v>107</v>
      </c>
      <c r="D22" s="137">
        <v>75</v>
      </c>
      <c r="E22" s="137">
        <v>70</v>
      </c>
      <c r="F22" s="133">
        <v>40</v>
      </c>
      <c r="G22" s="133">
        <v>40</v>
      </c>
      <c r="H22" s="133">
        <v>40</v>
      </c>
      <c r="I22" s="129">
        <v>40</v>
      </c>
      <c r="J22" s="129">
        <v>40</v>
      </c>
      <c r="K22" s="129">
        <v>40</v>
      </c>
      <c r="L22" s="129"/>
      <c r="M22" s="557">
        <f>'1.16'!S22</f>
        <v>0</v>
      </c>
    </row>
    <row r="23" spans="1:13" ht="15.75">
      <c r="A23" s="131"/>
      <c r="B23" s="132" t="s">
        <v>399</v>
      </c>
      <c r="C23" s="184" t="s">
        <v>386</v>
      </c>
      <c r="D23" s="137">
        <f>D17*D22/100</f>
        <v>3125.25</v>
      </c>
      <c r="E23" s="137">
        <f>E17*2.6*E22%</f>
        <v>6240.934203917629</v>
      </c>
      <c r="F23" s="133">
        <f aca="true" t="shared" si="0" ref="F23:K23">F17*F22/100</f>
        <v>1666.8</v>
      </c>
      <c r="G23" s="133">
        <f t="shared" si="0"/>
        <v>1803.6</v>
      </c>
      <c r="H23" s="133">
        <f t="shared" si="0"/>
        <v>1798</v>
      </c>
      <c r="I23" s="133">
        <f t="shared" si="0"/>
        <v>1946</v>
      </c>
      <c r="J23" s="133">
        <f t="shared" si="0"/>
        <v>1913.2</v>
      </c>
      <c r="K23" s="133">
        <f t="shared" si="0"/>
        <v>1919.2</v>
      </c>
      <c r="L23" s="133"/>
      <c r="M23" s="556">
        <f>M17*M22%</f>
        <v>0</v>
      </c>
    </row>
    <row r="24" spans="1:13" ht="15.75">
      <c r="A24" s="131" t="s">
        <v>401</v>
      </c>
      <c r="B24" s="132" t="s">
        <v>402</v>
      </c>
      <c r="C24" s="184"/>
      <c r="D24" s="132"/>
      <c r="E24" s="132"/>
      <c r="F24" s="133"/>
      <c r="G24" s="133"/>
      <c r="H24" s="133"/>
      <c r="I24" s="129"/>
      <c r="J24" s="129"/>
      <c r="K24" s="129"/>
      <c r="L24" s="129"/>
      <c r="M24" s="555"/>
    </row>
    <row r="25" spans="1:13" ht="15.75">
      <c r="A25" s="131" t="s">
        <v>403</v>
      </c>
      <c r="B25" s="132" t="s">
        <v>397</v>
      </c>
      <c r="C25" s="184" t="s">
        <v>107</v>
      </c>
      <c r="D25" s="137"/>
      <c r="E25" s="137">
        <v>29.1</v>
      </c>
      <c r="F25" s="133"/>
      <c r="G25" s="133"/>
      <c r="H25" s="133"/>
      <c r="I25" s="129"/>
      <c r="J25" s="129"/>
      <c r="K25" s="129"/>
      <c r="L25" s="129"/>
      <c r="M25" s="555"/>
    </row>
    <row r="26" spans="1:13" ht="15.75">
      <c r="A26" s="131" t="s">
        <v>404</v>
      </c>
      <c r="B26" s="132" t="s">
        <v>399</v>
      </c>
      <c r="C26" s="184" t="s">
        <v>386</v>
      </c>
      <c r="D26" s="137"/>
      <c r="E26" s="137">
        <f>E17*2.6*E25%</f>
        <v>2594.445504771472</v>
      </c>
      <c r="F26" s="133"/>
      <c r="G26" s="133"/>
      <c r="H26" s="133"/>
      <c r="I26" s="129"/>
      <c r="J26" s="129"/>
      <c r="K26" s="129"/>
      <c r="L26" s="129"/>
      <c r="M26" s="555"/>
    </row>
    <row r="27" spans="1:13" ht="15.75">
      <c r="A27" s="131" t="s">
        <v>405</v>
      </c>
      <c r="B27" s="132" t="s">
        <v>406</v>
      </c>
      <c r="C27" s="184" t="s">
        <v>386</v>
      </c>
      <c r="D27" s="132"/>
      <c r="E27" s="132"/>
      <c r="F27" s="133"/>
      <c r="G27" s="133"/>
      <c r="H27" s="133"/>
      <c r="I27" s="129"/>
      <c r="J27" s="129"/>
      <c r="K27" s="129"/>
      <c r="L27" s="129"/>
      <c r="M27" s="555"/>
    </row>
    <row r="28" spans="1:13" ht="15.75">
      <c r="A28" s="131" t="s">
        <v>407</v>
      </c>
      <c r="B28" s="132" t="s">
        <v>397</v>
      </c>
      <c r="C28" s="184" t="s">
        <v>107</v>
      </c>
      <c r="D28" s="138"/>
      <c r="E28" s="138"/>
      <c r="F28" s="133"/>
      <c r="G28" s="133"/>
      <c r="H28" s="133"/>
      <c r="I28" s="129"/>
      <c r="J28" s="129"/>
      <c r="K28" s="129"/>
      <c r="L28" s="129"/>
      <c r="M28" s="555"/>
    </row>
    <row r="29" spans="1:13" ht="15.75">
      <c r="A29" s="131" t="s">
        <v>408</v>
      </c>
      <c r="B29" s="132" t="s">
        <v>399</v>
      </c>
      <c r="C29" s="184" t="s">
        <v>386</v>
      </c>
      <c r="D29" s="138"/>
      <c r="E29" s="138"/>
      <c r="F29" s="133"/>
      <c r="G29" s="133"/>
      <c r="H29" s="133"/>
      <c r="I29" s="129"/>
      <c r="J29" s="129"/>
      <c r="K29" s="129"/>
      <c r="L29" s="129"/>
      <c r="M29" s="555"/>
    </row>
    <row r="30" spans="1:13" ht="30">
      <c r="A30" s="139" t="s">
        <v>158</v>
      </c>
      <c r="B30" s="132" t="s">
        <v>409</v>
      </c>
      <c r="C30" s="184"/>
      <c r="D30" s="132"/>
      <c r="E30" s="132"/>
      <c r="F30" s="133"/>
      <c r="G30" s="133"/>
      <c r="H30" s="133"/>
      <c r="I30" s="129"/>
      <c r="J30" s="129"/>
      <c r="K30" s="129"/>
      <c r="L30" s="129"/>
      <c r="M30" s="555"/>
    </row>
    <row r="31" spans="1:13" ht="15.75">
      <c r="A31" s="140"/>
      <c r="B31" s="132" t="s">
        <v>397</v>
      </c>
      <c r="C31" s="184" t="s">
        <v>107</v>
      </c>
      <c r="D31" s="137">
        <v>160</v>
      </c>
      <c r="E31" s="137">
        <v>160</v>
      </c>
      <c r="F31" s="133">
        <v>160</v>
      </c>
      <c r="G31" s="133">
        <v>160</v>
      </c>
      <c r="H31" s="133">
        <v>160</v>
      </c>
      <c r="I31" s="129">
        <v>160</v>
      </c>
      <c r="J31" s="129">
        <v>160</v>
      </c>
      <c r="K31" s="129">
        <v>160</v>
      </c>
      <c r="L31" s="129"/>
      <c r="M31" s="557">
        <f>'1.16'!S31</f>
        <v>160</v>
      </c>
    </row>
    <row r="32" spans="1:13" ht="15.75">
      <c r="A32" s="140"/>
      <c r="B32" s="132" t="s">
        <v>399</v>
      </c>
      <c r="C32" s="184" t="s">
        <v>386</v>
      </c>
      <c r="D32" s="137">
        <f>(D17+D23)*D31%</f>
        <v>11667.6</v>
      </c>
      <c r="E32" s="137">
        <f>E17*E31%</f>
        <v>5486.53556388363</v>
      </c>
      <c r="F32" s="133">
        <f aca="true" t="shared" si="1" ref="F32:K32">(F17+F23)*F31%</f>
        <v>9334.08</v>
      </c>
      <c r="G32" s="133">
        <f t="shared" si="1"/>
        <v>10100.160000000002</v>
      </c>
      <c r="H32" s="133">
        <f t="shared" si="1"/>
        <v>10068.800000000001</v>
      </c>
      <c r="I32" s="133">
        <f t="shared" si="1"/>
        <v>10897.6</v>
      </c>
      <c r="J32" s="133">
        <f t="shared" si="1"/>
        <v>10713.92</v>
      </c>
      <c r="K32" s="133">
        <f t="shared" si="1"/>
        <v>10747.52</v>
      </c>
      <c r="L32" s="133"/>
      <c r="M32" s="556">
        <f>(M17+M23)*M31%</f>
        <v>0</v>
      </c>
    </row>
    <row r="33" spans="1:13" s="516" customFormat="1" ht="30" customHeight="1">
      <c r="A33" s="141" t="s">
        <v>38</v>
      </c>
      <c r="B33" s="142" t="s">
        <v>410</v>
      </c>
      <c r="C33" s="143" t="s">
        <v>386</v>
      </c>
      <c r="D33" s="144">
        <f>D17+D23+D32</f>
        <v>18959.85</v>
      </c>
      <c r="E33" s="144">
        <v>17751</v>
      </c>
      <c r="F33" s="145">
        <f aca="true" t="shared" si="2" ref="F33:K33">F17+F23+F32</f>
        <v>15167.880000000001</v>
      </c>
      <c r="G33" s="145">
        <f t="shared" si="2"/>
        <v>16412.760000000002</v>
      </c>
      <c r="H33" s="145">
        <f t="shared" si="2"/>
        <v>16361.800000000001</v>
      </c>
      <c r="I33" s="145">
        <f t="shared" si="2"/>
        <v>17708.6</v>
      </c>
      <c r="J33" s="145">
        <f t="shared" si="2"/>
        <v>17410.12</v>
      </c>
      <c r="K33" s="145">
        <f t="shared" si="2"/>
        <v>17464.72</v>
      </c>
      <c r="L33" s="145"/>
      <c r="M33" s="558">
        <f>M17+M23+M32</f>
        <v>0</v>
      </c>
    </row>
    <row r="34" spans="1:13" s="523" customFormat="1" ht="30">
      <c r="A34" s="146" t="s">
        <v>14</v>
      </c>
      <c r="B34" s="147" t="s">
        <v>411</v>
      </c>
      <c r="C34" s="148" t="s">
        <v>412</v>
      </c>
      <c r="D34" s="149">
        <f aca="true" t="shared" si="3" ref="D34:K34">D35+D37</f>
        <v>979.0727999999999</v>
      </c>
      <c r="E34" s="149">
        <f t="shared" si="3"/>
        <v>61941.36</v>
      </c>
      <c r="F34" s="133">
        <f t="shared" si="3"/>
        <v>797.05824</v>
      </c>
      <c r="G34" s="133">
        <f t="shared" si="3"/>
        <v>827.81248</v>
      </c>
      <c r="H34" s="133">
        <f t="shared" si="3"/>
        <v>860.3664</v>
      </c>
      <c r="I34" s="133">
        <f t="shared" si="3"/>
        <v>893.0128</v>
      </c>
      <c r="J34" s="133">
        <f t="shared" si="3"/>
        <v>449.84288</v>
      </c>
      <c r="K34" s="133">
        <f t="shared" si="3"/>
        <v>889.3065600000001</v>
      </c>
      <c r="L34" s="133"/>
      <c r="M34" s="559">
        <f>M35+M37</f>
        <v>0</v>
      </c>
    </row>
    <row r="35" spans="1:13" ht="15.75">
      <c r="A35" s="139" t="s">
        <v>175</v>
      </c>
      <c r="B35" s="147" t="s">
        <v>413</v>
      </c>
      <c r="C35" s="184" t="s">
        <v>414</v>
      </c>
      <c r="D35" s="137">
        <v>69</v>
      </c>
      <c r="E35" s="137">
        <v>2298</v>
      </c>
      <c r="F35" s="133">
        <v>69</v>
      </c>
      <c r="G35" s="133">
        <v>40</v>
      </c>
      <c r="H35" s="133">
        <v>75</v>
      </c>
      <c r="I35" s="129">
        <v>43</v>
      </c>
      <c r="J35" s="129">
        <v>32</v>
      </c>
      <c r="K35" s="129">
        <v>51</v>
      </c>
      <c r="L35" s="129"/>
      <c r="M35" s="556">
        <f>'1.16'!S35*0.05</f>
        <v>0</v>
      </c>
    </row>
    <row r="36" spans="1:13" ht="15.75">
      <c r="A36" s="139" t="s">
        <v>176</v>
      </c>
      <c r="B36" s="147" t="s">
        <v>415</v>
      </c>
      <c r="C36" s="184" t="s">
        <v>414</v>
      </c>
      <c r="D36" s="137"/>
      <c r="E36" s="137"/>
      <c r="F36" s="133"/>
      <c r="G36" s="133"/>
      <c r="H36" s="133"/>
      <c r="I36" s="129"/>
      <c r="J36" s="129"/>
      <c r="K36" s="129"/>
      <c r="L36" s="129"/>
      <c r="M36" s="555"/>
    </row>
    <row r="37" spans="1:13" ht="15.75">
      <c r="A37" s="139" t="s">
        <v>416</v>
      </c>
      <c r="B37" s="147" t="s">
        <v>417</v>
      </c>
      <c r="C37" s="184" t="s">
        <v>414</v>
      </c>
      <c r="D37" s="137">
        <f aca="true" t="shared" si="4" ref="D37:K37">D33*D10*12/1000</f>
        <v>910.0727999999999</v>
      </c>
      <c r="E37" s="137">
        <f t="shared" si="4"/>
        <v>59643.36</v>
      </c>
      <c r="F37" s="133">
        <f t="shared" si="4"/>
        <v>728.05824</v>
      </c>
      <c r="G37" s="133">
        <f t="shared" si="4"/>
        <v>787.81248</v>
      </c>
      <c r="H37" s="133">
        <f t="shared" si="4"/>
        <v>785.3664</v>
      </c>
      <c r="I37" s="133">
        <f t="shared" si="4"/>
        <v>850.0128</v>
      </c>
      <c r="J37" s="133">
        <f>J33*J10*6/1000</f>
        <v>417.84288</v>
      </c>
      <c r="K37" s="133">
        <f t="shared" si="4"/>
        <v>838.3065600000001</v>
      </c>
      <c r="L37" s="133"/>
      <c r="M37" s="556">
        <f>M33*M9*12/1000</f>
        <v>0</v>
      </c>
    </row>
    <row r="38" spans="1:13" ht="42" customHeight="1">
      <c r="A38" s="182" t="s">
        <v>22</v>
      </c>
      <c r="B38" s="150" t="s">
        <v>418</v>
      </c>
      <c r="C38" s="184"/>
      <c r="D38" s="132"/>
      <c r="E38" s="132"/>
      <c r="F38" s="133"/>
      <c r="G38" s="133"/>
      <c r="H38" s="133"/>
      <c r="I38" s="129"/>
      <c r="J38" s="129"/>
      <c r="K38" s="129"/>
      <c r="L38" s="129"/>
      <c r="M38" s="555"/>
    </row>
    <row r="39" spans="1:13" ht="30">
      <c r="A39" s="182" t="s">
        <v>129</v>
      </c>
      <c r="B39" s="147" t="s">
        <v>419</v>
      </c>
      <c r="C39" s="184" t="s">
        <v>382</v>
      </c>
      <c r="D39" s="132"/>
      <c r="E39" s="132"/>
      <c r="F39" s="133"/>
      <c r="G39" s="133"/>
      <c r="H39" s="133"/>
      <c r="I39" s="129"/>
      <c r="J39" s="129"/>
      <c r="K39" s="129"/>
      <c r="L39" s="129"/>
      <c r="M39" s="555"/>
    </row>
    <row r="40" spans="1:13" ht="15.75">
      <c r="A40" s="182" t="s">
        <v>133</v>
      </c>
      <c r="B40" s="147" t="s">
        <v>420</v>
      </c>
      <c r="C40" s="184" t="s">
        <v>386</v>
      </c>
      <c r="D40" s="132"/>
      <c r="E40" s="132"/>
      <c r="F40" s="133"/>
      <c r="G40" s="133"/>
      <c r="H40" s="133"/>
      <c r="I40" s="129"/>
      <c r="J40" s="129"/>
      <c r="K40" s="129"/>
      <c r="L40" s="129"/>
      <c r="M40" s="555"/>
    </row>
    <row r="41" spans="1:13" ht="15.75">
      <c r="A41" s="182" t="s">
        <v>134</v>
      </c>
      <c r="B41" s="147" t="s">
        <v>413</v>
      </c>
      <c r="C41" s="184" t="s">
        <v>421</v>
      </c>
      <c r="D41" s="132"/>
      <c r="E41" s="132"/>
      <c r="F41" s="133"/>
      <c r="G41" s="133"/>
      <c r="H41" s="133"/>
      <c r="I41" s="129"/>
      <c r="J41" s="129"/>
      <c r="K41" s="129"/>
      <c r="L41" s="129"/>
      <c r="M41" s="555"/>
    </row>
    <row r="42" spans="1:13" ht="15.75">
      <c r="A42" s="182" t="s">
        <v>422</v>
      </c>
      <c r="B42" s="147" t="s">
        <v>423</v>
      </c>
      <c r="C42" s="184" t="s">
        <v>421</v>
      </c>
      <c r="D42" s="132"/>
      <c r="E42" s="132"/>
      <c r="F42" s="133"/>
      <c r="G42" s="133"/>
      <c r="H42" s="133"/>
      <c r="I42" s="129"/>
      <c r="J42" s="129"/>
      <c r="K42" s="129"/>
      <c r="L42" s="129"/>
      <c r="M42" s="555"/>
    </row>
    <row r="43" spans="1:13" ht="30">
      <c r="A43" s="182" t="s">
        <v>424</v>
      </c>
      <c r="B43" s="147" t="s">
        <v>425</v>
      </c>
      <c r="C43" s="184" t="s">
        <v>421</v>
      </c>
      <c r="D43" s="132"/>
      <c r="E43" s="132"/>
      <c r="F43" s="133"/>
      <c r="G43" s="133"/>
      <c r="H43" s="133"/>
      <c r="I43" s="129"/>
      <c r="J43" s="129"/>
      <c r="K43" s="129"/>
      <c r="L43" s="129"/>
      <c r="M43" s="555"/>
    </row>
    <row r="44" spans="1:13" ht="15.75">
      <c r="A44" s="182" t="s">
        <v>24</v>
      </c>
      <c r="B44" s="150" t="s">
        <v>426</v>
      </c>
      <c r="C44" s="184"/>
      <c r="D44" s="132"/>
      <c r="E44" s="132"/>
      <c r="F44" s="133"/>
      <c r="G44" s="133"/>
      <c r="H44" s="133"/>
      <c r="I44" s="129"/>
      <c r="J44" s="129"/>
      <c r="K44" s="129"/>
      <c r="L44" s="129"/>
      <c r="M44" s="555"/>
    </row>
    <row r="45" spans="1:13" ht="30">
      <c r="A45" s="182" t="s">
        <v>47</v>
      </c>
      <c r="B45" s="147" t="s">
        <v>427</v>
      </c>
      <c r="C45" s="184" t="s">
        <v>382</v>
      </c>
      <c r="D45" s="132">
        <v>11</v>
      </c>
      <c r="E45" s="132">
        <v>280</v>
      </c>
      <c r="F45" s="133">
        <f aca="true" t="shared" si="5" ref="F45:K45">F10</f>
        <v>4</v>
      </c>
      <c r="G45" s="133">
        <f t="shared" si="5"/>
        <v>4</v>
      </c>
      <c r="H45" s="133">
        <f t="shared" si="5"/>
        <v>4</v>
      </c>
      <c r="I45" s="133">
        <f t="shared" si="5"/>
        <v>4</v>
      </c>
      <c r="J45" s="133">
        <f t="shared" si="5"/>
        <v>4</v>
      </c>
      <c r="K45" s="133">
        <f t="shared" si="5"/>
        <v>4</v>
      </c>
      <c r="L45" s="133"/>
      <c r="M45" s="554">
        <f>M9</f>
        <v>0</v>
      </c>
    </row>
    <row r="46" spans="1:13" ht="15.75">
      <c r="A46" s="182" t="s">
        <v>48</v>
      </c>
      <c r="B46" s="147" t="s">
        <v>428</v>
      </c>
      <c r="C46" s="184" t="s">
        <v>386</v>
      </c>
      <c r="D46" s="137"/>
      <c r="E46" s="137">
        <f>E47/E45*1000/12</f>
        <v>357.1428571428571</v>
      </c>
      <c r="F46" s="133"/>
      <c r="G46" s="133"/>
      <c r="H46" s="133"/>
      <c r="I46" s="129"/>
      <c r="J46" s="129"/>
      <c r="K46" s="129"/>
      <c r="L46" s="129"/>
      <c r="M46" s="555"/>
    </row>
    <row r="47" spans="1:13" ht="15.75">
      <c r="A47" s="182" t="s">
        <v>50</v>
      </c>
      <c r="B47" s="147" t="s">
        <v>429</v>
      </c>
      <c r="C47" s="184" t="s">
        <v>421</v>
      </c>
      <c r="D47" s="138"/>
      <c r="E47" s="138">
        <v>1200</v>
      </c>
      <c r="F47" s="133"/>
      <c r="G47" s="133"/>
      <c r="H47" s="133"/>
      <c r="I47" s="129"/>
      <c r="J47" s="129"/>
      <c r="K47" s="129"/>
      <c r="L47" s="129"/>
      <c r="M47" s="555"/>
    </row>
    <row r="48" spans="1:13" ht="15.75">
      <c r="A48" s="151" t="s">
        <v>430</v>
      </c>
      <c r="B48" s="150" t="s">
        <v>431</v>
      </c>
      <c r="C48" s="184" t="s">
        <v>421</v>
      </c>
      <c r="D48" s="137">
        <f aca="true" t="shared" si="6" ref="D48:K48">D34+D47</f>
        <v>979.0727999999999</v>
      </c>
      <c r="E48" s="137">
        <f t="shared" si="6"/>
        <v>63141.36</v>
      </c>
      <c r="F48" s="133">
        <f t="shared" si="6"/>
        <v>797.05824</v>
      </c>
      <c r="G48" s="133">
        <f t="shared" si="6"/>
        <v>827.81248</v>
      </c>
      <c r="H48" s="133">
        <f t="shared" si="6"/>
        <v>860.3664</v>
      </c>
      <c r="I48" s="133">
        <f t="shared" si="6"/>
        <v>893.0128</v>
      </c>
      <c r="J48" s="133">
        <f t="shared" si="6"/>
        <v>449.84288</v>
      </c>
      <c r="K48" s="133">
        <f t="shared" si="6"/>
        <v>889.3065600000001</v>
      </c>
      <c r="L48" s="133"/>
      <c r="M48" s="556">
        <f>M34</f>
        <v>0</v>
      </c>
    </row>
    <row r="49" spans="1:13" ht="16.5" thickBot="1">
      <c r="A49" s="152" t="s">
        <v>28</v>
      </c>
      <c r="B49" s="153" t="s">
        <v>432</v>
      </c>
      <c r="C49" s="154" t="s">
        <v>386</v>
      </c>
      <c r="D49" s="155">
        <f aca="true" t="shared" si="7" ref="D49:I49">D48/D45/12*1000</f>
        <v>7417.218181818181</v>
      </c>
      <c r="E49" s="155">
        <f t="shared" si="7"/>
        <v>18792.071428571428</v>
      </c>
      <c r="F49" s="156">
        <f t="shared" si="7"/>
        <v>16605.38</v>
      </c>
      <c r="G49" s="156">
        <f t="shared" si="7"/>
        <v>17246.093333333334</v>
      </c>
      <c r="H49" s="156">
        <f t="shared" si="7"/>
        <v>17924.3</v>
      </c>
      <c r="I49" s="156">
        <f t="shared" si="7"/>
        <v>18604.433333333334</v>
      </c>
      <c r="J49" s="156">
        <f>J48/J45/6*1000</f>
        <v>18743.45333333333</v>
      </c>
      <c r="K49" s="156">
        <f>K48/K45/12*1000</f>
        <v>18527.220000000005</v>
      </c>
      <c r="L49" s="156"/>
      <c r="M49" s="560" t="e">
        <f>M37/M45/12*1000</f>
        <v>#DIV/0!</v>
      </c>
    </row>
    <row r="50" spans="1:11" ht="12.75">
      <c r="A50" s="485"/>
      <c r="B50" s="545"/>
      <c r="C50" s="546"/>
      <c r="D50" s="485"/>
      <c r="E50" s="485"/>
      <c r="F50" s="485"/>
      <c r="G50" s="485"/>
      <c r="H50" s="485"/>
      <c r="I50" s="485"/>
      <c r="J50" s="485"/>
      <c r="K50" s="485"/>
    </row>
    <row r="51" spans="1:11" s="548" customFormat="1" ht="14.25" customHeight="1">
      <c r="A51" s="547"/>
      <c r="B51" s="547"/>
      <c r="C51" s="547"/>
      <c r="D51" s="547"/>
      <c r="E51" s="547"/>
      <c r="F51" s="547"/>
      <c r="G51" s="547"/>
      <c r="H51" s="547"/>
      <c r="I51" s="547"/>
      <c r="J51" s="547"/>
      <c r="K51" s="547"/>
    </row>
    <row r="52" spans="1:13" ht="15.75">
      <c r="A52" s="549"/>
      <c r="B52" s="549"/>
      <c r="C52" s="549"/>
      <c r="D52" s="549"/>
      <c r="E52" s="549"/>
      <c r="F52" s="549"/>
      <c r="G52" s="549"/>
      <c r="H52" s="549"/>
      <c r="I52" s="549"/>
      <c r="J52" s="549"/>
      <c r="K52" s="549"/>
      <c r="L52" s="549"/>
      <c r="M52" s="549"/>
    </row>
    <row r="53" spans="1:11" ht="15.75">
      <c r="A53" s="549"/>
      <c r="B53" s="475" t="s">
        <v>500</v>
      </c>
      <c r="C53" s="549"/>
      <c r="D53" s="549"/>
      <c r="E53" s="549"/>
      <c r="F53" s="549"/>
      <c r="G53" s="549"/>
      <c r="H53" s="549"/>
      <c r="I53" s="549"/>
      <c r="J53" s="549"/>
      <c r="K53" s="549"/>
    </row>
    <row r="54" spans="1:13" ht="15.75">
      <c r="A54" s="467"/>
      <c r="B54" s="475" t="s">
        <v>499</v>
      </c>
      <c r="C54" s="467"/>
      <c r="D54" s="467"/>
      <c r="E54" s="467"/>
      <c r="F54" s="467"/>
      <c r="G54" s="467"/>
      <c r="H54" s="467"/>
      <c r="I54" s="467"/>
      <c r="J54" s="467"/>
      <c r="K54" s="467"/>
      <c r="L54" s="1011" t="s">
        <v>515</v>
      </c>
      <c r="M54" s="1011"/>
    </row>
    <row r="55" spans="2:3" ht="12.75">
      <c r="B55" s="550"/>
      <c r="C55" s="551"/>
    </row>
    <row r="56" spans="2:3" ht="12.75">
      <c r="B56" s="550"/>
      <c r="C56" s="551"/>
    </row>
    <row r="57" spans="2:3" ht="12.75">
      <c r="B57" s="550"/>
      <c r="C57" s="551"/>
    </row>
    <row r="58" spans="2:3" ht="12.75">
      <c r="B58" s="550"/>
      <c r="C58" s="551"/>
    </row>
    <row r="59" spans="2:3" ht="12.75">
      <c r="B59" s="550"/>
      <c r="C59" s="551"/>
    </row>
    <row r="60" spans="2:3" ht="12.75">
      <c r="B60" s="550"/>
      <c r="C60" s="551"/>
    </row>
    <row r="61" spans="2:3" ht="12.75">
      <c r="B61" s="550"/>
      <c r="C61" s="551"/>
    </row>
    <row r="62" spans="2:3" ht="12.75">
      <c r="B62" s="550"/>
      <c r="C62" s="551"/>
    </row>
    <row r="63" spans="2:3" ht="12.75">
      <c r="B63" s="550"/>
      <c r="C63" s="551"/>
    </row>
    <row r="64" spans="2:3" ht="12.75">
      <c r="B64" s="550"/>
      <c r="C64" s="551"/>
    </row>
    <row r="65" spans="2:3" ht="12.75">
      <c r="B65" s="550"/>
      <c r="C65" s="551"/>
    </row>
    <row r="66" spans="2:3" ht="12.75">
      <c r="B66" s="550"/>
      <c r="C66" s="551"/>
    </row>
    <row r="67" spans="2:3" ht="12.75">
      <c r="B67" s="550"/>
      <c r="C67" s="551"/>
    </row>
    <row r="68" spans="2:3" ht="12.75">
      <c r="B68" s="550"/>
      <c r="C68" s="551"/>
    </row>
    <row r="69" spans="2:3" ht="12.75">
      <c r="B69" s="550"/>
      <c r="C69" s="551"/>
    </row>
    <row r="70" spans="2:3" ht="12.75">
      <c r="B70" s="550"/>
      <c r="C70" s="551"/>
    </row>
    <row r="71" spans="2:3" ht="12.75">
      <c r="B71" s="550"/>
      <c r="C71" s="551"/>
    </row>
    <row r="72" spans="2:3" ht="12.75">
      <c r="B72" s="550"/>
      <c r="C72" s="551"/>
    </row>
    <row r="73" spans="2:3" ht="12.75">
      <c r="B73" s="550"/>
      <c r="C73" s="551"/>
    </row>
    <row r="74" spans="2:3" ht="12.75">
      <c r="B74" s="550"/>
      <c r="C74" s="551"/>
    </row>
    <row r="75" spans="2:3" ht="12.75">
      <c r="B75" s="550"/>
      <c r="C75" s="551"/>
    </row>
    <row r="76" spans="2:3" ht="12.75">
      <c r="B76" s="550"/>
      <c r="C76" s="551"/>
    </row>
    <row r="77" spans="2:3" ht="12.75">
      <c r="B77" s="550"/>
      <c r="C77" s="551"/>
    </row>
    <row r="78" spans="2:3" ht="12.75">
      <c r="B78" s="550"/>
      <c r="C78" s="551"/>
    </row>
    <row r="79" spans="2:3" ht="12.75">
      <c r="B79" s="550"/>
      <c r="C79" s="551"/>
    </row>
    <row r="80" spans="2:3" ht="12.75">
      <c r="B80" s="550"/>
      <c r="C80" s="551"/>
    </row>
    <row r="81" spans="2:3" ht="12.75">
      <c r="B81" s="550"/>
      <c r="C81" s="551"/>
    </row>
    <row r="82" spans="2:3" ht="12.75">
      <c r="B82" s="550"/>
      <c r="C82" s="551"/>
    </row>
    <row r="83" spans="2:3" ht="12.75">
      <c r="B83" s="550"/>
      <c r="C83" s="551"/>
    </row>
    <row r="84" spans="2:3" ht="12.75">
      <c r="B84" s="550"/>
      <c r="C84" s="551"/>
    </row>
    <row r="85" spans="2:3" ht="12.75">
      <c r="B85" s="550"/>
      <c r="C85" s="551"/>
    </row>
    <row r="86" spans="2:3" ht="12.75">
      <c r="B86" s="550"/>
      <c r="C86" s="551"/>
    </row>
    <row r="87" spans="2:3" ht="12.75">
      <c r="B87" s="550"/>
      <c r="C87" s="551"/>
    </row>
    <row r="88" spans="2:3" ht="12.75">
      <c r="B88" s="550"/>
      <c r="C88" s="551"/>
    </row>
    <row r="89" spans="2:3" ht="12.75">
      <c r="B89" s="550"/>
      <c r="C89" s="551"/>
    </row>
    <row r="90" spans="2:3" ht="12.75">
      <c r="B90" s="550"/>
      <c r="C90" s="551"/>
    </row>
    <row r="91" spans="2:3" ht="12.75">
      <c r="B91" s="550"/>
      <c r="C91" s="551"/>
    </row>
    <row r="92" spans="2:3" ht="12.75">
      <c r="B92" s="550"/>
      <c r="C92" s="551"/>
    </row>
    <row r="93" spans="2:3" ht="12.75">
      <c r="B93" s="550"/>
      <c r="C93" s="551"/>
    </row>
    <row r="94" spans="2:3" ht="12.75">
      <c r="B94" s="550"/>
      <c r="C94" s="551"/>
    </row>
    <row r="95" spans="2:3" ht="12.75">
      <c r="B95" s="550"/>
      <c r="C95" s="551"/>
    </row>
    <row r="96" spans="2:3" ht="12.75">
      <c r="B96" s="550"/>
      <c r="C96" s="551"/>
    </row>
    <row r="97" spans="2:3" ht="12.75">
      <c r="B97" s="550"/>
      <c r="C97" s="551"/>
    </row>
    <row r="98" spans="2:3" ht="12.75">
      <c r="B98" s="550"/>
      <c r="C98" s="551"/>
    </row>
    <row r="99" spans="2:3" ht="12.75">
      <c r="B99" s="550"/>
      <c r="C99" s="551"/>
    </row>
    <row r="100" spans="2:3" ht="12.75">
      <c r="B100" s="550"/>
      <c r="C100" s="551"/>
    </row>
    <row r="101" spans="2:3" ht="12.75">
      <c r="B101" s="550"/>
      <c r="C101" s="551"/>
    </row>
    <row r="102" spans="2:3" ht="12.75">
      <c r="B102" s="550"/>
      <c r="C102" s="551"/>
    </row>
    <row r="103" spans="2:3" ht="12.75">
      <c r="B103" s="550"/>
      <c r="C103" s="551"/>
    </row>
    <row r="104" spans="2:3" ht="12.75">
      <c r="B104" s="550"/>
      <c r="C104" s="551"/>
    </row>
    <row r="105" spans="2:3" ht="12.75">
      <c r="B105" s="550"/>
      <c r="C105" s="551"/>
    </row>
    <row r="106" spans="2:3" ht="12.75">
      <c r="B106" s="550"/>
      <c r="C106" s="551"/>
    </row>
    <row r="107" spans="2:3" ht="12.75">
      <c r="B107" s="550"/>
      <c r="C107" s="551"/>
    </row>
    <row r="108" spans="2:3" ht="12.75">
      <c r="B108" s="550"/>
      <c r="C108" s="551"/>
    </row>
    <row r="109" spans="2:3" ht="12.75">
      <c r="B109" s="550"/>
      <c r="C109" s="551"/>
    </row>
    <row r="110" ht="12.75">
      <c r="C110" s="551"/>
    </row>
    <row r="111" ht="12.75">
      <c r="C111" s="551"/>
    </row>
    <row r="112" ht="12.75">
      <c r="C112" s="551"/>
    </row>
    <row r="113" ht="12.75">
      <c r="C113" s="551"/>
    </row>
    <row r="114" ht="12.75">
      <c r="C114" s="551"/>
    </row>
    <row r="115" ht="12.75">
      <c r="C115" s="551"/>
    </row>
    <row r="116" ht="12.75">
      <c r="C116" s="551"/>
    </row>
    <row r="117" ht="12.75">
      <c r="C117" s="551"/>
    </row>
    <row r="118" ht="12.75">
      <c r="C118" s="551"/>
    </row>
    <row r="119" ht="12.75">
      <c r="C119" s="551"/>
    </row>
    <row r="120" ht="12.75">
      <c r="C120" s="551"/>
    </row>
    <row r="121" ht="12.75">
      <c r="C121" s="551"/>
    </row>
    <row r="122" ht="12.75">
      <c r="C122" s="551"/>
    </row>
    <row r="123" ht="12.75">
      <c r="C123" s="551"/>
    </row>
    <row r="124" ht="12.75">
      <c r="C124" s="551"/>
    </row>
    <row r="125" ht="12.75">
      <c r="C125" s="551"/>
    </row>
    <row r="126" ht="12.75">
      <c r="C126" s="551"/>
    </row>
    <row r="127" ht="12.75">
      <c r="C127" s="551"/>
    </row>
    <row r="128" ht="12.75">
      <c r="C128" s="551"/>
    </row>
    <row r="129" ht="12.75">
      <c r="C129" s="551"/>
    </row>
    <row r="130" ht="12.75">
      <c r="C130" s="551"/>
    </row>
    <row r="131" ht="12.75">
      <c r="C131" s="551"/>
    </row>
    <row r="132" ht="12.75">
      <c r="C132" s="551"/>
    </row>
  </sheetData>
  <sheetProtection/>
  <mergeCells count="9">
    <mergeCell ref="L54:M54"/>
    <mergeCell ref="A1:D1"/>
    <mergeCell ref="A3:M3"/>
    <mergeCell ref="B5:C5"/>
    <mergeCell ref="A6:A7"/>
    <mergeCell ref="B6:B7"/>
    <mergeCell ref="C6:C7"/>
    <mergeCell ref="L6:L7"/>
    <mergeCell ref="M6:M7"/>
  </mergeCells>
  <printOptions/>
  <pageMargins left="0.7480314960629921" right="1.1811023622047245" top="0.75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32"/>
  <sheetViews>
    <sheetView view="pageBreakPreview" zoomScaleNormal="80" zoomScaleSheetLayoutView="100" zoomScalePageLayoutView="0" workbookViewId="0" topLeftCell="A1">
      <selection activeCell="P45" sqref="P45"/>
    </sheetView>
  </sheetViews>
  <sheetFormatPr defaultColWidth="9.00390625" defaultRowHeight="12.75"/>
  <cols>
    <col min="1" max="1" width="8.375" style="367" customWidth="1"/>
    <col min="2" max="2" width="51.875" style="367" customWidth="1"/>
    <col min="3" max="3" width="10.375" style="367" customWidth="1"/>
    <col min="4" max="4" width="16.00390625" style="367" hidden="1" customWidth="1"/>
    <col min="5" max="5" width="18.875" style="367" hidden="1" customWidth="1"/>
    <col min="6" max="6" width="10.875" style="367" hidden="1" customWidth="1"/>
    <col min="7" max="7" width="19.00390625" style="367" hidden="1" customWidth="1"/>
    <col min="8" max="8" width="14.375" style="367" hidden="1" customWidth="1"/>
    <col min="9" max="9" width="19.125" style="367" hidden="1" customWidth="1"/>
    <col min="10" max="10" width="15.125" style="367" hidden="1" customWidth="1"/>
    <col min="11" max="11" width="13.50390625" style="367" hidden="1" customWidth="1"/>
    <col min="12" max="12" width="16.875" style="367" customWidth="1"/>
    <col min="13" max="13" width="19.50390625" style="367" customWidth="1"/>
    <col min="14" max="16384" width="9.375" style="367" customWidth="1"/>
  </cols>
  <sheetData>
    <row r="1" spans="1:13" ht="18.75">
      <c r="A1" s="983" t="s">
        <v>313</v>
      </c>
      <c r="B1" s="983"/>
      <c r="C1" s="983"/>
      <c r="D1" s="983"/>
      <c r="F1" s="483"/>
      <c r="H1" s="483"/>
      <c r="I1" s="483"/>
      <c r="J1" s="483"/>
      <c r="K1" s="483"/>
      <c r="M1" s="483" t="s">
        <v>319</v>
      </c>
    </row>
    <row r="3" spans="1:13" ht="31.5" customHeight="1">
      <c r="A3" s="1018" t="s">
        <v>507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</row>
    <row r="4" spans="1:12" ht="15" customHeight="1">
      <c r="A4" s="484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</row>
    <row r="5" spans="1:12" ht="16.5" thickBot="1">
      <c r="A5" s="485"/>
      <c r="B5" s="1012"/>
      <c r="C5" s="1013"/>
      <c r="D5" s="485"/>
      <c r="E5" s="485"/>
      <c r="F5" s="485"/>
      <c r="G5" s="485"/>
      <c r="H5" s="485"/>
      <c r="I5" s="485"/>
      <c r="J5" s="485"/>
      <c r="K5" s="485"/>
      <c r="L5" s="552"/>
    </row>
    <row r="6" spans="1:13" ht="29.25" customHeight="1">
      <c r="A6" s="1014" t="s">
        <v>506</v>
      </c>
      <c r="B6" s="1016" t="s">
        <v>4</v>
      </c>
      <c r="C6" s="1016" t="s">
        <v>374</v>
      </c>
      <c r="D6" s="118" t="s">
        <v>329</v>
      </c>
      <c r="E6" s="183"/>
      <c r="F6" s="183" t="s">
        <v>375</v>
      </c>
      <c r="G6" s="118" t="s">
        <v>376</v>
      </c>
      <c r="H6" s="183" t="s">
        <v>377</v>
      </c>
      <c r="I6" s="118" t="s">
        <v>378</v>
      </c>
      <c r="J6" s="119" t="s">
        <v>379</v>
      </c>
      <c r="K6" s="119" t="s">
        <v>380</v>
      </c>
      <c r="L6" s="962" t="s">
        <v>502</v>
      </c>
      <c r="M6" s="969" t="s">
        <v>501</v>
      </c>
    </row>
    <row r="7" spans="1:13" ht="29.25" customHeight="1">
      <c r="A7" s="1015"/>
      <c r="B7" s="1017"/>
      <c r="C7" s="1017"/>
      <c r="D7" s="120"/>
      <c r="E7" s="184"/>
      <c r="F7" s="184"/>
      <c r="G7" s="120"/>
      <c r="H7" s="184"/>
      <c r="I7" s="120"/>
      <c r="J7" s="121"/>
      <c r="K7" s="121"/>
      <c r="L7" s="963"/>
      <c r="M7" s="993"/>
    </row>
    <row r="8" spans="1:13" ht="14.25" customHeight="1">
      <c r="A8" s="122">
        <v>1</v>
      </c>
      <c r="B8" s="123">
        <v>2</v>
      </c>
      <c r="C8" s="123">
        <v>3</v>
      </c>
      <c r="D8" s="123">
        <v>3</v>
      </c>
      <c r="E8" s="123">
        <v>3</v>
      </c>
      <c r="F8" s="123">
        <v>3</v>
      </c>
      <c r="G8" s="123">
        <v>3</v>
      </c>
      <c r="H8" s="123">
        <v>3</v>
      </c>
      <c r="I8" s="123">
        <v>3</v>
      </c>
      <c r="J8" s="123">
        <v>3</v>
      </c>
      <c r="K8" s="123">
        <v>3</v>
      </c>
      <c r="L8" s="123">
        <v>4</v>
      </c>
      <c r="M8" s="124">
        <v>5</v>
      </c>
    </row>
    <row r="9" spans="1:13" s="500" customFormat="1" ht="30" customHeight="1">
      <c r="A9" s="125" t="s">
        <v>8</v>
      </c>
      <c r="B9" s="126" t="s">
        <v>381</v>
      </c>
      <c r="C9" s="127" t="s">
        <v>382</v>
      </c>
      <c r="D9" s="126">
        <v>6</v>
      </c>
      <c r="E9" s="126"/>
      <c r="F9" s="128">
        <v>6</v>
      </c>
      <c r="G9" s="128">
        <v>4</v>
      </c>
      <c r="H9" s="128">
        <v>6</v>
      </c>
      <c r="I9" s="129">
        <v>4</v>
      </c>
      <c r="J9" s="129">
        <v>4</v>
      </c>
      <c r="K9" s="129">
        <v>4</v>
      </c>
      <c r="L9" s="130"/>
      <c r="M9" s="553">
        <f>'1.16'!S9*0.95</f>
        <v>0</v>
      </c>
    </row>
    <row r="10" spans="1:13" ht="27.75" customHeight="1">
      <c r="A10" s="131"/>
      <c r="B10" s="132" t="s">
        <v>383</v>
      </c>
      <c r="C10" s="147" t="s">
        <v>382</v>
      </c>
      <c r="D10" s="132">
        <v>4</v>
      </c>
      <c r="E10" s="132">
        <v>280</v>
      </c>
      <c r="F10" s="133">
        <v>4</v>
      </c>
      <c r="G10" s="133">
        <v>4</v>
      </c>
      <c r="H10" s="133">
        <v>4</v>
      </c>
      <c r="I10" s="129">
        <v>4</v>
      </c>
      <c r="J10" s="129">
        <v>4</v>
      </c>
      <c r="K10" s="129">
        <v>4</v>
      </c>
      <c r="L10" s="129"/>
      <c r="M10" s="554">
        <f>M9</f>
        <v>0</v>
      </c>
    </row>
    <row r="11" spans="1:13" ht="15.75" hidden="1">
      <c r="A11" s="131" t="s">
        <v>12</v>
      </c>
      <c r="B11" s="132" t="s">
        <v>384</v>
      </c>
      <c r="C11" s="184"/>
      <c r="D11" s="132"/>
      <c r="E11" s="132"/>
      <c r="F11" s="133"/>
      <c r="G11" s="133"/>
      <c r="H11" s="133"/>
      <c r="I11" s="129"/>
      <c r="J11" s="129"/>
      <c r="K11" s="129"/>
      <c r="L11" s="129"/>
      <c r="M11" s="555"/>
    </row>
    <row r="12" spans="1:13" ht="15.75" hidden="1">
      <c r="A12" s="135" t="s">
        <v>34</v>
      </c>
      <c r="B12" s="132" t="s">
        <v>385</v>
      </c>
      <c r="C12" s="184" t="s">
        <v>386</v>
      </c>
      <c r="D12" s="132"/>
      <c r="E12" s="132"/>
      <c r="F12" s="133"/>
      <c r="G12" s="133"/>
      <c r="H12" s="133"/>
      <c r="I12" s="129"/>
      <c r="J12" s="129"/>
      <c r="K12" s="129"/>
      <c r="L12" s="129"/>
      <c r="M12" s="555"/>
    </row>
    <row r="13" spans="1:13" ht="15.75" hidden="1">
      <c r="A13" s="131" t="s">
        <v>158</v>
      </c>
      <c r="B13" s="132" t="s">
        <v>387</v>
      </c>
      <c r="C13" s="184"/>
      <c r="D13" s="136"/>
      <c r="E13" s="136"/>
      <c r="F13" s="133"/>
      <c r="G13" s="133"/>
      <c r="H13" s="133"/>
      <c r="I13" s="129"/>
      <c r="J13" s="129"/>
      <c r="K13" s="129"/>
      <c r="L13" s="129"/>
      <c r="M13" s="555"/>
    </row>
    <row r="14" spans="1:13" ht="30" hidden="1">
      <c r="A14" s="131" t="s">
        <v>38</v>
      </c>
      <c r="B14" s="132" t="s">
        <v>388</v>
      </c>
      <c r="C14" s="184" t="s">
        <v>386</v>
      </c>
      <c r="D14" s="132"/>
      <c r="E14" s="132"/>
      <c r="F14" s="133"/>
      <c r="G14" s="133"/>
      <c r="H14" s="133"/>
      <c r="I14" s="129"/>
      <c r="J14" s="129"/>
      <c r="K14" s="129"/>
      <c r="L14" s="129"/>
      <c r="M14" s="555"/>
    </row>
    <row r="15" spans="1:13" ht="15.75" hidden="1">
      <c r="A15" s="131" t="s">
        <v>389</v>
      </c>
      <c r="B15" s="132" t="s">
        <v>390</v>
      </c>
      <c r="C15" s="184"/>
      <c r="D15" s="132"/>
      <c r="E15" s="132"/>
      <c r="F15" s="133"/>
      <c r="G15" s="133"/>
      <c r="H15" s="133"/>
      <c r="I15" s="129"/>
      <c r="J15" s="129"/>
      <c r="K15" s="129"/>
      <c r="L15" s="129"/>
      <c r="M15" s="555"/>
    </row>
    <row r="16" spans="1:13" ht="30" hidden="1">
      <c r="A16" s="131" t="s">
        <v>391</v>
      </c>
      <c r="B16" s="132" t="s">
        <v>392</v>
      </c>
      <c r="C16" s="184" t="s">
        <v>386</v>
      </c>
      <c r="D16" s="132"/>
      <c r="E16" s="132"/>
      <c r="F16" s="133"/>
      <c r="G16" s="133"/>
      <c r="H16" s="133"/>
      <c r="I16" s="129"/>
      <c r="J16" s="129"/>
      <c r="K16" s="129"/>
      <c r="L16" s="129"/>
      <c r="M16" s="555"/>
    </row>
    <row r="17" spans="1:13" ht="15.75">
      <c r="A17" s="182">
        <v>2</v>
      </c>
      <c r="B17" s="132" t="s">
        <v>393</v>
      </c>
      <c r="C17" s="184" t="s">
        <v>201</v>
      </c>
      <c r="D17" s="137">
        <v>4167</v>
      </c>
      <c r="E17" s="137">
        <f>E33/2.6/1.991</f>
        <v>3429.0847274272687</v>
      </c>
      <c r="F17" s="133">
        <v>4167</v>
      </c>
      <c r="G17" s="133">
        <v>4509</v>
      </c>
      <c r="H17" s="133">
        <v>4495</v>
      </c>
      <c r="I17" s="129">
        <v>4865</v>
      </c>
      <c r="J17" s="129">
        <v>4783</v>
      </c>
      <c r="K17" s="129">
        <v>4798</v>
      </c>
      <c r="L17" s="129"/>
      <c r="M17" s="556">
        <f>'1.16'!S17</f>
        <v>0</v>
      </c>
    </row>
    <row r="18" spans="1:13" ht="30" hidden="1">
      <c r="A18" s="131" t="s">
        <v>394</v>
      </c>
      <c r="B18" s="132" t="s">
        <v>395</v>
      </c>
      <c r="C18" s="184"/>
      <c r="D18" s="132"/>
      <c r="E18" s="132"/>
      <c r="F18" s="133"/>
      <c r="G18" s="133"/>
      <c r="H18" s="133"/>
      <c r="I18" s="129"/>
      <c r="J18" s="129"/>
      <c r="K18" s="129"/>
      <c r="L18" s="129"/>
      <c r="M18" s="555"/>
    </row>
    <row r="19" spans="1:13" ht="15.75" hidden="1">
      <c r="A19" s="131" t="s">
        <v>396</v>
      </c>
      <c r="B19" s="132" t="s">
        <v>397</v>
      </c>
      <c r="C19" s="184" t="s">
        <v>107</v>
      </c>
      <c r="D19" s="137"/>
      <c r="E19" s="137"/>
      <c r="F19" s="133"/>
      <c r="G19" s="133"/>
      <c r="H19" s="133"/>
      <c r="I19" s="129"/>
      <c r="J19" s="129"/>
      <c r="K19" s="129"/>
      <c r="L19" s="129"/>
      <c r="M19" s="555"/>
    </row>
    <row r="20" spans="1:13" ht="15.75" hidden="1">
      <c r="A20" s="131" t="s">
        <v>398</v>
      </c>
      <c r="B20" s="132" t="s">
        <v>399</v>
      </c>
      <c r="C20" s="184" t="s">
        <v>386</v>
      </c>
      <c r="D20" s="137"/>
      <c r="E20" s="137"/>
      <c r="F20" s="133"/>
      <c r="G20" s="133"/>
      <c r="H20" s="133"/>
      <c r="I20" s="129"/>
      <c r="J20" s="129"/>
      <c r="K20" s="129"/>
      <c r="L20" s="129"/>
      <c r="M20" s="555"/>
    </row>
    <row r="21" spans="1:13" ht="15.75">
      <c r="A21" s="182" t="s">
        <v>34</v>
      </c>
      <c r="B21" s="132" t="s">
        <v>400</v>
      </c>
      <c r="C21" s="184"/>
      <c r="D21" s="132"/>
      <c r="E21" s="132"/>
      <c r="F21" s="133"/>
      <c r="G21" s="133"/>
      <c r="H21" s="133"/>
      <c r="I21" s="129"/>
      <c r="J21" s="129"/>
      <c r="K21" s="129"/>
      <c r="L21" s="129"/>
      <c r="M21" s="557">
        <f>'1.16'!S22</f>
        <v>0</v>
      </c>
    </row>
    <row r="22" spans="1:13" ht="15.75">
      <c r="A22" s="131"/>
      <c r="B22" s="132" t="s">
        <v>397</v>
      </c>
      <c r="C22" s="184" t="s">
        <v>107</v>
      </c>
      <c r="D22" s="137">
        <v>75</v>
      </c>
      <c r="E22" s="137">
        <v>70</v>
      </c>
      <c r="F22" s="133">
        <v>40</v>
      </c>
      <c r="G22" s="133">
        <v>40</v>
      </c>
      <c r="H22" s="133">
        <v>40</v>
      </c>
      <c r="I22" s="129">
        <v>40</v>
      </c>
      <c r="J22" s="129">
        <v>40</v>
      </c>
      <c r="K22" s="129">
        <v>40</v>
      </c>
      <c r="L22" s="129"/>
      <c r="M22" s="556">
        <f>M17*M21%</f>
        <v>0</v>
      </c>
    </row>
    <row r="23" spans="1:13" ht="15.75">
      <c r="A23" s="131"/>
      <c r="B23" s="132" t="s">
        <v>399</v>
      </c>
      <c r="C23" s="184" t="s">
        <v>386</v>
      </c>
      <c r="D23" s="137">
        <f>D17*D22/100</f>
        <v>3125.25</v>
      </c>
      <c r="E23" s="137">
        <f>E17*2.6*E22%</f>
        <v>6240.934203917629</v>
      </c>
      <c r="F23" s="133">
        <f aca="true" t="shared" si="0" ref="F23:K23">F17*F22/100</f>
        <v>1666.8</v>
      </c>
      <c r="G23" s="133">
        <f t="shared" si="0"/>
        <v>1803.6</v>
      </c>
      <c r="H23" s="133">
        <f t="shared" si="0"/>
        <v>1798</v>
      </c>
      <c r="I23" s="133">
        <f t="shared" si="0"/>
        <v>1946</v>
      </c>
      <c r="J23" s="133">
        <f t="shared" si="0"/>
        <v>1913.2</v>
      </c>
      <c r="K23" s="133">
        <f t="shared" si="0"/>
        <v>1919.2</v>
      </c>
      <c r="L23" s="133"/>
      <c r="M23" s="555"/>
    </row>
    <row r="24" spans="1:13" ht="15.75">
      <c r="A24" s="131" t="s">
        <v>401</v>
      </c>
      <c r="B24" s="132" t="s">
        <v>402</v>
      </c>
      <c r="C24" s="184"/>
      <c r="D24" s="132"/>
      <c r="E24" s="132"/>
      <c r="F24" s="133"/>
      <c r="G24" s="133"/>
      <c r="H24" s="133"/>
      <c r="I24" s="129"/>
      <c r="J24" s="129"/>
      <c r="K24" s="129"/>
      <c r="L24" s="129"/>
      <c r="M24" s="555"/>
    </row>
    <row r="25" spans="1:13" ht="15.75">
      <c r="A25" s="131" t="s">
        <v>403</v>
      </c>
      <c r="B25" s="132" t="s">
        <v>397</v>
      </c>
      <c r="C25" s="184" t="s">
        <v>107</v>
      </c>
      <c r="D25" s="137"/>
      <c r="E25" s="137">
        <v>29.1</v>
      </c>
      <c r="F25" s="133"/>
      <c r="G25" s="133"/>
      <c r="H25" s="133"/>
      <c r="I25" s="129"/>
      <c r="J25" s="129"/>
      <c r="K25" s="129"/>
      <c r="L25" s="129"/>
      <c r="M25" s="555"/>
    </row>
    <row r="26" spans="1:13" ht="15.75">
      <c r="A26" s="131" t="s">
        <v>404</v>
      </c>
      <c r="B26" s="132" t="s">
        <v>399</v>
      </c>
      <c r="C26" s="184" t="s">
        <v>386</v>
      </c>
      <c r="D26" s="137"/>
      <c r="E26" s="137">
        <f>E17*2.6*E25%</f>
        <v>2594.445504771472</v>
      </c>
      <c r="F26" s="133"/>
      <c r="G26" s="133"/>
      <c r="H26" s="133"/>
      <c r="I26" s="129"/>
      <c r="J26" s="129"/>
      <c r="K26" s="129"/>
      <c r="L26" s="129"/>
      <c r="M26" s="555"/>
    </row>
    <row r="27" spans="1:13" ht="15.75">
      <c r="A27" s="131" t="s">
        <v>405</v>
      </c>
      <c r="B27" s="132" t="s">
        <v>406</v>
      </c>
      <c r="C27" s="184" t="s">
        <v>386</v>
      </c>
      <c r="D27" s="132"/>
      <c r="E27" s="132"/>
      <c r="F27" s="133"/>
      <c r="G27" s="133"/>
      <c r="H27" s="133"/>
      <c r="I27" s="129"/>
      <c r="J27" s="129"/>
      <c r="K27" s="129"/>
      <c r="L27" s="129"/>
      <c r="M27" s="555"/>
    </row>
    <row r="28" spans="1:13" ht="15.75">
      <c r="A28" s="131" t="s">
        <v>407</v>
      </c>
      <c r="B28" s="132" t="s">
        <v>397</v>
      </c>
      <c r="C28" s="184" t="s">
        <v>107</v>
      </c>
      <c r="D28" s="138"/>
      <c r="E28" s="138"/>
      <c r="F28" s="133"/>
      <c r="G28" s="133"/>
      <c r="H28" s="133"/>
      <c r="I28" s="129"/>
      <c r="J28" s="129"/>
      <c r="K28" s="129"/>
      <c r="L28" s="129"/>
      <c r="M28" s="555"/>
    </row>
    <row r="29" spans="1:13" ht="15.75">
      <c r="A29" s="131" t="s">
        <v>408</v>
      </c>
      <c r="B29" s="132" t="s">
        <v>399</v>
      </c>
      <c r="C29" s="184" t="s">
        <v>386</v>
      </c>
      <c r="D29" s="138"/>
      <c r="E29" s="138"/>
      <c r="F29" s="133"/>
      <c r="G29" s="133"/>
      <c r="H29" s="133"/>
      <c r="I29" s="129"/>
      <c r="J29" s="129"/>
      <c r="K29" s="129"/>
      <c r="L29" s="129"/>
      <c r="M29" s="555"/>
    </row>
    <row r="30" spans="1:13" ht="30">
      <c r="A30" s="139" t="s">
        <v>158</v>
      </c>
      <c r="B30" s="132" t="s">
        <v>409</v>
      </c>
      <c r="C30" s="184"/>
      <c r="D30" s="132"/>
      <c r="E30" s="132"/>
      <c r="F30" s="133"/>
      <c r="G30" s="133"/>
      <c r="H30" s="133"/>
      <c r="I30" s="129"/>
      <c r="J30" s="129"/>
      <c r="K30" s="129"/>
      <c r="L30" s="129"/>
      <c r="M30" s="555"/>
    </row>
    <row r="31" spans="1:13" ht="15.75">
      <c r="A31" s="140"/>
      <c r="B31" s="132" t="s">
        <v>397</v>
      </c>
      <c r="C31" s="184" t="s">
        <v>107</v>
      </c>
      <c r="D31" s="137">
        <v>160</v>
      </c>
      <c r="E31" s="137">
        <v>160</v>
      </c>
      <c r="F31" s="133">
        <v>160</v>
      </c>
      <c r="G31" s="133">
        <v>160</v>
      </c>
      <c r="H31" s="133">
        <v>160</v>
      </c>
      <c r="I31" s="129">
        <v>160</v>
      </c>
      <c r="J31" s="129">
        <v>160</v>
      </c>
      <c r="K31" s="129">
        <v>160</v>
      </c>
      <c r="L31" s="129"/>
      <c r="M31" s="557">
        <f>'1.16'!S31</f>
        <v>160</v>
      </c>
    </row>
    <row r="32" spans="1:13" ht="15.75">
      <c r="A32" s="140"/>
      <c r="B32" s="132" t="s">
        <v>399</v>
      </c>
      <c r="C32" s="184" t="s">
        <v>386</v>
      </c>
      <c r="D32" s="137">
        <f>(D17+D23)*D31%</f>
        <v>11667.6</v>
      </c>
      <c r="E32" s="137">
        <f>E17*E31%</f>
        <v>5486.53556388363</v>
      </c>
      <c r="F32" s="133">
        <f aca="true" t="shared" si="1" ref="F32:K32">(F17+F23)*F31%</f>
        <v>9334.08</v>
      </c>
      <c r="G32" s="133">
        <f t="shared" si="1"/>
        <v>10100.160000000002</v>
      </c>
      <c r="H32" s="133">
        <f t="shared" si="1"/>
        <v>10068.800000000001</v>
      </c>
      <c r="I32" s="133">
        <f t="shared" si="1"/>
        <v>10897.6</v>
      </c>
      <c r="J32" s="133">
        <f t="shared" si="1"/>
        <v>10713.92</v>
      </c>
      <c r="K32" s="133">
        <f t="shared" si="1"/>
        <v>10747.52</v>
      </c>
      <c r="L32" s="133"/>
      <c r="M32" s="556">
        <f>(M17+M22)*M31%</f>
        <v>0</v>
      </c>
    </row>
    <row r="33" spans="1:13" s="516" customFormat="1" ht="30" customHeight="1">
      <c r="A33" s="141" t="s">
        <v>38</v>
      </c>
      <c r="B33" s="142" t="s">
        <v>410</v>
      </c>
      <c r="C33" s="143" t="s">
        <v>386</v>
      </c>
      <c r="D33" s="144">
        <f>D17+D23+D32</f>
        <v>18959.85</v>
      </c>
      <c r="E33" s="144">
        <v>17751</v>
      </c>
      <c r="F33" s="145">
        <f aca="true" t="shared" si="2" ref="F33:K33">F17+F23+F32</f>
        <v>15167.880000000001</v>
      </c>
      <c r="G33" s="145">
        <f t="shared" si="2"/>
        <v>16412.760000000002</v>
      </c>
      <c r="H33" s="145">
        <f t="shared" si="2"/>
        <v>16361.800000000001</v>
      </c>
      <c r="I33" s="145">
        <f t="shared" si="2"/>
        <v>17708.6</v>
      </c>
      <c r="J33" s="145">
        <f t="shared" si="2"/>
        <v>17410.12</v>
      </c>
      <c r="K33" s="145">
        <f t="shared" si="2"/>
        <v>17464.72</v>
      </c>
      <c r="L33" s="145"/>
      <c r="M33" s="558">
        <f>M17+M22+M32</f>
        <v>0</v>
      </c>
    </row>
    <row r="34" spans="1:13" s="523" customFormat="1" ht="30">
      <c r="A34" s="146" t="s">
        <v>14</v>
      </c>
      <c r="B34" s="147" t="s">
        <v>411</v>
      </c>
      <c r="C34" s="148" t="s">
        <v>412</v>
      </c>
      <c r="D34" s="149">
        <f aca="true" t="shared" si="3" ref="D34:K34">D35+D37</f>
        <v>979.0727999999999</v>
      </c>
      <c r="E34" s="149">
        <f t="shared" si="3"/>
        <v>61941.36</v>
      </c>
      <c r="F34" s="133">
        <f t="shared" si="3"/>
        <v>797.05824</v>
      </c>
      <c r="G34" s="133">
        <f t="shared" si="3"/>
        <v>827.81248</v>
      </c>
      <c r="H34" s="133">
        <f t="shared" si="3"/>
        <v>860.3664</v>
      </c>
      <c r="I34" s="133">
        <f t="shared" si="3"/>
        <v>893.0128</v>
      </c>
      <c r="J34" s="133">
        <f t="shared" si="3"/>
        <v>449.84288</v>
      </c>
      <c r="K34" s="133">
        <f t="shared" si="3"/>
        <v>889.3065600000001</v>
      </c>
      <c r="L34" s="133"/>
      <c r="M34" s="559">
        <f>M35+M37</f>
        <v>0</v>
      </c>
    </row>
    <row r="35" spans="1:13" ht="15.75">
      <c r="A35" s="139" t="s">
        <v>175</v>
      </c>
      <c r="B35" s="147" t="s">
        <v>413</v>
      </c>
      <c r="C35" s="184" t="s">
        <v>414</v>
      </c>
      <c r="D35" s="137">
        <v>69</v>
      </c>
      <c r="E35" s="137">
        <v>2298</v>
      </c>
      <c r="F35" s="133">
        <v>69</v>
      </c>
      <c r="G35" s="133">
        <v>40</v>
      </c>
      <c r="H35" s="133">
        <v>75</v>
      </c>
      <c r="I35" s="129">
        <v>43</v>
      </c>
      <c r="J35" s="129">
        <v>32</v>
      </c>
      <c r="K35" s="129">
        <v>51</v>
      </c>
      <c r="L35" s="129"/>
      <c r="M35" s="556">
        <f>'1.16'!S35*0.95</f>
        <v>0</v>
      </c>
    </row>
    <row r="36" spans="1:13" ht="15.75">
      <c r="A36" s="139" t="s">
        <v>176</v>
      </c>
      <c r="B36" s="147" t="s">
        <v>415</v>
      </c>
      <c r="C36" s="184" t="s">
        <v>414</v>
      </c>
      <c r="D36" s="137"/>
      <c r="E36" s="137"/>
      <c r="F36" s="133"/>
      <c r="G36" s="133"/>
      <c r="H36" s="133"/>
      <c r="I36" s="129"/>
      <c r="J36" s="129"/>
      <c r="K36" s="129"/>
      <c r="L36" s="129"/>
      <c r="M36" s="555"/>
    </row>
    <row r="37" spans="1:13" ht="15.75">
      <c r="A37" s="139" t="s">
        <v>416</v>
      </c>
      <c r="B37" s="147" t="s">
        <v>417</v>
      </c>
      <c r="C37" s="184" t="s">
        <v>414</v>
      </c>
      <c r="D37" s="137">
        <f aca="true" t="shared" si="4" ref="D37:K37">D33*D10*12/1000</f>
        <v>910.0727999999999</v>
      </c>
      <c r="E37" s="137">
        <f t="shared" si="4"/>
        <v>59643.36</v>
      </c>
      <c r="F37" s="133">
        <f t="shared" si="4"/>
        <v>728.05824</v>
      </c>
      <c r="G37" s="133">
        <f t="shared" si="4"/>
        <v>787.81248</v>
      </c>
      <c r="H37" s="133">
        <f t="shared" si="4"/>
        <v>785.3664</v>
      </c>
      <c r="I37" s="133">
        <f t="shared" si="4"/>
        <v>850.0128</v>
      </c>
      <c r="J37" s="133">
        <f>J33*J10*6/1000</f>
        <v>417.84288</v>
      </c>
      <c r="K37" s="133">
        <f t="shared" si="4"/>
        <v>838.3065600000001</v>
      </c>
      <c r="L37" s="133"/>
      <c r="M37" s="556">
        <f>M33*M9*12/1000</f>
        <v>0</v>
      </c>
    </row>
    <row r="38" spans="1:13" ht="42" customHeight="1">
      <c r="A38" s="182" t="s">
        <v>22</v>
      </c>
      <c r="B38" s="147" t="s">
        <v>418</v>
      </c>
      <c r="C38" s="184"/>
      <c r="D38" s="132"/>
      <c r="E38" s="132"/>
      <c r="F38" s="133"/>
      <c r="G38" s="133"/>
      <c r="H38" s="133"/>
      <c r="I38" s="129"/>
      <c r="J38" s="129"/>
      <c r="K38" s="129"/>
      <c r="L38" s="129"/>
      <c r="M38" s="555"/>
    </row>
    <row r="39" spans="1:13" ht="30">
      <c r="A39" s="182" t="s">
        <v>129</v>
      </c>
      <c r="B39" s="147" t="s">
        <v>419</v>
      </c>
      <c r="C39" s="184" t="s">
        <v>382</v>
      </c>
      <c r="D39" s="132"/>
      <c r="E39" s="132"/>
      <c r="F39" s="133"/>
      <c r="G39" s="133"/>
      <c r="H39" s="133"/>
      <c r="I39" s="129"/>
      <c r="J39" s="129"/>
      <c r="K39" s="129"/>
      <c r="L39" s="129"/>
      <c r="M39" s="555"/>
    </row>
    <row r="40" spans="1:13" ht="15.75">
      <c r="A40" s="182" t="s">
        <v>133</v>
      </c>
      <c r="B40" s="147" t="s">
        <v>420</v>
      </c>
      <c r="C40" s="184" t="s">
        <v>386</v>
      </c>
      <c r="D40" s="132"/>
      <c r="E40" s="132"/>
      <c r="F40" s="133"/>
      <c r="G40" s="133"/>
      <c r="H40" s="133"/>
      <c r="I40" s="129"/>
      <c r="J40" s="129"/>
      <c r="K40" s="129"/>
      <c r="L40" s="129"/>
      <c r="M40" s="555"/>
    </row>
    <row r="41" spans="1:13" ht="15.75">
      <c r="A41" s="182" t="s">
        <v>134</v>
      </c>
      <c r="B41" s="147" t="s">
        <v>413</v>
      </c>
      <c r="C41" s="184" t="s">
        <v>421</v>
      </c>
      <c r="D41" s="132"/>
      <c r="E41" s="132"/>
      <c r="F41" s="133"/>
      <c r="G41" s="133"/>
      <c r="H41" s="133"/>
      <c r="I41" s="129"/>
      <c r="J41" s="129"/>
      <c r="K41" s="129"/>
      <c r="L41" s="129"/>
      <c r="M41" s="555"/>
    </row>
    <row r="42" spans="1:13" ht="15.75">
      <c r="A42" s="182" t="s">
        <v>422</v>
      </c>
      <c r="B42" s="147" t="s">
        <v>423</v>
      </c>
      <c r="C42" s="184" t="s">
        <v>421</v>
      </c>
      <c r="D42" s="132"/>
      <c r="E42" s="132"/>
      <c r="F42" s="133"/>
      <c r="G42" s="133"/>
      <c r="H42" s="133"/>
      <c r="I42" s="129"/>
      <c r="J42" s="129"/>
      <c r="K42" s="129"/>
      <c r="L42" s="129"/>
      <c r="M42" s="555"/>
    </row>
    <row r="43" spans="1:13" ht="30">
      <c r="A43" s="182" t="s">
        <v>424</v>
      </c>
      <c r="B43" s="147" t="s">
        <v>425</v>
      </c>
      <c r="C43" s="184" t="s">
        <v>421</v>
      </c>
      <c r="D43" s="132"/>
      <c r="E43" s="132"/>
      <c r="F43" s="133"/>
      <c r="G43" s="133"/>
      <c r="H43" s="133"/>
      <c r="I43" s="129"/>
      <c r="J43" s="129"/>
      <c r="K43" s="129"/>
      <c r="L43" s="129"/>
      <c r="M43" s="555"/>
    </row>
    <row r="44" spans="1:13" ht="15.75">
      <c r="A44" s="182" t="s">
        <v>24</v>
      </c>
      <c r="B44" s="147" t="s">
        <v>426</v>
      </c>
      <c r="C44" s="184"/>
      <c r="D44" s="132"/>
      <c r="E44" s="132"/>
      <c r="F44" s="133"/>
      <c r="G44" s="133"/>
      <c r="H44" s="133"/>
      <c r="I44" s="129"/>
      <c r="J44" s="129"/>
      <c r="K44" s="129"/>
      <c r="L44" s="129"/>
      <c r="M44" s="555"/>
    </row>
    <row r="45" spans="1:13" ht="30">
      <c r="A45" s="182" t="s">
        <v>47</v>
      </c>
      <c r="B45" s="147" t="s">
        <v>427</v>
      </c>
      <c r="C45" s="184" t="s">
        <v>382</v>
      </c>
      <c r="D45" s="132">
        <v>11</v>
      </c>
      <c r="E45" s="132">
        <v>280</v>
      </c>
      <c r="F45" s="133">
        <f aca="true" t="shared" si="5" ref="F45:K45">F10</f>
        <v>4</v>
      </c>
      <c r="G45" s="133">
        <f t="shared" si="5"/>
        <v>4</v>
      </c>
      <c r="H45" s="133">
        <f t="shared" si="5"/>
        <v>4</v>
      </c>
      <c r="I45" s="133">
        <f t="shared" si="5"/>
        <v>4</v>
      </c>
      <c r="J45" s="133">
        <f t="shared" si="5"/>
        <v>4</v>
      </c>
      <c r="K45" s="133">
        <f t="shared" si="5"/>
        <v>4</v>
      </c>
      <c r="L45" s="133"/>
      <c r="M45" s="554">
        <f>M9</f>
        <v>0</v>
      </c>
    </row>
    <row r="46" spans="1:13" ht="15.75">
      <c r="A46" s="182" t="s">
        <v>48</v>
      </c>
      <c r="B46" s="147" t="s">
        <v>428</v>
      </c>
      <c r="C46" s="184" t="s">
        <v>386</v>
      </c>
      <c r="D46" s="137"/>
      <c r="E46" s="137">
        <f>E47/E45*1000/12</f>
        <v>357.1428571428571</v>
      </c>
      <c r="F46" s="133"/>
      <c r="G46" s="133"/>
      <c r="H46" s="133"/>
      <c r="I46" s="129"/>
      <c r="J46" s="129"/>
      <c r="K46" s="129"/>
      <c r="L46" s="129"/>
      <c r="M46" s="555"/>
    </row>
    <row r="47" spans="1:13" ht="15.75">
      <c r="A47" s="182" t="s">
        <v>50</v>
      </c>
      <c r="B47" s="147" t="s">
        <v>429</v>
      </c>
      <c r="C47" s="184" t="s">
        <v>421</v>
      </c>
      <c r="D47" s="138"/>
      <c r="E47" s="138">
        <v>1200</v>
      </c>
      <c r="F47" s="133"/>
      <c r="G47" s="133"/>
      <c r="H47" s="133"/>
      <c r="I47" s="129"/>
      <c r="J47" s="129"/>
      <c r="K47" s="129"/>
      <c r="L47" s="129"/>
      <c r="M47" s="555"/>
    </row>
    <row r="48" spans="1:14" ht="15.75">
      <c r="A48" s="182" t="s">
        <v>430</v>
      </c>
      <c r="B48" s="147" t="s">
        <v>431</v>
      </c>
      <c r="C48" s="184" t="s">
        <v>421</v>
      </c>
      <c r="D48" s="137">
        <f aca="true" t="shared" si="6" ref="D48:K48">D34+D47</f>
        <v>979.0727999999999</v>
      </c>
      <c r="E48" s="137">
        <f t="shared" si="6"/>
        <v>63141.36</v>
      </c>
      <c r="F48" s="133">
        <f t="shared" si="6"/>
        <v>797.05824</v>
      </c>
      <c r="G48" s="133">
        <f t="shared" si="6"/>
        <v>827.81248</v>
      </c>
      <c r="H48" s="133">
        <f t="shared" si="6"/>
        <v>860.3664</v>
      </c>
      <c r="I48" s="133">
        <f t="shared" si="6"/>
        <v>893.0128</v>
      </c>
      <c r="J48" s="133">
        <f t="shared" si="6"/>
        <v>449.84288</v>
      </c>
      <c r="K48" s="133">
        <f t="shared" si="6"/>
        <v>889.3065600000001</v>
      </c>
      <c r="L48" s="133"/>
      <c r="M48" s="556">
        <f>M34</f>
        <v>0</v>
      </c>
      <c r="N48" s="507"/>
    </row>
    <row r="49" spans="1:13" ht="16.5" thickBot="1">
      <c r="A49" s="157" t="s">
        <v>28</v>
      </c>
      <c r="B49" s="158" t="s">
        <v>432</v>
      </c>
      <c r="C49" s="154" t="s">
        <v>386</v>
      </c>
      <c r="D49" s="155">
        <f aca="true" t="shared" si="7" ref="D49:I49">D48/D45/12*1000</f>
        <v>7417.218181818181</v>
      </c>
      <c r="E49" s="155">
        <f t="shared" si="7"/>
        <v>18792.071428571428</v>
      </c>
      <c r="F49" s="156">
        <f t="shared" si="7"/>
        <v>16605.38</v>
      </c>
      <c r="G49" s="156">
        <f t="shared" si="7"/>
        <v>17246.093333333334</v>
      </c>
      <c r="H49" s="156">
        <f t="shared" si="7"/>
        <v>17924.3</v>
      </c>
      <c r="I49" s="156">
        <f t="shared" si="7"/>
        <v>18604.433333333334</v>
      </c>
      <c r="J49" s="156">
        <f>J48/J45/6*1000</f>
        <v>18743.45333333333</v>
      </c>
      <c r="K49" s="156">
        <f>K48/K45/12*1000</f>
        <v>18527.220000000005</v>
      </c>
      <c r="L49" s="156"/>
      <c r="M49" s="560" t="e">
        <f>M37/M45/12*1000</f>
        <v>#DIV/0!</v>
      </c>
    </row>
    <row r="50" spans="1:11" ht="12.75">
      <c r="A50" s="485"/>
      <c r="B50" s="545"/>
      <c r="C50" s="546"/>
      <c r="D50" s="485"/>
      <c r="E50" s="485"/>
      <c r="F50" s="485"/>
      <c r="G50" s="485"/>
      <c r="H50" s="485"/>
      <c r="I50" s="485"/>
      <c r="J50" s="485"/>
      <c r="K50" s="485"/>
    </row>
    <row r="51" spans="1:11" s="548" customFormat="1" ht="14.25" customHeight="1">
      <c r="A51" s="547"/>
      <c r="B51" s="547"/>
      <c r="C51" s="547"/>
      <c r="D51" s="547"/>
      <c r="E51" s="547"/>
      <c r="F51" s="547"/>
      <c r="G51" s="547"/>
      <c r="H51" s="547"/>
      <c r="I51" s="547"/>
      <c r="J51" s="547"/>
      <c r="K51" s="547"/>
    </row>
    <row r="52" spans="1:13" ht="15.75">
      <c r="A52" s="549"/>
      <c r="B52" s="549"/>
      <c r="C52" s="549"/>
      <c r="D52" s="549"/>
      <c r="E52" s="549"/>
      <c r="F52" s="549"/>
      <c r="G52" s="549"/>
      <c r="H52" s="549"/>
      <c r="I52" s="549"/>
      <c r="J52" s="549"/>
      <c r="K52" s="549"/>
      <c r="L52" s="549"/>
      <c r="M52" s="549"/>
    </row>
    <row r="53" spans="1:11" ht="15.75">
      <c r="A53" s="549"/>
      <c r="B53" s="475" t="s">
        <v>500</v>
      </c>
      <c r="C53" s="549"/>
      <c r="D53" s="549"/>
      <c r="E53" s="549"/>
      <c r="F53" s="549"/>
      <c r="G53" s="549"/>
      <c r="H53" s="549"/>
      <c r="I53" s="549"/>
      <c r="J53" s="549"/>
      <c r="K53" s="549"/>
    </row>
    <row r="54" spans="1:13" ht="15.75">
      <c r="A54" s="467"/>
      <c r="B54" s="475" t="s">
        <v>499</v>
      </c>
      <c r="C54" s="467"/>
      <c r="D54" s="467"/>
      <c r="E54" s="467"/>
      <c r="F54" s="467"/>
      <c r="G54" s="467"/>
      <c r="H54" s="467"/>
      <c r="I54" s="467"/>
      <c r="J54" s="467"/>
      <c r="K54" s="467"/>
      <c r="L54" s="1011" t="s">
        <v>515</v>
      </c>
      <c r="M54" s="1011"/>
    </row>
    <row r="55" spans="2:3" ht="12.75">
      <c r="B55" s="550"/>
      <c r="C55" s="551"/>
    </row>
    <row r="56" spans="2:3" ht="12.75">
      <c r="B56" s="550"/>
      <c r="C56" s="551"/>
    </row>
    <row r="57" spans="2:3" ht="12.75">
      <c r="B57" s="550"/>
      <c r="C57" s="551"/>
    </row>
    <row r="58" spans="2:3" ht="12.75">
      <c r="B58" s="550"/>
      <c r="C58" s="551"/>
    </row>
    <row r="59" spans="2:3" ht="12.75">
      <c r="B59" s="550"/>
      <c r="C59" s="551"/>
    </row>
    <row r="60" spans="2:3" ht="12.75">
      <c r="B60" s="550"/>
      <c r="C60" s="551"/>
    </row>
    <row r="61" spans="2:3" ht="12.75">
      <c r="B61" s="550"/>
      <c r="C61" s="551"/>
    </row>
    <row r="62" spans="2:3" ht="12.75">
      <c r="B62" s="550"/>
      <c r="C62" s="551"/>
    </row>
    <row r="63" spans="2:3" ht="12.75">
      <c r="B63" s="550"/>
      <c r="C63" s="551"/>
    </row>
    <row r="64" spans="2:3" ht="12.75">
      <c r="B64" s="550"/>
      <c r="C64" s="551"/>
    </row>
    <row r="65" spans="2:3" ht="12.75">
      <c r="B65" s="550"/>
      <c r="C65" s="551"/>
    </row>
    <row r="66" spans="2:3" ht="12.75">
      <c r="B66" s="550"/>
      <c r="C66" s="551"/>
    </row>
    <row r="67" spans="2:3" ht="12.75">
      <c r="B67" s="550"/>
      <c r="C67" s="551"/>
    </row>
    <row r="68" spans="2:3" ht="12.75">
      <c r="B68" s="550"/>
      <c r="C68" s="551"/>
    </row>
    <row r="69" spans="2:3" ht="12.75">
      <c r="B69" s="550"/>
      <c r="C69" s="551"/>
    </row>
    <row r="70" spans="2:3" ht="12.75">
      <c r="B70" s="550"/>
      <c r="C70" s="551"/>
    </row>
    <row r="71" spans="2:3" ht="12.75">
      <c r="B71" s="550"/>
      <c r="C71" s="551"/>
    </row>
    <row r="72" spans="2:3" ht="12.75">
      <c r="B72" s="550"/>
      <c r="C72" s="551"/>
    </row>
    <row r="73" spans="2:3" ht="12.75">
      <c r="B73" s="550"/>
      <c r="C73" s="551"/>
    </row>
    <row r="74" spans="2:3" ht="12.75">
      <c r="B74" s="550"/>
      <c r="C74" s="551"/>
    </row>
    <row r="75" spans="2:3" ht="12.75">
      <c r="B75" s="550"/>
      <c r="C75" s="551"/>
    </row>
    <row r="76" spans="2:3" ht="12.75">
      <c r="B76" s="550"/>
      <c r="C76" s="551"/>
    </row>
    <row r="77" spans="2:3" ht="12.75">
      <c r="B77" s="550"/>
      <c r="C77" s="551"/>
    </row>
    <row r="78" spans="2:3" ht="12.75">
      <c r="B78" s="550"/>
      <c r="C78" s="551"/>
    </row>
    <row r="79" spans="2:3" ht="12.75">
      <c r="B79" s="550"/>
      <c r="C79" s="551"/>
    </row>
    <row r="80" spans="2:3" ht="12.75">
      <c r="B80" s="550"/>
      <c r="C80" s="551"/>
    </row>
    <row r="81" spans="2:3" ht="12.75">
      <c r="B81" s="550"/>
      <c r="C81" s="551"/>
    </row>
    <row r="82" spans="2:3" ht="12.75">
      <c r="B82" s="550"/>
      <c r="C82" s="551"/>
    </row>
    <row r="83" spans="2:3" ht="12.75">
      <c r="B83" s="550"/>
      <c r="C83" s="551"/>
    </row>
    <row r="84" spans="2:3" ht="12.75">
      <c r="B84" s="550"/>
      <c r="C84" s="551"/>
    </row>
    <row r="85" spans="2:3" ht="12.75">
      <c r="B85" s="550"/>
      <c r="C85" s="551"/>
    </row>
    <row r="86" spans="2:3" ht="12.75">
      <c r="B86" s="550"/>
      <c r="C86" s="551"/>
    </row>
    <row r="87" spans="2:3" ht="12.75">
      <c r="B87" s="550"/>
      <c r="C87" s="551"/>
    </row>
    <row r="88" spans="2:3" ht="12.75">
      <c r="B88" s="550"/>
      <c r="C88" s="551"/>
    </row>
    <row r="89" spans="2:3" ht="12.75">
      <c r="B89" s="550"/>
      <c r="C89" s="551"/>
    </row>
    <row r="90" spans="2:3" ht="12.75">
      <c r="B90" s="550"/>
      <c r="C90" s="551"/>
    </row>
    <row r="91" spans="2:3" ht="12.75">
      <c r="B91" s="550"/>
      <c r="C91" s="551"/>
    </row>
    <row r="92" spans="2:3" ht="12.75">
      <c r="B92" s="550"/>
      <c r="C92" s="551"/>
    </row>
    <row r="93" spans="2:3" ht="12.75">
      <c r="B93" s="550"/>
      <c r="C93" s="551"/>
    </row>
    <row r="94" spans="2:3" ht="12.75">
      <c r="B94" s="550"/>
      <c r="C94" s="551"/>
    </row>
    <row r="95" spans="2:3" ht="12.75">
      <c r="B95" s="550"/>
      <c r="C95" s="551"/>
    </row>
    <row r="96" spans="2:3" ht="12.75">
      <c r="B96" s="550"/>
      <c r="C96" s="551"/>
    </row>
    <row r="97" spans="2:3" ht="12.75">
      <c r="B97" s="550"/>
      <c r="C97" s="551"/>
    </row>
    <row r="98" spans="2:3" ht="12.75">
      <c r="B98" s="550"/>
      <c r="C98" s="551"/>
    </row>
    <row r="99" spans="2:3" ht="12.75">
      <c r="B99" s="550"/>
      <c r="C99" s="551"/>
    </row>
    <row r="100" spans="2:3" ht="12.75">
      <c r="B100" s="550"/>
      <c r="C100" s="551"/>
    </row>
    <row r="101" spans="2:3" ht="12.75">
      <c r="B101" s="550"/>
      <c r="C101" s="551"/>
    </row>
    <row r="102" spans="2:3" ht="12.75">
      <c r="B102" s="550"/>
      <c r="C102" s="551"/>
    </row>
    <row r="103" spans="2:3" ht="12.75">
      <c r="B103" s="550"/>
      <c r="C103" s="551"/>
    </row>
    <row r="104" spans="2:3" ht="12.75">
      <c r="B104" s="550"/>
      <c r="C104" s="551"/>
    </row>
    <row r="105" spans="2:3" ht="12.75">
      <c r="B105" s="550"/>
      <c r="C105" s="551"/>
    </row>
    <row r="106" spans="2:3" ht="12.75">
      <c r="B106" s="550"/>
      <c r="C106" s="551"/>
    </row>
    <row r="107" spans="2:3" ht="12.75">
      <c r="B107" s="550"/>
      <c r="C107" s="551"/>
    </row>
    <row r="108" spans="2:3" ht="12.75">
      <c r="B108" s="550"/>
      <c r="C108" s="551"/>
    </row>
    <row r="109" spans="2:3" ht="12.75">
      <c r="B109" s="550"/>
      <c r="C109" s="551"/>
    </row>
    <row r="110" ht="12.75">
      <c r="C110" s="551"/>
    </row>
    <row r="111" ht="12.75">
      <c r="C111" s="551"/>
    </row>
    <row r="112" ht="12.75">
      <c r="C112" s="551"/>
    </row>
    <row r="113" ht="12.75">
      <c r="C113" s="551"/>
    </row>
    <row r="114" ht="12.75">
      <c r="C114" s="551"/>
    </row>
    <row r="115" ht="12.75">
      <c r="C115" s="551"/>
    </row>
    <row r="116" ht="12.75">
      <c r="C116" s="551"/>
    </row>
    <row r="117" ht="12.75">
      <c r="C117" s="551"/>
    </row>
    <row r="118" ht="12.75">
      <c r="C118" s="551"/>
    </row>
    <row r="119" ht="12.75">
      <c r="C119" s="551"/>
    </row>
    <row r="120" ht="12.75">
      <c r="C120" s="551"/>
    </row>
    <row r="121" ht="12.75">
      <c r="C121" s="551"/>
    </row>
    <row r="122" ht="12.75">
      <c r="C122" s="551"/>
    </row>
    <row r="123" ht="12.75">
      <c r="C123" s="551"/>
    </row>
    <row r="124" ht="12.75">
      <c r="C124" s="551"/>
    </row>
    <row r="125" ht="12.75">
      <c r="C125" s="551"/>
    </row>
    <row r="126" ht="12.75">
      <c r="C126" s="551"/>
    </row>
    <row r="127" ht="12.75">
      <c r="C127" s="551"/>
    </row>
    <row r="128" ht="12.75">
      <c r="C128" s="551"/>
    </row>
    <row r="129" ht="12.75">
      <c r="C129" s="551"/>
    </row>
    <row r="130" ht="12.75">
      <c r="C130" s="551"/>
    </row>
    <row r="131" ht="12.75">
      <c r="C131" s="551"/>
    </row>
    <row r="132" ht="12.75">
      <c r="C132" s="551"/>
    </row>
  </sheetData>
  <sheetProtection/>
  <mergeCells count="9">
    <mergeCell ref="L54:M54"/>
    <mergeCell ref="A1:D1"/>
    <mergeCell ref="A3:M3"/>
    <mergeCell ref="B5:C5"/>
    <mergeCell ref="A6:A7"/>
    <mergeCell ref="B6:B7"/>
    <mergeCell ref="C6:C7"/>
    <mergeCell ref="L6:L7"/>
    <mergeCell ref="M6:M7"/>
  </mergeCells>
  <printOptions/>
  <pageMargins left="0.7480314960629921" right="1.1811023622047245" top="0.75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24"/>
  <sheetViews>
    <sheetView view="pageBreakPreview" zoomScale="145" zoomScaleSheetLayoutView="145" zoomScalePageLayoutView="0" workbookViewId="0" topLeftCell="A1">
      <selection activeCell="E14" sqref="E14"/>
    </sheetView>
  </sheetViews>
  <sheetFormatPr defaultColWidth="9.00390625" defaultRowHeight="12.75"/>
  <cols>
    <col min="1" max="1" width="9.375" style="563" customWidth="1"/>
    <col min="2" max="2" width="32.875" style="563" customWidth="1"/>
    <col min="3" max="3" width="15.875" style="563" hidden="1" customWidth="1"/>
    <col min="4" max="4" width="18.125" style="563" hidden="1" customWidth="1"/>
    <col min="5" max="7" width="15.875" style="563" customWidth="1"/>
    <col min="8" max="9" width="15.875" style="563" hidden="1" customWidth="1"/>
    <col min="10" max="10" width="15.00390625" style="563" customWidth="1"/>
    <col min="11" max="16384" width="9.375" style="563" customWidth="1"/>
  </cols>
  <sheetData>
    <row r="1" spans="1:10" s="562" customFormat="1" ht="18.75">
      <c r="A1" s="1027" t="s">
        <v>553</v>
      </c>
      <c r="B1" s="1027"/>
      <c r="C1" s="1027"/>
      <c r="D1" s="1027"/>
      <c r="E1" s="561"/>
      <c r="F1" s="561"/>
      <c r="G1" s="561"/>
      <c r="H1" s="561"/>
      <c r="I1" s="561"/>
      <c r="J1" s="430" t="s">
        <v>498</v>
      </c>
    </row>
    <row r="2" spans="5:9" s="562" customFormat="1" ht="12.75">
      <c r="E2" s="563"/>
      <c r="F2" s="563"/>
      <c r="G2" s="563"/>
      <c r="H2" s="563"/>
      <c r="I2" s="563"/>
    </row>
    <row r="3" spans="1:10" s="562" customFormat="1" ht="15.75">
      <c r="A3" s="1028" t="s">
        <v>433</v>
      </c>
      <c r="B3" s="1028"/>
      <c r="C3" s="1028"/>
      <c r="D3" s="1028"/>
      <c r="E3" s="1028"/>
      <c r="F3" s="1028"/>
      <c r="G3" s="1028"/>
      <c r="H3" s="1028"/>
      <c r="I3" s="1028"/>
      <c r="J3" s="1028"/>
    </row>
    <row r="4" spans="1:10" s="562" customFormat="1" ht="12.75">
      <c r="A4" s="1025" t="s">
        <v>497</v>
      </c>
      <c r="B4" s="1026"/>
      <c r="C4" s="1026"/>
      <c r="D4" s="1026"/>
      <c r="E4" s="1026"/>
      <c r="F4" s="1026"/>
      <c r="G4" s="1026"/>
      <c r="H4" s="1026"/>
      <c r="I4" s="1026"/>
      <c r="J4" s="1026"/>
    </row>
    <row r="5" spans="1:10" s="562" customFormat="1" ht="12.75">
      <c r="A5" s="1026" t="s">
        <v>434</v>
      </c>
      <c r="B5" s="1026"/>
      <c r="C5" s="1026"/>
      <c r="D5" s="1026"/>
      <c r="E5" s="1026"/>
      <c r="F5" s="1026"/>
      <c r="G5" s="1026"/>
      <c r="H5" s="1026"/>
      <c r="I5" s="1026"/>
      <c r="J5" s="1026"/>
    </row>
    <row r="6" spans="1:9" s="562" customFormat="1" ht="12.75">
      <c r="A6" s="563"/>
      <c r="B6" s="563"/>
      <c r="C6" s="563"/>
      <c r="D6" s="563"/>
      <c r="E6" s="563"/>
      <c r="F6" s="563"/>
      <c r="G6" s="563"/>
      <c r="H6" s="563"/>
      <c r="I6" s="563"/>
    </row>
    <row r="7" spans="1:10" s="564" customFormat="1" ht="12.75" customHeight="1">
      <c r="A7" s="1029" t="s">
        <v>435</v>
      </c>
      <c r="B7" s="1030" t="s">
        <v>4</v>
      </c>
      <c r="C7" s="1019" t="s">
        <v>597</v>
      </c>
      <c r="D7" s="1019" t="s">
        <v>568</v>
      </c>
      <c r="E7" s="1019" t="s">
        <v>596</v>
      </c>
      <c r="F7" s="1019" t="s">
        <v>595</v>
      </c>
      <c r="G7" s="1019" t="s">
        <v>594</v>
      </c>
      <c r="H7" s="1022" t="s">
        <v>338</v>
      </c>
      <c r="I7" s="1023"/>
      <c r="J7" s="1019" t="s">
        <v>569</v>
      </c>
    </row>
    <row r="8" spans="1:10" s="564" customFormat="1" ht="12.75" customHeight="1">
      <c r="A8" s="1020"/>
      <c r="B8" s="1031"/>
      <c r="C8" s="1005"/>
      <c r="D8" s="1020"/>
      <c r="E8" s="1020"/>
      <c r="F8" s="1020"/>
      <c r="G8" s="1005"/>
      <c r="H8" s="963" t="s">
        <v>484</v>
      </c>
      <c r="I8" s="963" t="s">
        <v>485</v>
      </c>
      <c r="J8" s="1005"/>
    </row>
    <row r="9" spans="1:10" s="564" customFormat="1" ht="12.75">
      <c r="A9" s="1021"/>
      <c r="B9" s="1032"/>
      <c r="C9" s="992"/>
      <c r="D9" s="1021"/>
      <c r="E9" s="1021"/>
      <c r="F9" s="1021"/>
      <c r="G9" s="992"/>
      <c r="H9" s="1024"/>
      <c r="I9" s="1024"/>
      <c r="J9" s="992"/>
    </row>
    <row r="10" spans="1:10" s="562" customFormat="1" ht="25.5">
      <c r="A10" s="565">
        <v>1</v>
      </c>
      <c r="B10" s="566" t="s">
        <v>436</v>
      </c>
      <c r="C10" s="567"/>
      <c r="D10" s="567">
        <v>0</v>
      </c>
      <c r="E10" s="567">
        <v>615</v>
      </c>
      <c r="F10" s="568">
        <v>615</v>
      </c>
      <c r="G10" s="568">
        <v>615</v>
      </c>
      <c r="H10" s="568">
        <v>2182.045</v>
      </c>
      <c r="I10" s="568">
        <v>2182.045</v>
      </c>
      <c r="J10" s="568">
        <v>0</v>
      </c>
    </row>
    <row r="11" spans="1:10" ht="25.5">
      <c r="A11" s="569">
        <v>2</v>
      </c>
      <c r="B11" s="570" t="s">
        <v>437</v>
      </c>
      <c r="C11" s="569" t="s">
        <v>438</v>
      </c>
      <c r="D11" s="569" t="s">
        <v>438</v>
      </c>
      <c r="E11" s="569">
        <v>0</v>
      </c>
      <c r="F11" s="571" t="s">
        <v>438</v>
      </c>
      <c r="G11" s="571" t="s">
        <v>438</v>
      </c>
      <c r="H11" s="571" t="s">
        <v>438</v>
      </c>
      <c r="I11" s="571" t="s">
        <v>438</v>
      </c>
      <c r="J11" s="571" t="s">
        <v>438</v>
      </c>
    </row>
    <row r="12" spans="1:10" ht="25.5">
      <c r="A12" s="569">
        <v>3</v>
      </c>
      <c r="B12" s="570" t="s">
        <v>439</v>
      </c>
      <c r="C12" s="569" t="s">
        <v>438</v>
      </c>
      <c r="D12" s="569" t="s">
        <v>438</v>
      </c>
      <c r="E12" s="569">
        <v>0</v>
      </c>
      <c r="F12" s="571" t="s">
        <v>438</v>
      </c>
      <c r="G12" s="571" t="s">
        <v>438</v>
      </c>
      <c r="H12" s="571" t="s">
        <v>438</v>
      </c>
      <c r="I12" s="571" t="s">
        <v>438</v>
      </c>
      <c r="J12" s="571" t="s">
        <v>438</v>
      </c>
    </row>
    <row r="13" spans="1:10" ht="38.25">
      <c r="A13" s="569">
        <v>4</v>
      </c>
      <c r="B13" s="570" t="s">
        <v>440</v>
      </c>
      <c r="C13" s="572"/>
      <c r="D13" s="572">
        <v>0</v>
      </c>
      <c r="E13" s="573">
        <v>615</v>
      </c>
      <c r="F13" s="573">
        <f>F10</f>
        <v>615</v>
      </c>
      <c r="G13" s="573">
        <f>G10</f>
        <v>615</v>
      </c>
      <c r="H13" s="573">
        <f>H10</f>
        <v>2182.045</v>
      </c>
      <c r="I13" s="573">
        <f>I10</f>
        <v>2182.045</v>
      </c>
      <c r="J13" s="573">
        <f>G13</f>
        <v>615</v>
      </c>
    </row>
    <row r="14" spans="1:10" ht="12.75">
      <c r="A14" s="569">
        <v>5</v>
      </c>
      <c r="B14" s="570" t="s">
        <v>441</v>
      </c>
      <c r="C14" s="574">
        <v>0</v>
      </c>
      <c r="D14" s="574" t="e">
        <f aca="true" t="shared" si="0" ref="D14:I14">D15/D10</f>
        <v>#DIV/0!</v>
      </c>
      <c r="E14" s="574">
        <v>0</v>
      </c>
      <c r="F14" s="575">
        <f t="shared" si="0"/>
        <v>0</v>
      </c>
      <c r="G14" s="575">
        <f>G15/G10</f>
        <v>0</v>
      </c>
      <c r="H14" s="575">
        <f t="shared" si="0"/>
        <v>0.1592735560754552</v>
      </c>
      <c r="I14" s="575">
        <f t="shared" si="0"/>
        <v>0.1592735560754552</v>
      </c>
      <c r="J14" s="575">
        <f>J15/J13</f>
        <v>0</v>
      </c>
    </row>
    <row r="15" spans="1:10" ht="25.5">
      <c r="A15" s="576">
        <v>6</v>
      </c>
      <c r="B15" s="577" t="s">
        <v>442</v>
      </c>
      <c r="C15" s="578">
        <v>0</v>
      </c>
      <c r="D15" s="578">
        <v>0</v>
      </c>
      <c r="E15" s="578">
        <v>0</v>
      </c>
      <c r="F15" s="579">
        <v>0</v>
      </c>
      <c r="G15" s="579">
        <v>0</v>
      </c>
      <c r="H15" s="579">
        <v>347.54206666666664</v>
      </c>
      <c r="I15" s="579">
        <v>347.54206666666664</v>
      </c>
      <c r="J15" s="579">
        <f>G15</f>
        <v>0</v>
      </c>
    </row>
    <row r="16" spans="2:10" ht="12.75">
      <c r="B16" s="580"/>
      <c r="J16" s="581"/>
    </row>
    <row r="17" ht="12.75">
      <c r="B17" s="580"/>
    </row>
    <row r="18" spans="1:15" s="367" customFormat="1" ht="15.75">
      <c r="A18" s="549"/>
      <c r="B18" s="582"/>
      <c r="C18" s="549"/>
      <c r="D18" s="549"/>
      <c r="E18" s="549"/>
      <c r="F18" s="549"/>
      <c r="G18" s="549"/>
      <c r="H18" s="549"/>
      <c r="I18" s="549"/>
      <c r="J18" s="583"/>
      <c r="K18" s="549"/>
      <c r="L18" s="549"/>
      <c r="M18" s="549"/>
      <c r="N18" s="549"/>
      <c r="O18" s="563"/>
    </row>
    <row r="19" spans="1:10" ht="12.75">
      <c r="A19" s="1025" t="s">
        <v>598</v>
      </c>
      <c r="B19" s="1026"/>
      <c r="C19" s="1026"/>
      <c r="D19" s="1026"/>
      <c r="E19" s="1026"/>
      <c r="F19" s="1026"/>
      <c r="G19" s="1026"/>
      <c r="H19" s="1026"/>
      <c r="I19" s="1026"/>
      <c r="J19" s="1026"/>
    </row>
    <row r="20" ht="12.75">
      <c r="B20" s="580"/>
    </row>
    <row r="21" ht="12.75">
      <c r="B21" s="580"/>
    </row>
    <row r="22" ht="12.75">
      <c r="B22" s="580"/>
    </row>
    <row r="23" ht="12.75">
      <c r="B23" s="580"/>
    </row>
    <row r="24" ht="12.75">
      <c r="B24" s="580"/>
    </row>
  </sheetData>
  <sheetProtection/>
  <mergeCells count="16">
    <mergeCell ref="A19:J19"/>
    <mergeCell ref="A1:D1"/>
    <mergeCell ref="A3:J3"/>
    <mergeCell ref="A4:J4"/>
    <mergeCell ref="A5:J5"/>
    <mergeCell ref="A7:A9"/>
    <mergeCell ref="B7:B9"/>
    <mergeCell ref="C7:C9"/>
    <mergeCell ref="D7:D9"/>
    <mergeCell ref="E7:E9"/>
    <mergeCell ref="F7:F9"/>
    <mergeCell ref="J7:J9"/>
    <mergeCell ref="G7:G9"/>
    <mergeCell ref="H7:I7"/>
    <mergeCell ref="H8:H9"/>
    <mergeCell ref="I8:I9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25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9.375" style="47" customWidth="1"/>
    <col min="2" max="2" width="32.875" style="47" customWidth="1"/>
    <col min="3" max="3" width="15.875" style="47" customWidth="1"/>
    <col min="4" max="4" width="21.875" style="47" customWidth="1"/>
    <col min="5" max="16384" width="9.375" style="47" customWidth="1"/>
  </cols>
  <sheetData>
    <row r="1" spans="1:4" s="46" customFormat="1" ht="18.75">
      <c r="A1" s="1033" t="s">
        <v>313</v>
      </c>
      <c r="B1" s="1033"/>
      <c r="D1" s="159" t="s">
        <v>317</v>
      </c>
    </row>
    <row r="2" s="46" customFormat="1" ht="12.75"/>
    <row r="3" spans="1:7" s="46" customFormat="1" ht="36" customHeight="1">
      <c r="A3" s="1034" t="s">
        <v>508</v>
      </c>
      <c r="B3" s="1035"/>
      <c r="C3" s="1035"/>
      <c r="D3" s="1035"/>
      <c r="E3" s="160"/>
      <c r="F3" s="160"/>
      <c r="G3" s="160"/>
    </row>
    <row r="4" spans="1:3" s="46" customFormat="1" ht="12.75">
      <c r="A4" s="1036"/>
      <c r="B4" s="1036"/>
      <c r="C4" s="1036"/>
    </row>
    <row r="5" spans="1:3" s="46" customFormat="1" ht="12.75">
      <c r="A5" s="1036"/>
      <c r="B5" s="1036"/>
      <c r="C5" s="1036"/>
    </row>
    <row r="6" spans="1:3" s="46" customFormat="1" ht="12.75">
      <c r="A6" s="85"/>
      <c r="B6" s="1037"/>
      <c r="C6" s="1038"/>
    </row>
    <row r="7" spans="1:2" s="46" customFormat="1" ht="14.25" customHeight="1" thickBot="1">
      <c r="A7" s="47"/>
      <c r="B7" s="47"/>
    </row>
    <row r="8" spans="1:4" s="48" customFormat="1" ht="12.75" customHeight="1">
      <c r="A8" s="967" t="s">
        <v>509</v>
      </c>
      <c r="B8" s="1009" t="s">
        <v>4</v>
      </c>
      <c r="C8" s="962" t="s">
        <v>514</v>
      </c>
      <c r="D8" s="1040" t="s">
        <v>511</v>
      </c>
    </row>
    <row r="9" spans="1:4" s="48" customFormat="1" ht="12.75" customHeight="1">
      <c r="A9" s="968"/>
      <c r="B9" s="1039"/>
      <c r="C9" s="963"/>
      <c r="D9" s="1041"/>
    </row>
    <row r="10" spans="1:4" s="48" customFormat="1" ht="12.75">
      <c r="A10" s="968"/>
      <c r="B10" s="1039"/>
      <c r="C10" s="963"/>
      <c r="D10" s="1042"/>
    </row>
    <row r="11" spans="1:4" s="46" customFormat="1" ht="25.5">
      <c r="A11" s="161">
        <v>1</v>
      </c>
      <c r="B11" s="162" t="s">
        <v>436</v>
      </c>
      <c r="C11" s="163"/>
      <c r="D11" s="164">
        <f>'1.17'!J10*0.05</f>
        <v>0</v>
      </c>
    </row>
    <row r="12" spans="1:4" ht="25.5">
      <c r="A12" s="161">
        <v>2</v>
      </c>
      <c r="B12" s="162" t="s">
        <v>437</v>
      </c>
      <c r="C12" s="165"/>
      <c r="D12" s="166"/>
    </row>
    <row r="13" spans="1:4" ht="25.5">
      <c r="A13" s="161">
        <v>3</v>
      </c>
      <c r="B13" s="162" t="s">
        <v>439</v>
      </c>
      <c r="C13" s="165"/>
      <c r="D13" s="166"/>
    </row>
    <row r="14" spans="1:4" ht="38.25">
      <c r="A14" s="161">
        <v>4</v>
      </c>
      <c r="B14" s="162" t="s">
        <v>440</v>
      </c>
      <c r="C14" s="163"/>
      <c r="D14" s="164">
        <f>D11</f>
        <v>0</v>
      </c>
    </row>
    <row r="15" spans="1:4" ht="12.75">
      <c r="A15" s="161">
        <v>5</v>
      </c>
      <c r="B15" s="162" t="s">
        <v>441</v>
      </c>
      <c r="C15" s="167"/>
      <c r="D15" s="168">
        <f>'1.17'!J14</f>
        <v>0</v>
      </c>
    </row>
    <row r="16" spans="1:4" ht="26.25" thickBot="1">
      <c r="A16" s="169">
        <v>6</v>
      </c>
      <c r="B16" s="170" t="s">
        <v>442</v>
      </c>
      <c r="C16" s="171"/>
      <c r="D16" s="177">
        <f>D14*D15</f>
        <v>0</v>
      </c>
    </row>
    <row r="17" ht="12.75">
      <c r="B17" s="49"/>
    </row>
    <row r="18" ht="12.75">
      <c r="B18" s="49"/>
    </row>
    <row r="19" spans="1:7" ht="15.75">
      <c r="A19" s="86" t="s">
        <v>500</v>
      </c>
      <c r="C19" s="51"/>
      <c r="D19" s="50"/>
      <c r="E19" s="50"/>
      <c r="F19" s="50"/>
      <c r="G19" s="50"/>
    </row>
    <row r="20" spans="1:4" ht="15.75">
      <c r="A20" s="86" t="s">
        <v>499</v>
      </c>
      <c r="C20" s="50"/>
      <c r="D20" s="172" t="s">
        <v>515</v>
      </c>
    </row>
    <row r="21" ht="12.75">
      <c r="B21" s="49"/>
    </row>
    <row r="22" ht="12.75">
      <c r="B22" s="49"/>
    </row>
    <row r="23" ht="12.75">
      <c r="B23" s="49"/>
    </row>
    <row r="24" ht="12.75">
      <c r="B24" s="49"/>
    </row>
    <row r="25" ht="12.75">
      <c r="B25" s="49"/>
    </row>
  </sheetData>
  <sheetProtection/>
  <mergeCells count="9">
    <mergeCell ref="A1:B1"/>
    <mergeCell ref="A3:D3"/>
    <mergeCell ref="A4:C4"/>
    <mergeCell ref="A5:C5"/>
    <mergeCell ref="B6:C6"/>
    <mergeCell ref="A8:A10"/>
    <mergeCell ref="B8:B10"/>
    <mergeCell ref="C8:C10"/>
    <mergeCell ref="D8:D10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23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9.375" style="47" customWidth="1"/>
    <col min="2" max="2" width="32.875" style="47" customWidth="1"/>
    <col min="3" max="3" width="15.875" style="47" customWidth="1"/>
    <col min="4" max="4" width="21.875" style="47" customWidth="1"/>
    <col min="5" max="16384" width="9.375" style="47" customWidth="1"/>
  </cols>
  <sheetData>
    <row r="1" spans="1:4" s="46" customFormat="1" ht="18.75">
      <c r="A1" s="1033" t="s">
        <v>313</v>
      </c>
      <c r="B1" s="1033"/>
      <c r="D1" s="159" t="s">
        <v>317</v>
      </c>
    </row>
    <row r="2" s="46" customFormat="1" ht="12.75"/>
    <row r="3" spans="1:4" s="46" customFormat="1" ht="35.25" customHeight="1">
      <c r="A3" s="1034" t="s">
        <v>510</v>
      </c>
      <c r="B3" s="1034"/>
      <c r="C3" s="1034"/>
      <c r="D3" s="1035"/>
    </row>
    <row r="4" spans="1:3" s="46" customFormat="1" ht="12.75">
      <c r="A4" s="1036"/>
      <c r="B4" s="1036"/>
      <c r="C4" s="1036"/>
    </row>
    <row r="5" spans="1:2" s="46" customFormat="1" ht="14.25" customHeight="1" thickBot="1">
      <c r="A5" s="47"/>
      <c r="B5" s="47"/>
    </row>
    <row r="6" spans="1:4" s="48" customFormat="1" ht="12.75" customHeight="1">
      <c r="A6" s="967" t="s">
        <v>509</v>
      </c>
      <c r="B6" s="1009" t="s">
        <v>4</v>
      </c>
      <c r="C6" s="962" t="s">
        <v>514</v>
      </c>
      <c r="D6" s="969" t="s">
        <v>511</v>
      </c>
    </row>
    <row r="7" spans="1:4" s="48" customFormat="1" ht="12.75" customHeight="1">
      <c r="A7" s="968"/>
      <c r="B7" s="1039"/>
      <c r="C7" s="963"/>
      <c r="D7" s="993"/>
    </row>
    <row r="8" spans="1:4" s="48" customFormat="1" ht="12.75">
      <c r="A8" s="968"/>
      <c r="B8" s="1039"/>
      <c r="C8" s="963"/>
      <c r="D8" s="1043"/>
    </row>
    <row r="9" spans="1:5" s="46" customFormat="1" ht="25.5">
      <c r="A9" s="161">
        <v>1</v>
      </c>
      <c r="B9" s="162" t="s">
        <v>436</v>
      </c>
      <c r="C9" s="163"/>
      <c r="D9" s="164">
        <f>'1.17'!J10*0.95</f>
        <v>0</v>
      </c>
      <c r="E9" s="173"/>
    </row>
    <row r="10" spans="1:4" ht="25.5">
      <c r="A10" s="161">
        <v>2</v>
      </c>
      <c r="B10" s="162" t="s">
        <v>437</v>
      </c>
      <c r="C10" s="165"/>
      <c r="D10" s="166"/>
    </row>
    <row r="11" spans="1:4" ht="25.5">
      <c r="A11" s="161">
        <v>3</v>
      </c>
      <c r="B11" s="162" t="s">
        <v>439</v>
      </c>
      <c r="C11" s="165"/>
      <c r="D11" s="166"/>
    </row>
    <row r="12" spans="1:4" ht="38.25">
      <c r="A12" s="161">
        <v>4</v>
      </c>
      <c r="B12" s="162" t="s">
        <v>440</v>
      </c>
      <c r="C12" s="163"/>
      <c r="D12" s="164">
        <f>D9</f>
        <v>0</v>
      </c>
    </row>
    <row r="13" spans="1:4" ht="12.75">
      <c r="A13" s="161">
        <v>5</v>
      </c>
      <c r="B13" s="162" t="s">
        <v>441</v>
      </c>
      <c r="C13" s="167"/>
      <c r="D13" s="168">
        <f>'1.17'!J14</f>
        <v>0</v>
      </c>
    </row>
    <row r="14" spans="1:4" ht="26.25" thickBot="1">
      <c r="A14" s="169">
        <v>6</v>
      </c>
      <c r="B14" s="170" t="s">
        <v>442</v>
      </c>
      <c r="C14" s="171"/>
      <c r="D14" s="177">
        <f>D12*D13</f>
        <v>0</v>
      </c>
    </row>
    <row r="15" ht="12.75">
      <c r="B15" s="49"/>
    </row>
    <row r="16" ht="12.75">
      <c r="B16" s="49"/>
    </row>
    <row r="17" spans="1:7" ht="15.75">
      <c r="A17" s="86" t="s">
        <v>500</v>
      </c>
      <c r="C17" s="51"/>
      <c r="D17" s="50"/>
      <c r="E17" s="50"/>
      <c r="F17" s="50"/>
      <c r="G17" s="50"/>
    </row>
    <row r="18" spans="1:4" ht="15.75">
      <c r="A18" s="86" t="s">
        <v>499</v>
      </c>
      <c r="C18" s="50"/>
      <c r="D18" s="172" t="s">
        <v>515</v>
      </c>
    </row>
    <row r="19" ht="12.75">
      <c r="B19" s="49"/>
    </row>
    <row r="20" ht="12.75">
      <c r="B20" s="49"/>
    </row>
    <row r="21" ht="12.75">
      <c r="B21" s="49"/>
    </row>
    <row r="22" ht="12.75">
      <c r="B22" s="49"/>
    </row>
    <row r="23" ht="12.75">
      <c r="B23" s="49"/>
    </row>
  </sheetData>
  <sheetProtection/>
  <mergeCells count="7">
    <mergeCell ref="A1:B1"/>
    <mergeCell ref="A3:D3"/>
    <mergeCell ref="A4:C4"/>
    <mergeCell ref="A6:A8"/>
    <mergeCell ref="B6:B8"/>
    <mergeCell ref="C6:C8"/>
    <mergeCell ref="D6:D8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37"/>
  <sheetViews>
    <sheetView zoomScalePageLayoutView="0" workbookViewId="0" topLeftCell="A7">
      <selection activeCell="C32" sqref="C32"/>
    </sheetView>
  </sheetViews>
  <sheetFormatPr defaultColWidth="9.00390625" defaultRowHeight="12.75"/>
  <cols>
    <col min="1" max="1" width="6.50390625" style="0" customWidth="1"/>
    <col min="2" max="2" width="35.125" style="0" customWidth="1"/>
    <col min="3" max="3" width="19.00390625" style="0" customWidth="1"/>
    <col min="4" max="4" width="25.50390625" style="0" customWidth="1"/>
    <col min="5" max="5" width="20.125" style="0" customWidth="1"/>
    <col min="6" max="6" width="18.50390625" style="0" customWidth="1"/>
    <col min="7" max="7" width="19.125" style="0" customWidth="1"/>
    <col min="8" max="8" width="20.625" style="0" customWidth="1"/>
    <col min="9" max="9" width="21.875" style="0" customWidth="1"/>
    <col min="10" max="10" width="26.00390625" style="0" customWidth="1"/>
  </cols>
  <sheetData>
    <row r="1" spans="1:10" ht="26.25" customHeight="1">
      <c r="A1" s="1054" t="s">
        <v>313</v>
      </c>
      <c r="B1" s="1054"/>
      <c r="C1" s="1054"/>
      <c r="D1" s="1054"/>
      <c r="E1" s="53"/>
      <c r="F1" s="54"/>
      <c r="G1" s="1055" t="s">
        <v>443</v>
      </c>
      <c r="H1" s="1055"/>
      <c r="I1" s="1055"/>
      <c r="J1" s="1055"/>
    </row>
    <row r="2" spans="1:10" ht="26.25">
      <c r="A2" s="52"/>
      <c r="B2" s="52"/>
      <c r="C2" s="52"/>
      <c r="D2" s="53"/>
      <c r="E2" s="53"/>
      <c r="F2" s="53"/>
      <c r="G2" s="53"/>
      <c r="H2" s="54"/>
      <c r="I2" s="54"/>
      <c r="J2" s="54"/>
    </row>
    <row r="3" spans="1:10" ht="18.75">
      <c r="A3" s="1060" t="s">
        <v>444</v>
      </c>
      <c r="B3" s="1060"/>
      <c r="C3" s="1060"/>
      <c r="D3" s="1060"/>
      <c r="E3" s="1060"/>
      <c r="F3" s="1060"/>
      <c r="G3" s="1060"/>
      <c r="H3" s="1060"/>
      <c r="I3" s="1060"/>
      <c r="J3" s="1060"/>
    </row>
    <row r="4" spans="1:10" ht="18.75">
      <c r="A4" s="1060" t="s">
        <v>445</v>
      </c>
      <c r="B4" s="1060"/>
      <c r="C4" s="1060"/>
      <c r="D4" s="1060"/>
      <c r="E4" s="1060"/>
      <c r="F4" s="1060"/>
      <c r="G4" s="1060"/>
      <c r="H4" s="1060"/>
      <c r="I4" s="1060"/>
      <c r="J4" s="1060"/>
    </row>
    <row r="5" spans="1:10" ht="18.75">
      <c r="A5" s="1060" t="s">
        <v>446</v>
      </c>
      <c r="B5" s="1060"/>
      <c r="C5" s="1060"/>
      <c r="D5" s="1060"/>
      <c r="E5" s="1060"/>
      <c r="F5" s="1060"/>
      <c r="G5" s="1060"/>
      <c r="H5" s="1060"/>
      <c r="I5" s="1060"/>
      <c r="J5" s="1060"/>
    </row>
    <row r="6" spans="1:10" ht="12.75">
      <c r="A6" s="55"/>
      <c r="B6" s="55"/>
      <c r="C6" s="55"/>
      <c r="D6" s="55"/>
      <c r="E6" s="55"/>
      <c r="F6" s="55"/>
      <c r="G6" s="55"/>
      <c r="H6" s="54"/>
      <c r="I6" s="54"/>
      <c r="J6" s="54"/>
    </row>
    <row r="7" spans="1:10" ht="16.5" thickBot="1">
      <c r="A7" s="53"/>
      <c r="B7" s="56"/>
      <c r="C7" s="53"/>
      <c r="D7" s="53"/>
      <c r="E7" s="53"/>
      <c r="F7" s="54"/>
      <c r="G7" s="54"/>
      <c r="H7" s="54"/>
      <c r="I7" s="54"/>
      <c r="J7" s="54"/>
    </row>
    <row r="8" spans="1:10" ht="27" customHeight="1">
      <c r="A8" s="1044" t="s">
        <v>3</v>
      </c>
      <c r="B8" s="1046" t="s">
        <v>202</v>
      </c>
      <c r="C8" s="1048" t="s">
        <v>486</v>
      </c>
      <c r="D8" s="1048" t="s">
        <v>487</v>
      </c>
      <c r="E8" s="1048" t="s">
        <v>488</v>
      </c>
      <c r="F8" s="1048" t="s">
        <v>489</v>
      </c>
      <c r="G8" s="1048" t="s">
        <v>490</v>
      </c>
      <c r="H8" s="1050" t="s">
        <v>338</v>
      </c>
      <c r="I8" s="1051"/>
      <c r="J8" s="1057" t="s">
        <v>491</v>
      </c>
    </row>
    <row r="9" spans="1:10" ht="21" customHeight="1">
      <c r="A9" s="1045"/>
      <c r="B9" s="1047"/>
      <c r="C9" s="1049"/>
      <c r="D9" s="1049"/>
      <c r="E9" s="1049"/>
      <c r="F9" s="1049"/>
      <c r="G9" s="1049"/>
      <c r="H9" s="1052" t="s">
        <v>484</v>
      </c>
      <c r="I9" s="1052" t="s">
        <v>485</v>
      </c>
      <c r="J9" s="1058"/>
    </row>
    <row r="10" spans="1:10" ht="38.25" customHeight="1">
      <c r="A10" s="1045"/>
      <c r="B10" s="1047"/>
      <c r="C10" s="1049"/>
      <c r="D10" s="1049"/>
      <c r="E10" s="1049"/>
      <c r="F10" s="1049"/>
      <c r="G10" s="1049"/>
      <c r="H10" s="1053"/>
      <c r="I10" s="1053"/>
      <c r="J10" s="1058"/>
    </row>
    <row r="11" spans="1:10" ht="12.75">
      <c r="A11" s="58">
        <v>1</v>
      </c>
      <c r="B11" s="59">
        <f>A11+1</f>
        <v>2</v>
      </c>
      <c r="C11" s="59">
        <f aca="true" t="shared" si="0" ref="C11:J11">B11+1</f>
        <v>3</v>
      </c>
      <c r="D11" s="59">
        <f t="shared" si="0"/>
        <v>4</v>
      </c>
      <c r="E11" s="59">
        <f t="shared" si="0"/>
        <v>5</v>
      </c>
      <c r="F11" s="59">
        <f t="shared" si="0"/>
        <v>6</v>
      </c>
      <c r="G11" s="59">
        <f t="shared" si="0"/>
        <v>7</v>
      </c>
      <c r="H11" s="59">
        <f t="shared" si="0"/>
        <v>8</v>
      </c>
      <c r="I11" s="59">
        <f t="shared" si="0"/>
        <v>9</v>
      </c>
      <c r="J11" s="70">
        <f t="shared" si="0"/>
        <v>10</v>
      </c>
    </row>
    <row r="12" spans="1:10" ht="21" customHeight="1">
      <c r="A12" s="58" t="s">
        <v>8</v>
      </c>
      <c r="B12" s="60" t="s">
        <v>447</v>
      </c>
      <c r="C12" s="61"/>
      <c r="D12" s="61"/>
      <c r="E12" s="62"/>
      <c r="F12" s="63"/>
      <c r="G12" s="61"/>
      <c r="H12" s="61"/>
      <c r="I12" s="61"/>
      <c r="J12" s="71"/>
    </row>
    <row r="13" spans="1:10" ht="21" customHeight="1">
      <c r="A13" s="58"/>
      <c r="B13" s="64" t="s">
        <v>448</v>
      </c>
      <c r="C13" s="62"/>
      <c r="D13" s="62"/>
      <c r="E13" s="62"/>
      <c r="F13" s="63"/>
      <c r="G13" s="62"/>
      <c r="H13" s="62"/>
      <c r="I13" s="62"/>
      <c r="J13" s="72"/>
    </row>
    <row r="14" spans="1:10" ht="21" customHeight="1">
      <c r="A14" s="58"/>
      <c r="B14" s="60" t="s">
        <v>449</v>
      </c>
      <c r="C14" s="62"/>
      <c r="D14" s="62"/>
      <c r="E14" s="62"/>
      <c r="F14" s="63"/>
      <c r="G14" s="62"/>
      <c r="H14" s="62"/>
      <c r="I14" s="62"/>
      <c r="J14" s="72"/>
    </row>
    <row r="15" spans="1:10" ht="21" customHeight="1">
      <c r="A15" s="58" t="s">
        <v>12</v>
      </c>
      <c r="B15" s="60" t="s">
        <v>450</v>
      </c>
      <c r="C15" s="62"/>
      <c r="D15" s="62"/>
      <c r="E15" s="62"/>
      <c r="F15" s="63"/>
      <c r="G15" s="62"/>
      <c r="H15" s="62"/>
      <c r="I15" s="62"/>
      <c r="J15" s="72"/>
    </row>
    <row r="16" spans="1:10" ht="12.75">
      <c r="A16" s="58"/>
      <c r="B16" s="64" t="s">
        <v>448</v>
      </c>
      <c r="C16" s="62"/>
      <c r="D16" s="62"/>
      <c r="E16" s="62"/>
      <c r="F16" s="63"/>
      <c r="G16" s="62"/>
      <c r="H16" s="62"/>
      <c r="I16" s="62"/>
      <c r="J16" s="72"/>
    </row>
    <row r="17" spans="1:10" ht="21" customHeight="1">
      <c r="A17" s="58"/>
      <c r="B17" s="60" t="s">
        <v>449</v>
      </c>
      <c r="C17" s="62"/>
      <c r="D17" s="62"/>
      <c r="E17" s="62"/>
      <c r="F17" s="63"/>
      <c r="G17" s="62"/>
      <c r="H17" s="62"/>
      <c r="I17" s="62"/>
      <c r="J17" s="72"/>
    </row>
    <row r="18" spans="1:10" ht="21" customHeight="1">
      <c r="A18" s="58" t="s">
        <v>14</v>
      </c>
      <c r="B18" s="60" t="s">
        <v>451</v>
      </c>
      <c r="C18" s="62"/>
      <c r="D18" s="62"/>
      <c r="E18" s="62"/>
      <c r="F18" s="63"/>
      <c r="G18" s="62"/>
      <c r="H18" s="62"/>
      <c r="I18" s="62"/>
      <c r="J18" s="72"/>
    </row>
    <row r="19" spans="1:10" ht="21" customHeight="1">
      <c r="A19" s="58" t="s">
        <v>22</v>
      </c>
      <c r="B19" s="60" t="s">
        <v>452</v>
      </c>
      <c r="C19" s="62"/>
      <c r="D19" s="62"/>
      <c r="E19" s="62"/>
      <c r="F19" s="63"/>
      <c r="G19" s="62"/>
      <c r="H19" s="62"/>
      <c r="I19" s="62"/>
      <c r="J19" s="72"/>
    </row>
    <row r="20" spans="1:10" ht="22.5" customHeight="1">
      <c r="A20" s="58"/>
      <c r="B20" s="60" t="s">
        <v>453</v>
      </c>
      <c r="C20" s="62"/>
      <c r="D20" s="62"/>
      <c r="E20" s="62"/>
      <c r="F20" s="63"/>
      <c r="G20" s="62"/>
      <c r="H20" s="62"/>
      <c r="I20" s="62"/>
      <c r="J20" s="72"/>
    </row>
    <row r="21" spans="1:10" ht="20.25" customHeight="1">
      <c r="A21" s="58"/>
      <c r="B21" s="60" t="s">
        <v>454</v>
      </c>
      <c r="C21" s="62"/>
      <c r="D21" s="62"/>
      <c r="E21" s="62"/>
      <c r="F21" s="63"/>
      <c r="G21" s="62"/>
      <c r="H21" s="62"/>
      <c r="I21" s="62"/>
      <c r="J21" s="72"/>
    </row>
    <row r="22" spans="1:10" ht="21" customHeight="1">
      <c r="A22" s="58"/>
      <c r="B22" s="60" t="s">
        <v>455</v>
      </c>
      <c r="C22" s="62"/>
      <c r="D22" s="62"/>
      <c r="E22" s="62"/>
      <c r="F22" s="63"/>
      <c r="G22" s="62"/>
      <c r="H22" s="62"/>
      <c r="I22" s="62"/>
      <c r="J22" s="72"/>
    </row>
    <row r="23" spans="1:10" ht="21" customHeight="1">
      <c r="A23" s="58"/>
      <c r="B23" s="60" t="s">
        <v>456</v>
      </c>
      <c r="C23" s="62"/>
      <c r="D23" s="62"/>
      <c r="E23" s="62"/>
      <c r="F23" s="63"/>
      <c r="G23" s="62"/>
      <c r="H23" s="62"/>
      <c r="I23" s="62"/>
      <c r="J23" s="72"/>
    </row>
    <row r="24" spans="1:10" ht="21" customHeight="1">
      <c r="A24" s="58"/>
      <c r="B24" s="60" t="s">
        <v>457</v>
      </c>
      <c r="C24" s="62"/>
      <c r="D24" s="62"/>
      <c r="E24" s="62"/>
      <c r="F24" s="63"/>
      <c r="G24" s="62"/>
      <c r="H24" s="62"/>
      <c r="I24" s="62"/>
      <c r="J24" s="72"/>
    </row>
    <row r="25" spans="1:10" ht="21" customHeight="1">
      <c r="A25" s="58"/>
      <c r="B25" s="60" t="s">
        <v>458</v>
      </c>
      <c r="C25" s="62"/>
      <c r="D25" s="62"/>
      <c r="E25" s="62"/>
      <c r="F25" s="63"/>
      <c r="G25" s="62"/>
      <c r="H25" s="62"/>
      <c r="I25" s="62"/>
      <c r="J25" s="72"/>
    </row>
    <row r="26" spans="1:10" ht="21" customHeight="1">
      <c r="A26" s="58" t="s">
        <v>24</v>
      </c>
      <c r="B26" s="60" t="s">
        <v>459</v>
      </c>
      <c r="C26" s="62"/>
      <c r="D26" s="62"/>
      <c r="E26" s="62"/>
      <c r="F26" s="63"/>
      <c r="G26" s="62"/>
      <c r="H26" s="62"/>
      <c r="I26" s="62"/>
      <c r="J26" s="72"/>
    </row>
    <row r="27" spans="1:10" ht="21" customHeight="1">
      <c r="A27" s="58" t="s">
        <v>26</v>
      </c>
      <c r="B27" s="60" t="s">
        <v>460</v>
      </c>
      <c r="C27" s="62"/>
      <c r="D27" s="62"/>
      <c r="E27" s="62"/>
      <c r="F27" s="63"/>
      <c r="G27" s="62"/>
      <c r="H27" s="62"/>
      <c r="I27" s="62"/>
      <c r="J27" s="72"/>
    </row>
    <row r="28" spans="1:10" ht="21" customHeight="1">
      <c r="A28" s="65"/>
      <c r="B28" s="64" t="s">
        <v>46</v>
      </c>
      <c r="C28" s="62"/>
      <c r="D28" s="62"/>
      <c r="E28" s="62"/>
      <c r="F28" s="63"/>
      <c r="G28" s="62"/>
      <c r="H28" s="62"/>
      <c r="I28" s="62"/>
      <c r="J28" s="72"/>
    </row>
    <row r="29" spans="1:10" ht="21" customHeight="1">
      <c r="A29" s="65"/>
      <c r="B29" s="60" t="s">
        <v>461</v>
      </c>
      <c r="C29" s="62"/>
      <c r="D29" s="62"/>
      <c r="E29" s="62"/>
      <c r="F29" s="63"/>
      <c r="G29" s="62"/>
      <c r="H29" s="62"/>
      <c r="I29" s="62"/>
      <c r="J29" s="72"/>
    </row>
    <row r="30" spans="1:10" ht="12.75">
      <c r="A30" s="1059"/>
      <c r="B30" s="60" t="s">
        <v>462</v>
      </c>
      <c r="C30" s="62"/>
      <c r="D30" s="62"/>
      <c r="E30" s="62"/>
      <c r="F30" s="63"/>
      <c r="G30" s="62"/>
      <c r="H30" s="62"/>
      <c r="I30" s="62"/>
      <c r="J30" s="72"/>
    </row>
    <row r="31" spans="1:10" ht="21" customHeight="1">
      <c r="A31" s="1059"/>
      <c r="B31" s="60" t="s">
        <v>463</v>
      </c>
      <c r="C31" s="62"/>
      <c r="D31" s="62"/>
      <c r="E31" s="62"/>
      <c r="F31" s="63"/>
      <c r="G31" s="62"/>
      <c r="H31" s="62"/>
      <c r="I31" s="62"/>
      <c r="J31" s="72"/>
    </row>
    <row r="32" spans="1:10" ht="21" customHeight="1" thickBot="1">
      <c r="A32" s="66" t="s">
        <v>28</v>
      </c>
      <c r="B32" s="57" t="s">
        <v>464</v>
      </c>
      <c r="C32" s="67"/>
      <c r="D32" s="67"/>
      <c r="E32" s="67"/>
      <c r="F32" s="68"/>
      <c r="G32" s="67"/>
      <c r="H32" s="67"/>
      <c r="I32" s="67"/>
      <c r="J32" s="73"/>
    </row>
    <row r="33" spans="1:10" ht="12.75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29.25" customHeight="1">
      <c r="A34" s="1056"/>
      <c r="B34" s="1056"/>
      <c r="C34" s="1056"/>
      <c r="D34" s="1056"/>
      <c r="E34" s="1056"/>
      <c r="F34" s="1056"/>
      <c r="G34" s="1056"/>
      <c r="H34" s="1056"/>
      <c r="I34" s="1056"/>
      <c r="J34" s="1056"/>
    </row>
    <row r="35" spans="1:10" ht="18.75" customHeight="1">
      <c r="A35" s="1056"/>
      <c r="B35" s="1056"/>
      <c r="C35" s="1056"/>
      <c r="D35" s="1056"/>
      <c r="E35" s="1056"/>
      <c r="F35" s="1056"/>
      <c r="G35" s="1056"/>
      <c r="H35" s="1056"/>
      <c r="I35" s="1056"/>
      <c r="J35" s="1056"/>
    </row>
    <row r="36" spans="1:10" ht="18.75" customHeight="1">
      <c r="A36" s="1056"/>
      <c r="B36" s="1056"/>
      <c r="C36" s="1056"/>
      <c r="D36" s="1056"/>
      <c r="E36" s="1056"/>
      <c r="F36" s="1056"/>
      <c r="G36" s="1056"/>
      <c r="H36" s="1056"/>
      <c r="I36" s="1056"/>
      <c r="J36" s="1056"/>
    </row>
    <row r="37" spans="1:10" ht="18.75" customHeight="1">
      <c r="A37" s="1056"/>
      <c r="B37" s="1056"/>
      <c r="C37" s="1056"/>
      <c r="D37" s="1056"/>
      <c r="E37" s="1056"/>
      <c r="F37" s="1056"/>
      <c r="G37" s="1056"/>
      <c r="H37" s="1056"/>
      <c r="I37" s="1056"/>
      <c r="J37" s="1056"/>
    </row>
  </sheetData>
  <sheetProtection/>
  <mergeCells count="18">
    <mergeCell ref="A1:D1"/>
    <mergeCell ref="G1:J1"/>
    <mergeCell ref="A34:J37"/>
    <mergeCell ref="F8:F10"/>
    <mergeCell ref="G8:G10"/>
    <mergeCell ref="J8:J10"/>
    <mergeCell ref="A30:A31"/>
    <mergeCell ref="A3:J3"/>
    <mergeCell ref="A4:J4"/>
    <mergeCell ref="A5:J5"/>
    <mergeCell ref="A8:A10"/>
    <mergeCell ref="B8:B10"/>
    <mergeCell ref="C8:C10"/>
    <mergeCell ref="D8:D10"/>
    <mergeCell ref="E8:E10"/>
    <mergeCell ref="H8:I8"/>
    <mergeCell ref="H9:H10"/>
    <mergeCell ref="I9:I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45"/>
  <sheetViews>
    <sheetView zoomScaleSheetLayoutView="100" zoomScalePageLayoutView="0" workbookViewId="0" topLeftCell="A1">
      <pane ySplit="5" topLeftCell="A21" activePane="bottomLeft" state="frozen"/>
      <selection pane="topLeft" activeCell="A1" sqref="A1"/>
      <selection pane="bottomLeft" activeCell="L37" sqref="L37"/>
    </sheetView>
  </sheetViews>
  <sheetFormatPr defaultColWidth="9.00390625" defaultRowHeight="12.75"/>
  <cols>
    <col min="1" max="1" width="9.375" style="367" customWidth="1"/>
    <col min="2" max="2" width="41.625" style="367" customWidth="1"/>
    <col min="3" max="3" width="14.875" style="367" customWidth="1"/>
    <col min="4" max="4" width="12.625" style="367" customWidth="1"/>
    <col min="5" max="6" width="14.375" style="749" customWidth="1"/>
    <col min="7" max="7" width="14.00390625" style="367" customWidth="1"/>
    <col min="8" max="8" width="23.50390625" style="367" customWidth="1"/>
    <col min="9" max="9" width="15.50390625" style="367" customWidth="1"/>
    <col min="10" max="10" width="13.375" style="367" customWidth="1"/>
    <col min="11" max="11" width="9.375" style="367" customWidth="1"/>
    <col min="12" max="12" width="12.375" style="367" customWidth="1"/>
    <col min="13" max="15" width="9.375" style="367" customWidth="1"/>
    <col min="16" max="16" width="12.375" style="367" customWidth="1"/>
    <col min="17" max="17" width="9.375" style="367" customWidth="1"/>
    <col min="18" max="18" width="12.125" style="367" customWidth="1"/>
    <col min="19" max="16384" width="9.375" style="367" customWidth="1"/>
  </cols>
  <sheetData>
    <row r="1" spans="1:15" ht="18.75">
      <c r="A1" s="1061" t="s">
        <v>546</v>
      </c>
      <c r="B1" s="1061"/>
      <c r="C1" s="1061"/>
      <c r="D1" s="584"/>
      <c r="E1" s="584"/>
      <c r="F1" s="584"/>
      <c r="G1" s="584"/>
      <c r="H1" s="584"/>
      <c r="I1" s="585"/>
      <c r="J1" s="585"/>
      <c r="K1" s="585"/>
      <c r="L1" s="585"/>
      <c r="M1" s="585"/>
      <c r="N1" s="585"/>
      <c r="O1" s="585"/>
    </row>
    <row r="2" spans="1:18" ht="19.5" customHeight="1" thickBot="1">
      <c r="A2" s="1062" t="s">
        <v>315</v>
      </c>
      <c r="B2" s="1062"/>
      <c r="C2" s="1062"/>
      <c r="D2" s="1062"/>
      <c r="E2" s="1062"/>
      <c r="F2" s="1062"/>
      <c r="G2" s="1062"/>
      <c r="H2" s="1062"/>
      <c r="I2" s="1062"/>
      <c r="J2" s="1062"/>
      <c r="K2" s="586"/>
      <c r="L2" s="586"/>
      <c r="M2" s="586"/>
      <c r="N2" s="586"/>
      <c r="O2" s="586"/>
      <c r="P2" s="586"/>
      <c r="Q2" s="586"/>
      <c r="R2" s="586"/>
    </row>
    <row r="3" spans="1:10" ht="63" customHeight="1">
      <c r="A3" s="1064" t="s">
        <v>308</v>
      </c>
      <c r="B3" s="1067"/>
      <c r="C3" s="1070" t="s">
        <v>465</v>
      </c>
      <c r="D3" s="1073" t="s">
        <v>600</v>
      </c>
      <c r="E3" s="1083" t="s">
        <v>310</v>
      </c>
      <c r="F3" s="1083"/>
      <c r="G3" s="1075" t="s">
        <v>599</v>
      </c>
      <c r="H3" s="1077" t="s">
        <v>587</v>
      </c>
      <c r="I3" s="1079" t="s">
        <v>310</v>
      </c>
      <c r="J3" s="1080"/>
    </row>
    <row r="4" spans="1:10" ht="33" customHeight="1">
      <c r="A4" s="1065"/>
      <c r="B4" s="1068"/>
      <c r="C4" s="1071"/>
      <c r="D4" s="1074"/>
      <c r="E4" s="1084"/>
      <c r="F4" s="1084"/>
      <c r="G4" s="1076"/>
      <c r="H4" s="1078"/>
      <c r="I4" s="1081"/>
      <c r="J4" s="1082"/>
    </row>
    <row r="5" spans="1:10" ht="45" customHeight="1" thickBot="1">
      <c r="A5" s="1066"/>
      <c r="B5" s="1069"/>
      <c r="C5" s="1072"/>
      <c r="D5" s="767" t="s">
        <v>466</v>
      </c>
      <c r="E5" s="587" t="s">
        <v>601</v>
      </c>
      <c r="F5" s="587" t="s">
        <v>602</v>
      </c>
      <c r="G5" s="762" t="s">
        <v>466</v>
      </c>
      <c r="H5" s="755" t="s">
        <v>466</v>
      </c>
      <c r="I5" s="735" t="s">
        <v>588</v>
      </c>
      <c r="J5" s="737" t="s">
        <v>589</v>
      </c>
    </row>
    <row r="6" spans="1:10" ht="12.75">
      <c r="A6" s="588">
        <v>1</v>
      </c>
      <c r="B6" s="589">
        <f aca="true" t="shared" si="0" ref="B6:J6">A6+1</f>
        <v>2</v>
      </c>
      <c r="C6" s="813">
        <f t="shared" si="0"/>
        <v>3</v>
      </c>
      <c r="D6" s="588">
        <f t="shared" si="0"/>
        <v>4</v>
      </c>
      <c r="E6" s="589">
        <f t="shared" si="0"/>
        <v>5</v>
      </c>
      <c r="F6" s="589">
        <f t="shared" si="0"/>
        <v>6</v>
      </c>
      <c r="G6" s="590">
        <f t="shared" si="0"/>
        <v>7</v>
      </c>
      <c r="H6" s="756">
        <f t="shared" si="0"/>
        <v>8</v>
      </c>
      <c r="I6" s="589">
        <f t="shared" si="0"/>
        <v>9</v>
      </c>
      <c r="J6" s="590">
        <f t="shared" si="0"/>
        <v>10</v>
      </c>
    </row>
    <row r="7" spans="1:11" ht="33" customHeight="1">
      <c r="A7" s="591" t="s">
        <v>8</v>
      </c>
      <c r="B7" s="592" t="s">
        <v>467</v>
      </c>
      <c r="C7" s="814" t="s">
        <v>468</v>
      </c>
      <c r="D7" s="820">
        <f>D12</f>
        <v>1048.2</v>
      </c>
      <c r="E7" s="593">
        <f aca="true" t="shared" si="1" ref="E7:J7">E12</f>
        <v>524.6</v>
      </c>
      <c r="F7" s="593">
        <f t="shared" si="1"/>
        <v>524.6</v>
      </c>
      <c r="G7" s="781">
        <f t="shared" si="1"/>
        <v>1115.5818902843998</v>
      </c>
      <c r="H7" s="782">
        <f t="shared" si="1"/>
        <v>1243.3900793128403</v>
      </c>
      <c r="I7" s="593">
        <f t="shared" si="1"/>
        <v>596.1950396564201</v>
      </c>
      <c r="J7" s="781">
        <f t="shared" si="1"/>
        <v>647.19503965642</v>
      </c>
      <c r="K7" s="594"/>
    </row>
    <row r="8" spans="1:10" ht="12.75">
      <c r="A8" s="591" t="s">
        <v>67</v>
      </c>
      <c r="B8" s="592" t="s">
        <v>82</v>
      </c>
      <c r="C8" s="814"/>
      <c r="D8" s="768"/>
      <c r="E8" s="595"/>
      <c r="F8" s="595"/>
      <c r="G8" s="763"/>
      <c r="H8" s="757"/>
      <c r="I8" s="596"/>
      <c r="J8" s="597"/>
    </row>
    <row r="9" spans="1:10" ht="12.75">
      <c r="A9" s="591" t="s">
        <v>69</v>
      </c>
      <c r="B9" s="592" t="s">
        <v>157</v>
      </c>
      <c r="C9" s="814"/>
      <c r="D9" s="768"/>
      <c r="E9" s="595"/>
      <c r="F9" s="595"/>
      <c r="G9" s="763"/>
      <c r="H9" s="757"/>
      <c r="I9" s="596"/>
      <c r="J9" s="597"/>
    </row>
    <row r="10" spans="1:10" ht="15.75" customHeight="1">
      <c r="A10" s="598"/>
      <c r="B10" s="599" t="s">
        <v>469</v>
      </c>
      <c r="C10" s="815"/>
      <c r="D10" s="768"/>
      <c r="E10" s="595"/>
      <c r="F10" s="595"/>
      <c r="G10" s="763"/>
      <c r="H10" s="757"/>
      <c r="I10" s="596"/>
      <c r="J10" s="597"/>
    </row>
    <row r="11" spans="1:10" ht="14.25" customHeight="1">
      <c r="A11" s="598"/>
      <c r="B11" s="599" t="s">
        <v>470</v>
      </c>
      <c r="C11" s="815"/>
      <c r="D11" s="768"/>
      <c r="E11" s="595"/>
      <c r="F11" s="595"/>
      <c r="G11" s="763"/>
      <c r="H11" s="757"/>
      <c r="I11" s="596"/>
      <c r="J11" s="597"/>
    </row>
    <row r="12" spans="1:10" ht="12.75">
      <c r="A12" s="591" t="s">
        <v>71</v>
      </c>
      <c r="B12" s="592" t="s">
        <v>85</v>
      </c>
      <c r="C12" s="814"/>
      <c r="D12" s="768">
        <f>'1.15'!L23-'1.15'!L11</f>
        <v>1048.2</v>
      </c>
      <c r="E12" s="595">
        <f>'1.15'!M23-'1.15'!M11</f>
        <v>524.6</v>
      </c>
      <c r="F12" s="595">
        <f>'1.15'!N23-'1.15'!N11</f>
        <v>524.6</v>
      </c>
      <c r="G12" s="763">
        <f>'1.15'!O23-'1.15'!O11</f>
        <v>1115.5818902843998</v>
      </c>
      <c r="H12" s="757">
        <f>'1.15'!P23-'1.15'!P11</f>
        <v>1243.3900793128403</v>
      </c>
      <c r="I12" s="596">
        <f>'1.15'!Q23-'1.15'!Q11</f>
        <v>596.1950396564201</v>
      </c>
      <c r="J12" s="597">
        <f>'1.15'!R23-'1.15'!R11</f>
        <v>647.19503965642</v>
      </c>
    </row>
    <row r="13" spans="1:10" ht="12.75">
      <c r="A13" s="591"/>
      <c r="B13" s="592"/>
      <c r="C13" s="814"/>
      <c r="D13" s="768"/>
      <c r="E13" s="595"/>
      <c r="F13" s="595"/>
      <c r="G13" s="763"/>
      <c r="H13" s="757"/>
      <c r="I13" s="596"/>
      <c r="J13" s="769"/>
    </row>
    <row r="14" spans="1:10" ht="41.25" customHeight="1">
      <c r="A14" s="591" t="s">
        <v>12</v>
      </c>
      <c r="B14" s="592" t="s">
        <v>471</v>
      </c>
      <c r="C14" s="814" t="s">
        <v>468</v>
      </c>
      <c r="D14" s="770">
        <f>D19</f>
        <v>0</v>
      </c>
      <c r="E14" s="593">
        <f aca="true" t="shared" si="2" ref="E14:J14">E19</f>
        <v>0</v>
      </c>
      <c r="F14" s="593">
        <f t="shared" si="2"/>
        <v>0</v>
      </c>
      <c r="G14" s="764">
        <f t="shared" si="2"/>
        <v>0</v>
      </c>
      <c r="H14" s="758">
        <f t="shared" si="2"/>
        <v>0</v>
      </c>
      <c r="I14" s="596">
        <f t="shared" si="2"/>
        <v>0</v>
      </c>
      <c r="J14" s="597">
        <f t="shared" si="2"/>
        <v>0</v>
      </c>
    </row>
    <row r="15" spans="1:10" ht="12.75">
      <c r="A15" s="591" t="s">
        <v>34</v>
      </c>
      <c r="B15" s="592" t="s">
        <v>82</v>
      </c>
      <c r="C15" s="814"/>
      <c r="D15" s="768"/>
      <c r="E15" s="595"/>
      <c r="F15" s="595"/>
      <c r="G15" s="763"/>
      <c r="H15" s="757"/>
      <c r="I15" s="596"/>
      <c r="J15" s="597"/>
    </row>
    <row r="16" spans="1:10" ht="12.75">
      <c r="A16" s="591" t="s">
        <v>158</v>
      </c>
      <c r="B16" s="592" t="s">
        <v>157</v>
      </c>
      <c r="C16" s="814"/>
      <c r="D16" s="768"/>
      <c r="E16" s="595"/>
      <c r="F16" s="595"/>
      <c r="G16" s="763"/>
      <c r="H16" s="757"/>
      <c r="I16" s="596"/>
      <c r="J16" s="597"/>
    </row>
    <row r="17" spans="1:10" ht="16.5" customHeight="1">
      <c r="A17" s="598"/>
      <c r="B17" s="599" t="s">
        <v>469</v>
      </c>
      <c r="C17" s="815"/>
      <c r="D17" s="771"/>
      <c r="E17" s="596"/>
      <c r="F17" s="596"/>
      <c r="G17" s="597"/>
      <c r="H17" s="759"/>
      <c r="I17" s="596"/>
      <c r="J17" s="597"/>
    </row>
    <row r="18" spans="1:10" ht="12" customHeight="1">
      <c r="A18" s="598"/>
      <c r="B18" s="599" t="s">
        <v>470</v>
      </c>
      <c r="C18" s="815"/>
      <c r="D18" s="771"/>
      <c r="E18" s="596"/>
      <c r="F18" s="596"/>
      <c r="G18" s="597"/>
      <c r="H18" s="759"/>
      <c r="I18" s="596"/>
      <c r="J18" s="597"/>
    </row>
    <row r="19" spans="1:10" ht="12.75">
      <c r="A19" s="591" t="s">
        <v>38</v>
      </c>
      <c r="B19" s="592" t="s">
        <v>85</v>
      </c>
      <c r="C19" s="814"/>
      <c r="D19" s="768"/>
      <c r="E19" s="595"/>
      <c r="F19" s="595"/>
      <c r="G19" s="763"/>
      <c r="H19" s="757"/>
      <c r="I19" s="596"/>
      <c r="J19" s="597"/>
    </row>
    <row r="20" spans="1:10" ht="19.5" customHeight="1">
      <c r="A20" s="591" t="s">
        <v>14</v>
      </c>
      <c r="B20" s="592" t="s">
        <v>472</v>
      </c>
      <c r="C20" s="814" t="s">
        <v>107</v>
      </c>
      <c r="D20" s="821">
        <f>D14/D7*100</f>
        <v>0</v>
      </c>
      <c r="E20" s="600">
        <f aca="true" t="shared" si="3" ref="E20:J20">E14/E7*100</f>
        <v>0</v>
      </c>
      <c r="F20" s="600">
        <f t="shared" si="3"/>
        <v>0</v>
      </c>
      <c r="G20" s="772">
        <f t="shared" si="3"/>
        <v>0</v>
      </c>
      <c r="H20" s="775">
        <f t="shared" si="3"/>
        <v>0</v>
      </c>
      <c r="I20" s="600">
        <f t="shared" si="3"/>
        <v>0</v>
      </c>
      <c r="J20" s="600">
        <f t="shared" si="3"/>
        <v>0</v>
      </c>
    </row>
    <row r="21" spans="1:13" ht="40.5" customHeight="1">
      <c r="A21" s="591" t="s">
        <v>22</v>
      </c>
      <c r="B21" s="592" t="s">
        <v>473</v>
      </c>
      <c r="C21" s="814" t="s">
        <v>468</v>
      </c>
      <c r="D21" s="820">
        <f>D26</f>
        <v>1048.2</v>
      </c>
      <c r="E21" s="593">
        <f aca="true" t="shared" si="4" ref="E21:J21">E26</f>
        <v>524.6</v>
      </c>
      <c r="F21" s="593">
        <f t="shared" si="4"/>
        <v>524.6</v>
      </c>
      <c r="G21" s="781">
        <f t="shared" si="4"/>
        <v>1115.5818902843998</v>
      </c>
      <c r="H21" s="782">
        <f t="shared" si="4"/>
        <v>1243.3900793128403</v>
      </c>
      <c r="I21" s="593">
        <f t="shared" si="4"/>
        <v>596.1950396564201</v>
      </c>
      <c r="J21" s="781">
        <f t="shared" si="4"/>
        <v>647.19503965642</v>
      </c>
      <c r="L21" s="594"/>
      <c r="M21" s="594"/>
    </row>
    <row r="22" spans="1:10" ht="12.75">
      <c r="A22" s="591" t="s">
        <v>129</v>
      </c>
      <c r="B22" s="592" t="s">
        <v>82</v>
      </c>
      <c r="C22" s="814"/>
      <c r="D22" s="768"/>
      <c r="E22" s="595"/>
      <c r="F22" s="595"/>
      <c r="G22" s="763"/>
      <c r="H22" s="757"/>
      <c r="I22" s="596"/>
      <c r="J22" s="597"/>
    </row>
    <row r="23" spans="1:10" ht="12.75">
      <c r="A23" s="591" t="s">
        <v>133</v>
      </c>
      <c r="B23" s="592" t="s">
        <v>157</v>
      </c>
      <c r="C23" s="814"/>
      <c r="D23" s="768"/>
      <c r="E23" s="595"/>
      <c r="F23" s="595"/>
      <c r="G23" s="763"/>
      <c r="H23" s="757"/>
      <c r="I23" s="596"/>
      <c r="J23" s="597"/>
    </row>
    <row r="24" spans="1:10" ht="15.75" customHeight="1">
      <c r="A24" s="598"/>
      <c r="B24" s="599" t="s">
        <v>469</v>
      </c>
      <c r="C24" s="815"/>
      <c r="D24" s="771"/>
      <c r="E24" s="596"/>
      <c r="F24" s="596"/>
      <c r="G24" s="597"/>
      <c r="H24" s="759"/>
      <c r="I24" s="596"/>
      <c r="J24" s="597"/>
    </row>
    <row r="25" spans="1:10" ht="15.75" customHeight="1">
      <c r="A25" s="598"/>
      <c r="B25" s="599" t="s">
        <v>470</v>
      </c>
      <c r="C25" s="815"/>
      <c r="D25" s="771"/>
      <c r="E25" s="596"/>
      <c r="F25" s="596"/>
      <c r="G25" s="597"/>
      <c r="H25" s="759"/>
      <c r="I25" s="596"/>
      <c r="J25" s="597"/>
    </row>
    <row r="26" spans="1:10" ht="15.75" customHeight="1">
      <c r="A26" s="591" t="s">
        <v>134</v>
      </c>
      <c r="B26" s="592" t="s">
        <v>85</v>
      </c>
      <c r="C26" s="814"/>
      <c r="D26" s="768">
        <f>D12-D19</f>
        <v>1048.2</v>
      </c>
      <c r="E26" s="595">
        <f aca="true" t="shared" si="5" ref="E26:J26">E12-E19</f>
        <v>524.6</v>
      </c>
      <c r="F26" s="595">
        <f t="shared" si="5"/>
        <v>524.6</v>
      </c>
      <c r="G26" s="763">
        <f t="shared" si="5"/>
        <v>1115.5818902843998</v>
      </c>
      <c r="H26" s="757">
        <f t="shared" si="5"/>
        <v>1243.3900793128403</v>
      </c>
      <c r="I26" s="596">
        <f t="shared" si="5"/>
        <v>596.1950396564201</v>
      </c>
      <c r="J26" s="597">
        <f t="shared" si="5"/>
        <v>647.19503965642</v>
      </c>
    </row>
    <row r="27" spans="1:13" ht="59.25" customHeight="1">
      <c r="A27" s="601" t="s">
        <v>24</v>
      </c>
      <c r="B27" s="602" t="s">
        <v>474</v>
      </c>
      <c r="C27" s="816" t="s">
        <v>475</v>
      </c>
      <c r="D27" s="822">
        <f>D32</f>
        <v>101901.53989734019</v>
      </c>
      <c r="E27" s="776">
        <f aca="true" t="shared" si="6" ref="E27:J27">E32</f>
        <v>49051.795912526504</v>
      </c>
      <c r="F27" s="776">
        <f t="shared" si="6"/>
        <v>53112.498591390584</v>
      </c>
      <c r="G27" s="777">
        <f t="shared" si="6"/>
        <v>108477.43001598598</v>
      </c>
      <c r="H27" s="778">
        <f t="shared" si="6"/>
        <v>124868.45015996226</v>
      </c>
      <c r="I27" s="779">
        <f t="shared" si="6"/>
        <v>119862.2918488983</v>
      </c>
      <c r="J27" s="780">
        <f t="shared" si="6"/>
        <v>129896.24270560773</v>
      </c>
      <c r="M27" s="594"/>
    </row>
    <row r="28" spans="1:10" ht="12.75">
      <c r="A28" s="601" t="s">
        <v>47</v>
      </c>
      <c r="B28" s="602" t="s">
        <v>82</v>
      </c>
      <c r="C28" s="816"/>
      <c r="D28" s="773"/>
      <c r="E28" s="605"/>
      <c r="F28" s="605"/>
      <c r="G28" s="765"/>
      <c r="H28" s="760"/>
      <c r="I28" s="596"/>
      <c r="J28" s="597"/>
    </row>
    <row r="29" spans="1:10" ht="12.75">
      <c r="A29" s="591" t="s">
        <v>48</v>
      </c>
      <c r="B29" s="592" t="s">
        <v>157</v>
      </c>
      <c r="C29" s="814"/>
      <c r="D29" s="773"/>
      <c r="E29" s="605"/>
      <c r="F29" s="605"/>
      <c r="G29" s="765"/>
      <c r="H29" s="760"/>
      <c r="I29" s="596"/>
      <c r="J29" s="597"/>
    </row>
    <row r="30" spans="1:10" ht="13.5" customHeight="1">
      <c r="A30" s="591"/>
      <c r="B30" s="592" t="s">
        <v>469</v>
      </c>
      <c r="C30" s="814"/>
      <c r="D30" s="773"/>
      <c r="E30" s="605"/>
      <c r="F30" s="605"/>
      <c r="G30" s="765"/>
      <c r="H30" s="760"/>
      <c r="I30" s="596"/>
      <c r="J30" s="597"/>
    </row>
    <row r="31" spans="1:10" ht="13.5" customHeight="1">
      <c r="A31" s="591"/>
      <c r="B31" s="592" t="s">
        <v>470</v>
      </c>
      <c r="C31" s="814"/>
      <c r="D31" s="773"/>
      <c r="E31" s="605"/>
      <c r="F31" s="605"/>
      <c r="G31" s="765"/>
      <c r="H31" s="760"/>
      <c r="I31" s="596"/>
      <c r="J31" s="597"/>
    </row>
    <row r="32" spans="1:10" ht="12" customHeight="1">
      <c r="A32" s="591" t="s">
        <v>50</v>
      </c>
      <c r="B32" s="592" t="s">
        <v>85</v>
      </c>
      <c r="C32" s="814"/>
      <c r="D32" s="773">
        <f>D26/'6 2017 год '!H16/12*1000</f>
        <v>101901.53989734019</v>
      </c>
      <c r="E32" s="604">
        <f>E26/'6 2017 год '!H21/12*1000</f>
        <v>49051.795912526504</v>
      </c>
      <c r="F32" s="604">
        <f>F26/'6 2017 год '!H29/12*1000</f>
        <v>53112.498591390584</v>
      </c>
      <c r="G32" s="765">
        <f>G26/'6 2017 год '!H39/12*1000</f>
        <v>108477.43001598598</v>
      </c>
      <c r="H32" s="760">
        <f>H26/'6 2017 год '!H58/12*1000</f>
        <v>124868.45015996226</v>
      </c>
      <c r="I32" s="596">
        <f>I26/'6 2017 год '!H64/12*1000</f>
        <v>119862.2918488983</v>
      </c>
      <c r="J32" s="597">
        <f>J26/'6 2017 год '!H69/12*1000</f>
        <v>129896.24270560773</v>
      </c>
    </row>
    <row r="33" spans="1:10" ht="53.25" customHeight="1">
      <c r="A33" s="601" t="s">
        <v>26</v>
      </c>
      <c r="B33" s="602" t="s">
        <v>476</v>
      </c>
      <c r="C33" s="816" t="s">
        <v>477</v>
      </c>
      <c r="D33" s="823">
        <f>D38</f>
        <v>212.66839798733974</v>
      </c>
      <c r="E33" s="603">
        <f aca="true" t="shared" si="7" ref="E33:J33">E38</f>
        <v>204.73793076532803</v>
      </c>
      <c r="F33" s="603">
        <f t="shared" si="7"/>
        <v>221.6869506423259</v>
      </c>
      <c r="G33" s="783">
        <f t="shared" si="7"/>
        <v>226.33026786049905</v>
      </c>
      <c r="H33" s="784">
        <f t="shared" si="7"/>
        <v>521.5999997117377</v>
      </c>
      <c r="I33" s="785">
        <f t="shared" si="7"/>
        <v>250.10279371441402</v>
      </c>
      <c r="J33" s="786">
        <f t="shared" si="7"/>
        <v>271.08781086387705</v>
      </c>
    </row>
    <row r="34" spans="1:10" ht="12.75">
      <c r="A34" s="601" t="s">
        <v>159</v>
      </c>
      <c r="B34" s="602" t="s">
        <v>82</v>
      </c>
      <c r="C34" s="817"/>
      <c r="D34" s="773"/>
      <c r="E34" s="605"/>
      <c r="F34" s="605"/>
      <c r="G34" s="765">
        <v>0</v>
      </c>
      <c r="H34" s="760">
        <v>0</v>
      </c>
      <c r="I34" s="596"/>
      <c r="J34" s="597"/>
    </row>
    <row r="35" spans="1:10" ht="12.75">
      <c r="A35" s="591" t="s">
        <v>160</v>
      </c>
      <c r="B35" s="592" t="s">
        <v>157</v>
      </c>
      <c r="C35" s="818"/>
      <c r="D35" s="773"/>
      <c r="E35" s="605"/>
      <c r="F35" s="605"/>
      <c r="G35" s="765"/>
      <c r="H35" s="760"/>
      <c r="I35" s="596"/>
      <c r="J35" s="597"/>
    </row>
    <row r="36" spans="1:10" ht="12" customHeight="1">
      <c r="A36" s="591"/>
      <c r="B36" s="592" t="s">
        <v>469</v>
      </c>
      <c r="C36" s="818"/>
      <c r="D36" s="773"/>
      <c r="E36" s="605"/>
      <c r="F36" s="605"/>
      <c r="G36" s="765"/>
      <c r="H36" s="760"/>
      <c r="I36" s="596"/>
      <c r="J36" s="597"/>
    </row>
    <row r="37" spans="1:10" ht="12" customHeight="1">
      <c r="A37" s="591"/>
      <c r="B37" s="592" t="s">
        <v>470</v>
      </c>
      <c r="C37" s="818"/>
      <c r="D37" s="773"/>
      <c r="E37" s="605"/>
      <c r="F37" s="605"/>
      <c r="G37" s="765">
        <v>0</v>
      </c>
      <c r="H37" s="760">
        <v>0</v>
      </c>
      <c r="I37" s="596"/>
      <c r="J37" s="597"/>
    </row>
    <row r="38" spans="1:10" ht="12.75" customHeight="1" thickBot="1">
      <c r="A38" s="606" t="s">
        <v>161</v>
      </c>
      <c r="B38" s="607" t="s">
        <v>85</v>
      </c>
      <c r="C38" s="819"/>
      <c r="D38" s="774">
        <f>D26/'6 2017 год '!C16</f>
        <v>212.66839798733974</v>
      </c>
      <c r="E38" s="608">
        <f>E26/'6 2017 год '!C21</f>
        <v>204.73793076532803</v>
      </c>
      <c r="F38" s="608">
        <f>F26/'6 2017 год '!C29</f>
        <v>221.6869506423259</v>
      </c>
      <c r="G38" s="766">
        <f>G26/'6 2017 год '!C39</f>
        <v>226.33026786049905</v>
      </c>
      <c r="H38" s="761">
        <f>H26/'6 2017 год '!C64</f>
        <v>521.5999997117377</v>
      </c>
      <c r="I38" s="609">
        <f>I26/'6 2017 год '!C64</f>
        <v>250.10279371441402</v>
      </c>
      <c r="J38" s="840">
        <f>J26/'6 2017 год '!C69</f>
        <v>271.08781086387705</v>
      </c>
    </row>
    <row r="39" spans="1:18" ht="15" customHeight="1">
      <c r="A39" s="610"/>
      <c r="B39" s="187"/>
      <c r="C39" s="611"/>
      <c r="D39" s="612"/>
      <c r="E39" s="612"/>
      <c r="F39" s="612"/>
      <c r="G39" s="612"/>
      <c r="H39" s="612"/>
      <c r="I39" s="612"/>
      <c r="J39" s="612"/>
      <c r="K39" s="612"/>
      <c r="L39" s="612"/>
      <c r="M39" s="612"/>
      <c r="N39" s="612"/>
      <c r="O39" s="612"/>
      <c r="P39" s="612"/>
      <c r="Q39" s="612"/>
      <c r="R39" s="612"/>
    </row>
    <row r="40" spans="1:18" ht="15.75" customHeight="1">
      <c r="A40" s="614" t="s">
        <v>570</v>
      </c>
      <c r="B40" s="614"/>
      <c r="C40" s="614"/>
      <c r="D40" s="614"/>
      <c r="E40" s="614"/>
      <c r="F40" s="614"/>
      <c r="G40" s="614"/>
      <c r="H40" s="613"/>
      <c r="I40" s="918" t="s">
        <v>551</v>
      </c>
      <c r="J40" s="918"/>
      <c r="K40" s="918"/>
      <c r="L40" s="613"/>
      <c r="M40" s="613"/>
      <c r="N40" s="613"/>
      <c r="O40" s="613"/>
      <c r="P40" s="613"/>
      <c r="Q40" s="612"/>
      <c r="R40" s="612"/>
    </row>
    <row r="41" spans="1:18" ht="15.75" customHeight="1">
      <c r="A41" s="1063"/>
      <c r="B41" s="1063"/>
      <c r="C41" s="1063"/>
      <c r="D41" s="1063"/>
      <c r="E41" s="1063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1063"/>
      <c r="R41" s="1063"/>
    </row>
    <row r="42" spans="1:18" ht="18.75" customHeight="1">
      <c r="A42" s="1063"/>
      <c r="B42" s="1063"/>
      <c r="C42" s="1063"/>
      <c r="D42" s="1063"/>
      <c r="E42" s="1063"/>
      <c r="F42" s="1063"/>
      <c r="G42" s="1063"/>
      <c r="H42" s="1063"/>
      <c r="I42" s="1063"/>
      <c r="J42" s="1063"/>
      <c r="K42" s="1063"/>
      <c r="L42" s="1063"/>
      <c r="M42" s="1063"/>
      <c r="N42" s="1063"/>
      <c r="O42" s="1063"/>
      <c r="P42" s="1063"/>
      <c r="Q42" s="1063"/>
      <c r="R42" s="1063"/>
    </row>
    <row r="43" spans="1:18" ht="18.75" customHeight="1">
      <c r="A43" s="1063"/>
      <c r="B43" s="1063"/>
      <c r="C43" s="1063"/>
      <c r="D43" s="1063"/>
      <c r="E43" s="1063"/>
      <c r="F43" s="1063"/>
      <c r="G43" s="1063"/>
      <c r="H43" s="1063"/>
      <c r="I43" s="1063"/>
      <c r="J43" s="1063"/>
      <c r="K43" s="1063"/>
      <c r="L43" s="1063"/>
      <c r="M43" s="1063"/>
      <c r="N43" s="1063"/>
      <c r="O43" s="1063"/>
      <c r="P43" s="1063"/>
      <c r="Q43" s="1063"/>
      <c r="R43" s="1063"/>
    </row>
    <row r="44" spans="1:18" ht="12.75">
      <c r="A44" s="1063"/>
      <c r="B44" s="1063"/>
      <c r="C44" s="1063"/>
      <c r="D44" s="1063"/>
      <c r="E44" s="1063"/>
      <c r="F44" s="1063"/>
      <c r="G44" s="1063"/>
      <c r="H44" s="1063"/>
      <c r="I44" s="1063"/>
      <c r="J44" s="1063"/>
      <c r="K44" s="1063"/>
      <c r="L44" s="1063"/>
      <c r="M44" s="1063"/>
      <c r="N44" s="1063"/>
      <c r="O44" s="1063"/>
      <c r="P44" s="1063"/>
      <c r="Q44" s="1063"/>
      <c r="R44" s="1063"/>
    </row>
    <row r="45" spans="1:18" ht="12.75">
      <c r="A45" s="1063"/>
      <c r="B45" s="1063"/>
      <c r="C45" s="1063"/>
      <c r="D45" s="1063"/>
      <c r="E45" s="1063"/>
      <c r="F45" s="1063"/>
      <c r="G45" s="1063"/>
      <c r="H45" s="1063"/>
      <c r="I45" s="1063"/>
      <c r="J45" s="1063"/>
      <c r="K45" s="1063"/>
      <c r="L45" s="1063"/>
      <c r="M45" s="1063"/>
      <c r="N45" s="1063"/>
      <c r="O45" s="1063"/>
      <c r="P45" s="1063"/>
      <c r="Q45" s="1063"/>
      <c r="R45" s="1063"/>
    </row>
  </sheetData>
  <sheetProtection/>
  <mergeCells count="12">
    <mergeCell ref="I3:J4"/>
    <mergeCell ref="E3:F4"/>
    <mergeCell ref="A1:C1"/>
    <mergeCell ref="A2:J2"/>
    <mergeCell ref="A41:R45"/>
    <mergeCell ref="A3:A5"/>
    <mergeCell ref="B3:B5"/>
    <mergeCell ref="C3:C5"/>
    <mergeCell ref="D3:D4"/>
    <mergeCell ref="I40:K40"/>
    <mergeCell ref="G3:G4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8"/>
  <sheetViews>
    <sheetView showGridLines="0" tabSelected="1" zoomScale="85" zoomScaleNormal="85" zoomScaleSheetLayoutView="80" zoomScalePageLayoutView="0" workbookViewId="0" topLeftCell="A1">
      <pane xSplit="8" ySplit="8" topLeftCell="I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6.125" style="615" customWidth="1"/>
    <col min="2" max="2" width="48.50390625" style="615" customWidth="1"/>
    <col min="3" max="3" width="13.375" style="616" customWidth="1"/>
    <col min="4" max="7" width="13.375" style="615" hidden="1" customWidth="1"/>
    <col min="8" max="8" width="12.125" style="615" hidden="1" customWidth="1"/>
    <col min="9" max="9" width="15.875" style="615" customWidth="1"/>
    <col min="10" max="10" width="19.00390625" style="615" customWidth="1"/>
    <col min="11" max="11" width="19.125" style="615" customWidth="1"/>
    <col min="12" max="12" width="17.50390625" style="615" customWidth="1"/>
    <col min="13" max="13" width="21.125" style="615" customWidth="1"/>
    <col min="14" max="14" width="20.50390625" style="615" customWidth="1"/>
    <col min="15" max="15" width="21.00390625" style="615" customWidth="1"/>
    <col min="16" max="16384" width="9.375" style="615" customWidth="1"/>
  </cols>
  <sheetData>
    <row r="1" spans="4:15" ht="12.75"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 t="s">
        <v>162</v>
      </c>
    </row>
    <row r="2" spans="1:10" ht="20.25" customHeight="1">
      <c r="A2" s="933" t="s">
        <v>555</v>
      </c>
      <c r="B2" s="933"/>
      <c r="C2" s="933"/>
      <c r="D2" s="933"/>
      <c r="E2" s="933"/>
      <c r="F2" s="933"/>
      <c r="G2" s="933"/>
      <c r="H2" s="933"/>
      <c r="I2" s="933"/>
      <c r="J2" s="933"/>
    </row>
    <row r="3" spans="1:15" ht="15.75">
      <c r="A3" s="1085" t="s">
        <v>163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</row>
    <row r="4" spans="1:15" ht="15.75">
      <c r="A4" s="1085" t="s">
        <v>164</v>
      </c>
      <c r="B4" s="1085"/>
      <c r="C4" s="1085"/>
      <c r="D4" s="1085"/>
      <c r="E4" s="1085"/>
      <c r="F4" s="1085"/>
      <c r="G4" s="1085"/>
      <c r="H4" s="1085"/>
      <c r="I4" s="1085"/>
      <c r="J4" s="1085"/>
      <c r="K4" s="1085"/>
      <c r="L4" s="1085"/>
      <c r="M4" s="1085"/>
      <c r="N4" s="1085"/>
      <c r="O4" s="1085"/>
    </row>
    <row r="5" spans="1:15" ht="15.75">
      <c r="A5" s="1085" t="s">
        <v>165</v>
      </c>
      <c r="B5" s="1085"/>
      <c r="C5" s="1085"/>
      <c r="D5" s="1085"/>
      <c r="E5" s="1085"/>
      <c r="F5" s="1085"/>
      <c r="G5" s="1085"/>
      <c r="H5" s="1085"/>
      <c r="I5" s="1085"/>
      <c r="J5" s="1085"/>
      <c r="K5" s="1085"/>
      <c r="L5" s="1085"/>
      <c r="M5" s="1085"/>
      <c r="N5" s="1085"/>
      <c r="O5" s="1085"/>
    </row>
    <row r="6" spans="1:9" ht="16.5" thickBot="1">
      <c r="A6" s="617"/>
      <c r="B6" s="618"/>
      <c r="C6" s="618"/>
      <c r="D6" s="618"/>
      <c r="E6" s="618"/>
      <c r="F6" s="618"/>
      <c r="G6" s="618"/>
      <c r="H6" s="618"/>
      <c r="I6" s="617"/>
    </row>
    <row r="7" spans="1:15" ht="123" customHeight="1">
      <c r="A7" s="619" t="s">
        <v>307</v>
      </c>
      <c r="B7" s="620"/>
      <c r="C7" s="621" t="s">
        <v>52</v>
      </c>
      <c r="D7" s="621" t="s">
        <v>152</v>
      </c>
      <c r="E7" s="621" t="s">
        <v>153</v>
      </c>
      <c r="F7" s="621" t="s">
        <v>154</v>
      </c>
      <c r="G7" s="621" t="s">
        <v>155</v>
      </c>
      <c r="H7" s="824" t="s">
        <v>166</v>
      </c>
      <c r="I7" s="827" t="s">
        <v>557</v>
      </c>
      <c r="J7" s="659" t="s">
        <v>603</v>
      </c>
      <c r="K7" s="622" t="s">
        <v>604</v>
      </c>
      <c r="L7" s="828" t="s">
        <v>556</v>
      </c>
      <c r="M7" s="826" t="s">
        <v>584</v>
      </c>
      <c r="N7" s="622" t="s">
        <v>585</v>
      </c>
      <c r="O7" s="754" t="s">
        <v>586</v>
      </c>
    </row>
    <row r="8" spans="1:15" s="616" customFormat="1" ht="12.75">
      <c r="A8" s="623">
        <v>1</v>
      </c>
      <c r="B8" s="624">
        <v>2</v>
      </c>
      <c r="C8" s="624">
        <v>3</v>
      </c>
      <c r="D8" s="624">
        <v>4</v>
      </c>
      <c r="E8" s="624">
        <v>5</v>
      </c>
      <c r="F8" s="624">
        <v>6</v>
      </c>
      <c r="G8" s="624">
        <v>7</v>
      </c>
      <c r="H8" s="660">
        <v>8</v>
      </c>
      <c r="I8" s="623">
        <v>3</v>
      </c>
      <c r="J8" s="660">
        <v>4</v>
      </c>
      <c r="K8" s="624">
        <v>5</v>
      </c>
      <c r="L8" s="829">
        <v>7</v>
      </c>
      <c r="M8" s="657">
        <v>9</v>
      </c>
      <c r="N8" s="624">
        <v>10</v>
      </c>
      <c r="O8" s="625">
        <v>11</v>
      </c>
    </row>
    <row r="9" spans="1:15" ht="25.5">
      <c r="A9" s="623">
        <v>1</v>
      </c>
      <c r="B9" s="626" t="s">
        <v>167</v>
      </c>
      <c r="C9" s="624" t="s">
        <v>168</v>
      </c>
      <c r="D9" s="627">
        <v>2.34</v>
      </c>
      <c r="E9" s="624">
        <v>2.34</v>
      </c>
      <c r="F9" s="624">
        <v>2.48</v>
      </c>
      <c r="G9" s="624">
        <v>2.48</v>
      </c>
      <c r="H9" s="660">
        <v>2.48</v>
      </c>
      <c r="I9" s="830">
        <f>((J9*2!F38)+(K9*2!K38))/2!E38</f>
        <v>6040.46010638298</v>
      </c>
      <c r="J9" s="704">
        <v>5755</v>
      </c>
      <c r="K9" s="705">
        <v>6348</v>
      </c>
      <c r="L9" s="831">
        <v>6040</v>
      </c>
      <c r="M9" s="743">
        <f>((N9*2!N38)+(O9*2!O38))/2!M38</f>
        <v>6762.0937022058815</v>
      </c>
      <c r="N9" s="705">
        <v>6553</v>
      </c>
      <c r="O9" s="836">
        <f>N9*106.6/100</f>
        <v>6985.498</v>
      </c>
    </row>
    <row r="10" spans="1:15" ht="25.5">
      <c r="A10" s="623">
        <v>2</v>
      </c>
      <c r="B10" s="626" t="s">
        <v>169</v>
      </c>
      <c r="C10" s="630" t="s">
        <v>170</v>
      </c>
      <c r="D10" s="630">
        <v>27.21</v>
      </c>
      <c r="E10" s="630">
        <v>33.25</v>
      </c>
      <c r="F10" s="630">
        <v>32.15</v>
      </c>
      <c r="G10" s="630">
        <v>7.21</v>
      </c>
      <c r="H10" s="660">
        <v>29.54</v>
      </c>
      <c r="I10" s="832">
        <f>2!E34</f>
        <v>5.0416</v>
      </c>
      <c r="J10" s="697">
        <f>2!F34</f>
        <v>2.6211</v>
      </c>
      <c r="K10" s="696">
        <f>2!K34</f>
        <v>2.4205</v>
      </c>
      <c r="L10" s="833">
        <f>2!L34</f>
        <v>4.82</v>
      </c>
      <c r="M10" s="699">
        <f>2!M34</f>
        <v>4.88</v>
      </c>
      <c r="N10" s="696">
        <f>2!N34</f>
        <v>2.44</v>
      </c>
      <c r="O10" s="698">
        <f>2!O34</f>
        <v>2.44</v>
      </c>
    </row>
    <row r="11" spans="1:15" ht="12.75">
      <c r="A11" s="623" t="s">
        <v>34</v>
      </c>
      <c r="B11" s="626" t="s">
        <v>171</v>
      </c>
      <c r="C11" s="624"/>
      <c r="D11" s="627">
        <v>22.33</v>
      </c>
      <c r="E11" s="628">
        <v>29.85</v>
      </c>
      <c r="F11" s="624">
        <v>25.34</v>
      </c>
      <c r="G11" s="624">
        <v>6.35</v>
      </c>
      <c r="H11" s="660">
        <v>26.34</v>
      </c>
      <c r="I11" s="832"/>
      <c r="J11" s="697"/>
      <c r="K11" s="696"/>
      <c r="L11" s="833"/>
      <c r="M11" s="699"/>
      <c r="N11" s="696"/>
      <c r="O11" s="698"/>
    </row>
    <row r="12" spans="1:15" ht="12.75">
      <c r="A12" s="623" t="s">
        <v>158</v>
      </c>
      <c r="B12" s="626" t="s">
        <v>198</v>
      </c>
      <c r="C12" s="624"/>
      <c r="D12" s="627">
        <v>5.21</v>
      </c>
      <c r="E12" s="624">
        <v>3.4</v>
      </c>
      <c r="F12" s="624">
        <v>6.81</v>
      </c>
      <c r="G12" s="624">
        <v>0.86</v>
      </c>
      <c r="H12" s="660">
        <v>2.35</v>
      </c>
      <c r="I12" s="832"/>
      <c r="J12" s="697"/>
      <c r="K12" s="696"/>
      <c r="L12" s="833"/>
      <c r="M12" s="699"/>
      <c r="N12" s="696"/>
      <c r="O12" s="698"/>
    </row>
    <row r="13" spans="1:15" ht="12.75">
      <c r="A13" s="623"/>
      <c r="B13" s="626" t="s">
        <v>172</v>
      </c>
      <c r="C13" s="624"/>
      <c r="D13" s="627"/>
      <c r="E13" s="624"/>
      <c r="F13" s="624"/>
      <c r="G13" s="624"/>
      <c r="H13" s="660"/>
      <c r="I13" s="832"/>
      <c r="J13" s="697"/>
      <c r="K13" s="696"/>
      <c r="L13" s="833"/>
      <c r="M13" s="699"/>
      <c r="N13" s="696"/>
      <c r="O13" s="698"/>
    </row>
    <row r="14" spans="1:15" ht="12.75">
      <c r="A14" s="623"/>
      <c r="B14" s="626" t="s">
        <v>306</v>
      </c>
      <c r="C14" s="624"/>
      <c r="D14" s="627">
        <v>5.21</v>
      </c>
      <c r="E14" s="624">
        <v>3.4</v>
      </c>
      <c r="F14" s="624">
        <v>6.81</v>
      </c>
      <c r="G14" s="624">
        <v>0.86</v>
      </c>
      <c r="H14" s="660">
        <v>2.35</v>
      </c>
      <c r="I14" s="832">
        <f>I10</f>
        <v>5.0416</v>
      </c>
      <c r="J14" s="697">
        <f aca="true" t="shared" si="0" ref="J14:O14">J10</f>
        <v>2.6211</v>
      </c>
      <c r="K14" s="696">
        <f t="shared" si="0"/>
        <v>2.4205</v>
      </c>
      <c r="L14" s="833">
        <f t="shared" si="0"/>
        <v>4.82</v>
      </c>
      <c r="M14" s="699">
        <f t="shared" si="0"/>
        <v>4.88</v>
      </c>
      <c r="N14" s="696">
        <f t="shared" si="0"/>
        <v>2.44</v>
      </c>
      <c r="O14" s="698">
        <f t="shared" si="0"/>
        <v>2.44</v>
      </c>
    </row>
    <row r="15" spans="1:15" ht="12.75">
      <c r="A15" s="623" t="s">
        <v>38</v>
      </c>
      <c r="B15" s="626" t="s">
        <v>173</v>
      </c>
      <c r="C15" s="624"/>
      <c r="D15" s="627"/>
      <c r="E15" s="624"/>
      <c r="F15" s="624"/>
      <c r="G15" s="624"/>
      <c r="H15" s="660"/>
      <c r="I15" s="832">
        <f>'4 '!G9</f>
        <v>4.9947</v>
      </c>
      <c r="J15" s="697">
        <f>'4 '!L9</f>
        <v>2.5966</v>
      </c>
      <c r="K15" s="696">
        <f>'4 '!Q9</f>
        <v>2.398</v>
      </c>
      <c r="L15" s="833">
        <f>'4 '!V9</f>
        <v>4.995</v>
      </c>
      <c r="M15" s="699">
        <f>'4 '!AA9</f>
        <v>4.8328</v>
      </c>
      <c r="N15" s="696">
        <f>'4 '!AP9</f>
        <v>2.4164</v>
      </c>
      <c r="O15" s="698">
        <f>'4 '!AU9</f>
        <v>2.4164</v>
      </c>
    </row>
    <row r="16" spans="1:15" ht="12.75">
      <c r="A16" s="623">
        <v>3</v>
      </c>
      <c r="B16" s="626" t="s">
        <v>174</v>
      </c>
      <c r="C16" s="624" t="s">
        <v>107</v>
      </c>
      <c r="D16" s="624"/>
      <c r="E16" s="624"/>
      <c r="F16" s="624"/>
      <c r="G16" s="624"/>
      <c r="H16" s="661"/>
      <c r="I16" s="832">
        <v>0.113</v>
      </c>
      <c r="J16" s="697">
        <v>0.059</v>
      </c>
      <c r="K16" s="696">
        <v>0.054</v>
      </c>
      <c r="L16" s="833">
        <v>0.1098</v>
      </c>
      <c r="M16" s="699">
        <v>0.1088</v>
      </c>
      <c r="N16" s="696">
        <v>0.0562</v>
      </c>
      <c r="O16" s="698">
        <v>0.0526</v>
      </c>
    </row>
    <row r="17" spans="1:15" ht="13.5" customHeight="1">
      <c r="A17" s="623" t="s">
        <v>175</v>
      </c>
      <c r="B17" s="626" t="s">
        <v>82</v>
      </c>
      <c r="C17" s="624"/>
      <c r="D17" s="631" t="e">
        <f>PRODUCT(#REF!,100/D10)</f>
        <v>#REF!</v>
      </c>
      <c r="E17" s="632" t="e">
        <f>PRODUCT(#REF!,100/E10)</f>
        <v>#REF!</v>
      </c>
      <c r="F17" s="628" t="e">
        <f>PRODUCT(#REF!,100/F10)</f>
        <v>#REF!</v>
      </c>
      <c r="G17" s="628" t="e">
        <f>PRODUCT(#REF!,100/G10)</f>
        <v>#REF!</v>
      </c>
      <c r="H17" s="661" t="e">
        <f>PRODUCT(#REF!,100/H10)</f>
        <v>#REF!</v>
      </c>
      <c r="I17" s="834"/>
      <c r="J17" s="745"/>
      <c r="K17" s="744"/>
      <c r="L17" s="835"/>
      <c r="M17" s="746"/>
      <c r="N17" s="744"/>
      <c r="O17" s="788"/>
    </row>
    <row r="18" spans="1:15" ht="12.75" customHeight="1">
      <c r="A18" s="623" t="s">
        <v>176</v>
      </c>
      <c r="B18" s="626" t="s">
        <v>157</v>
      </c>
      <c r="C18" s="624"/>
      <c r="D18" s="633">
        <f>PRODUCT(M22,100/D14)</f>
        <v>91.57773512476008</v>
      </c>
      <c r="E18" s="632">
        <f>PRODUCT(M21,100/E14)</f>
        <v>1.8117647058823532</v>
      </c>
      <c r="F18" s="632">
        <f>PRODUCT(M20,100/F14)</f>
        <v>0.6930983847283407</v>
      </c>
      <c r="G18" s="628" t="e">
        <f>PRODUCT(M19,100/G17)</f>
        <v>#REF!</v>
      </c>
      <c r="H18" s="661">
        <f>PRODUCT(M18,100/H14)</f>
        <v>42.5531914893617</v>
      </c>
      <c r="I18" s="834"/>
      <c r="J18" s="745"/>
      <c r="K18" s="744"/>
      <c r="L18" s="835"/>
      <c r="M18" s="746"/>
      <c r="N18" s="744"/>
      <c r="O18" s="788"/>
    </row>
    <row r="19" spans="1:15" ht="13.5" customHeight="1">
      <c r="A19" s="623"/>
      <c r="B19" s="626" t="s">
        <v>172</v>
      </c>
      <c r="C19" s="624"/>
      <c r="D19" s="624"/>
      <c r="E19" s="624"/>
      <c r="F19" s="624"/>
      <c r="G19" s="624"/>
      <c r="H19" s="661"/>
      <c r="I19" s="832"/>
      <c r="J19" s="697"/>
      <c r="K19" s="696"/>
      <c r="L19" s="833"/>
      <c r="M19" s="699"/>
      <c r="N19" s="696"/>
      <c r="O19" s="698"/>
    </row>
    <row r="20" spans="1:15" ht="12.75">
      <c r="A20" s="623"/>
      <c r="B20" s="626" t="s">
        <v>306</v>
      </c>
      <c r="C20" s="624"/>
      <c r="D20" s="624">
        <v>2.3</v>
      </c>
      <c r="E20" s="624">
        <v>2.4</v>
      </c>
      <c r="F20" s="624">
        <v>1.8</v>
      </c>
      <c r="G20" s="624">
        <v>3.61</v>
      </c>
      <c r="H20" s="661">
        <v>4.26</v>
      </c>
      <c r="I20" s="832">
        <v>0.0469</v>
      </c>
      <c r="J20" s="697">
        <v>0.0245</v>
      </c>
      <c r="K20" s="696">
        <v>0.0225</v>
      </c>
      <c r="L20" s="833">
        <v>0.0462</v>
      </c>
      <c r="M20" s="699">
        <v>0.0472</v>
      </c>
      <c r="N20" s="696">
        <v>0.0236</v>
      </c>
      <c r="O20" s="698">
        <v>0.0236</v>
      </c>
    </row>
    <row r="21" spans="1:15" ht="12.75">
      <c r="A21" s="623"/>
      <c r="B21" s="626" t="s">
        <v>85</v>
      </c>
      <c r="C21" s="624"/>
      <c r="D21" s="627"/>
      <c r="E21" s="624"/>
      <c r="F21" s="624"/>
      <c r="G21" s="624"/>
      <c r="H21" s="660"/>
      <c r="I21" s="832">
        <v>0.0659</v>
      </c>
      <c r="J21" s="697">
        <v>0.0343</v>
      </c>
      <c r="K21" s="696">
        <v>0.0316</v>
      </c>
      <c r="L21" s="833">
        <v>0.0636</v>
      </c>
      <c r="M21" s="699">
        <v>0.0616</v>
      </c>
      <c r="N21" s="696">
        <v>0.0318</v>
      </c>
      <c r="O21" s="698">
        <v>0.0298</v>
      </c>
    </row>
    <row r="22" spans="1:15" ht="12.75">
      <c r="A22" s="623" t="s">
        <v>22</v>
      </c>
      <c r="B22" s="626" t="s">
        <v>177</v>
      </c>
      <c r="C22" s="630" t="s">
        <v>170</v>
      </c>
      <c r="D22" s="634">
        <v>22.37</v>
      </c>
      <c r="E22" s="630">
        <v>30.16</v>
      </c>
      <c r="F22" s="630">
        <v>25.6</v>
      </c>
      <c r="G22" s="630">
        <v>6.31</v>
      </c>
      <c r="H22" s="660">
        <v>25.6</v>
      </c>
      <c r="I22" s="832">
        <f>I10-I20-I21</f>
        <v>4.9288</v>
      </c>
      <c r="J22" s="697">
        <f>J10-J20-J21</f>
        <v>2.5623</v>
      </c>
      <c r="K22" s="696">
        <f>K10-K20-K21</f>
        <v>2.3664</v>
      </c>
      <c r="L22" s="833">
        <v>4.7102</v>
      </c>
      <c r="M22" s="699">
        <v>4.7712</v>
      </c>
      <c r="N22" s="696">
        <v>2.3838</v>
      </c>
      <c r="O22" s="698">
        <v>2.3874</v>
      </c>
    </row>
    <row r="23" spans="1:15" ht="12.75">
      <c r="A23" s="635" t="s">
        <v>129</v>
      </c>
      <c r="B23" s="626" t="s">
        <v>82</v>
      </c>
      <c r="C23" s="624"/>
      <c r="D23" s="627">
        <v>22</v>
      </c>
      <c r="E23" s="624">
        <v>29.85</v>
      </c>
      <c r="F23" s="624">
        <v>25</v>
      </c>
      <c r="G23" s="624">
        <v>6.3</v>
      </c>
      <c r="H23" s="660">
        <v>25</v>
      </c>
      <c r="I23" s="832"/>
      <c r="J23" s="697"/>
      <c r="K23" s="696"/>
      <c r="L23" s="833"/>
      <c r="M23" s="699"/>
      <c r="N23" s="696"/>
      <c r="O23" s="698"/>
    </row>
    <row r="24" spans="1:15" ht="12.75">
      <c r="A24" s="623" t="s">
        <v>133</v>
      </c>
      <c r="B24" s="626" t="s">
        <v>157</v>
      </c>
      <c r="C24" s="624"/>
      <c r="D24" s="627">
        <v>0.37</v>
      </c>
      <c r="E24" s="624">
        <v>0.31</v>
      </c>
      <c r="F24" s="624">
        <v>0.6</v>
      </c>
      <c r="G24" s="624">
        <v>0.01</v>
      </c>
      <c r="H24" s="660">
        <v>0.6</v>
      </c>
      <c r="I24" s="832"/>
      <c r="J24" s="697"/>
      <c r="K24" s="696"/>
      <c r="L24" s="833"/>
      <c r="M24" s="699"/>
      <c r="N24" s="696"/>
      <c r="O24" s="698"/>
    </row>
    <row r="25" spans="1:15" ht="12.75">
      <c r="A25" s="623"/>
      <c r="B25" s="626" t="s">
        <v>172</v>
      </c>
      <c r="C25" s="624"/>
      <c r="D25" s="627"/>
      <c r="E25" s="624"/>
      <c r="F25" s="624"/>
      <c r="G25" s="624"/>
      <c r="H25" s="660"/>
      <c r="I25" s="832"/>
      <c r="J25" s="697"/>
      <c r="K25" s="696"/>
      <c r="L25" s="833"/>
      <c r="M25" s="699"/>
      <c r="N25" s="696"/>
      <c r="O25" s="698"/>
    </row>
    <row r="26" spans="1:15" ht="12.75">
      <c r="A26" s="623"/>
      <c r="B26" s="626" t="s">
        <v>306</v>
      </c>
      <c r="C26" s="624"/>
      <c r="D26" s="627">
        <v>0.37</v>
      </c>
      <c r="E26" s="624">
        <v>0.31</v>
      </c>
      <c r="F26" s="624">
        <v>0.6</v>
      </c>
      <c r="G26" s="624">
        <v>0.01</v>
      </c>
      <c r="H26" s="660">
        <v>0.6</v>
      </c>
      <c r="I26" s="832">
        <f>I14-I20</f>
        <v>4.9947</v>
      </c>
      <c r="J26" s="697">
        <f aca="true" t="shared" si="1" ref="J26:O26">J14-J20</f>
        <v>2.5966</v>
      </c>
      <c r="K26" s="696">
        <f t="shared" si="1"/>
        <v>2.398</v>
      </c>
      <c r="L26" s="833">
        <f t="shared" si="1"/>
        <v>4.7738000000000005</v>
      </c>
      <c r="M26" s="699">
        <f t="shared" si="1"/>
        <v>4.8328</v>
      </c>
      <c r="N26" s="696">
        <f t="shared" si="1"/>
        <v>2.4164</v>
      </c>
      <c r="O26" s="698">
        <f t="shared" si="1"/>
        <v>2.4164</v>
      </c>
    </row>
    <row r="27" spans="1:15" ht="12.75">
      <c r="A27" s="623" t="s">
        <v>134</v>
      </c>
      <c r="B27" s="626" t="s">
        <v>173</v>
      </c>
      <c r="C27" s="624"/>
      <c r="D27" s="627"/>
      <c r="E27" s="624"/>
      <c r="F27" s="624"/>
      <c r="G27" s="624"/>
      <c r="H27" s="660"/>
      <c r="I27" s="832">
        <f>I26-I21</f>
        <v>4.9288</v>
      </c>
      <c r="J27" s="697">
        <f aca="true" t="shared" si="2" ref="J27:O27">J26-J21</f>
        <v>2.5623</v>
      </c>
      <c r="K27" s="696">
        <f t="shared" si="2"/>
        <v>2.3664</v>
      </c>
      <c r="L27" s="833">
        <f t="shared" si="2"/>
        <v>4.7102</v>
      </c>
      <c r="M27" s="699">
        <f t="shared" si="2"/>
        <v>4.771199999999999</v>
      </c>
      <c r="N27" s="696">
        <f t="shared" si="2"/>
        <v>2.3846</v>
      </c>
      <c r="O27" s="698">
        <f t="shared" si="2"/>
        <v>2.3866</v>
      </c>
    </row>
    <row r="28" spans="1:15" ht="12.75">
      <c r="A28" s="623" t="s">
        <v>24</v>
      </c>
      <c r="B28" s="626" t="s">
        <v>178</v>
      </c>
      <c r="C28" s="624" t="s">
        <v>179</v>
      </c>
      <c r="D28" s="627"/>
      <c r="E28" s="624"/>
      <c r="F28" s="624"/>
      <c r="G28" s="624"/>
      <c r="H28" s="660"/>
      <c r="I28" s="830">
        <f>(I10-I22)*I9</f>
        <v>681.3639000000002</v>
      </c>
      <c r="J28" s="704">
        <f aca="true" t="shared" si="3" ref="J28:O28">(J10-J22)*J9</f>
        <v>338.3940000000011</v>
      </c>
      <c r="K28" s="704">
        <f t="shared" si="3"/>
        <v>343.42680000000024</v>
      </c>
      <c r="L28" s="836">
        <f t="shared" si="3"/>
        <v>663.1919999999993</v>
      </c>
      <c r="M28" s="743">
        <f t="shared" si="3"/>
        <v>735.715794799997</v>
      </c>
      <c r="N28" s="743">
        <f t="shared" si="3"/>
        <v>368.27860000000015</v>
      </c>
      <c r="O28" s="789">
        <f t="shared" si="3"/>
        <v>367.4371947999998</v>
      </c>
    </row>
    <row r="29" spans="1:15" ht="12.75">
      <c r="A29" s="623" t="s">
        <v>47</v>
      </c>
      <c r="B29" s="626" t="s">
        <v>82</v>
      </c>
      <c r="C29" s="624"/>
      <c r="D29" s="627"/>
      <c r="E29" s="624"/>
      <c r="F29" s="624"/>
      <c r="G29" s="624"/>
      <c r="H29" s="660"/>
      <c r="I29" s="707"/>
      <c r="J29" s="661"/>
      <c r="K29" s="628"/>
      <c r="L29" s="837"/>
      <c r="M29" s="658"/>
      <c r="N29" s="628"/>
      <c r="O29" s="629"/>
    </row>
    <row r="30" spans="1:15" ht="12.75">
      <c r="A30" s="623" t="s">
        <v>48</v>
      </c>
      <c r="B30" s="626" t="s">
        <v>157</v>
      </c>
      <c r="C30" s="624"/>
      <c r="D30" s="627"/>
      <c r="E30" s="624"/>
      <c r="F30" s="624"/>
      <c r="G30" s="624"/>
      <c r="H30" s="660"/>
      <c r="I30" s="707">
        <f>I28/I16*I18</f>
        <v>0</v>
      </c>
      <c r="J30" s="661">
        <f aca="true" t="shared" si="4" ref="J30:O30">J28/J16*J18</f>
        <v>0</v>
      </c>
      <c r="K30" s="628">
        <f t="shared" si="4"/>
        <v>0</v>
      </c>
      <c r="L30" s="837">
        <f t="shared" si="4"/>
        <v>0</v>
      </c>
      <c r="M30" s="658">
        <f t="shared" si="4"/>
        <v>0</v>
      </c>
      <c r="N30" s="628">
        <f t="shared" si="4"/>
        <v>0</v>
      </c>
      <c r="O30" s="629">
        <f t="shared" si="4"/>
        <v>0</v>
      </c>
    </row>
    <row r="31" spans="1:15" ht="12.75">
      <c r="A31" s="623"/>
      <c r="B31" s="626" t="s">
        <v>172</v>
      </c>
      <c r="C31" s="624"/>
      <c r="D31" s="624"/>
      <c r="E31" s="624"/>
      <c r="F31" s="624"/>
      <c r="G31" s="624"/>
      <c r="H31" s="660"/>
      <c r="I31" s="707"/>
      <c r="J31" s="661"/>
      <c r="K31" s="628"/>
      <c r="L31" s="837"/>
      <c r="M31" s="658"/>
      <c r="N31" s="628"/>
      <c r="O31" s="629"/>
    </row>
    <row r="32" spans="1:15" ht="12.75">
      <c r="A32" s="623"/>
      <c r="B32" s="626" t="s">
        <v>306</v>
      </c>
      <c r="C32" s="624"/>
      <c r="D32" s="624"/>
      <c r="E32" s="624"/>
      <c r="F32" s="624"/>
      <c r="G32" s="624"/>
      <c r="H32" s="660"/>
      <c r="I32" s="707">
        <f>(I14-I27)*I9</f>
        <v>681.3639000000002</v>
      </c>
      <c r="J32" s="661">
        <f aca="true" t="shared" si="5" ref="J32:O32">(J14-J27)*J9</f>
        <v>338.3940000000011</v>
      </c>
      <c r="K32" s="628">
        <f t="shared" si="5"/>
        <v>343.42680000000024</v>
      </c>
      <c r="L32" s="831">
        <f t="shared" si="5"/>
        <v>663.1919999999993</v>
      </c>
      <c r="M32" s="658">
        <f t="shared" si="5"/>
        <v>735.715794800003</v>
      </c>
      <c r="N32" s="628">
        <f t="shared" si="5"/>
        <v>363.03620000000075</v>
      </c>
      <c r="O32" s="629">
        <f t="shared" si="5"/>
        <v>373.0255931999992</v>
      </c>
    </row>
    <row r="33" spans="1:15" ht="12.75">
      <c r="A33" s="623" t="s">
        <v>50</v>
      </c>
      <c r="B33" s="626" t="s">
        <v>85</v>
      </c>
      <c r="C33" s="624"/>
      <c r="D33" s="627"/>
      <c r="E33" s="624"/>
      <c r="F33" s="624"/>
      <c r="G33" s="624"/>
      <c r="H33" s="660"/>
      <c r="I33" s="707">
        <f>(I15-I27)*I9</f>
        <v>398.0663210106388</v>
      </c>
      <c r="J33" s="661">
        <f aca="true" t="shared" si="6" ref="J33:O33">(J15-J27)*J9</f>
        <v>197.39649999999997</v>
      </c>
      <c r="K33" s="628">
        <f t="shared" si="6"/>
        <v>200.59680000000046</v>
      </c>
      <c r="L33" s="831">
        <f t="shared" si="6"/>
        <v>1720.1919999999984</v>
      </c>
      <c r="M33" s="658">
        <f t="shared" si="6"/>
        <v>416.5449720558845</v>
      </c>
      <c r="N33" s="628">
        <f t="shared" si="6"/>
        <v>208.38540000000032</v>
      </c>
      <c r="O33" s="629">
        <f t="shared" si="6"/>
        <v>208.16784039999877</v>
      </c>
    </row>
    <row r="34" spans="1:15" ht="38.25">
      <c r="A34" s="623" t="s">
        <v>26</v>
      </c>
      <c r="B34" s="626" t="s">
        <v>180</v>
      </c>
      <c r="C34" s="624" t="s">
        <v>168</v>
      </c>
      <c r="D34" s="627"/>
      <c r="E34" s="624"/>
      <c r="F34" s="624"/>
      <c r="G34" s="624"/>
      <c r="H34" s="660"/>
      <c r="I34" s="707">
        <f>I28/I22</f>
        <v>138.2413366336634</v>
      </c>
      <c r="J34" s="661">
        <f aca="true" t="shared" si="7" ref="J34:O34">J28/J22</f>
        <v>132.06650275143468</v>
      </c>
      <c r="K34" s="628">
        <f t="shared" si="7"/>
        <v>145.1262677484788</v>
      </c>
      <c r="L34" s="837">
        <f t="shared" si="7"/>
        <v>140.79911681032638</v>
      </c>
      <c r="M34" s="658">
        <f t="shared" si="7"/>
        <v>154.19931983568011</v>
      </c>
      <c r="N34" s="628">
        <f t="shared" si="7"/>
        <v>154.49223928181902</v>
      </c>
      <c r="O34" s="629">
        <f t="shared" si="7"/>
        <v>153.90684208762664</v>
      </c>
    </row>
    <row r="35" spans="1:15" ht="12.75">
      <c r="A35" s="623" t="s">
        <v>159</v>
      </c>
      <c r="B35" s="626" t="s">
        <v>181</v>
      </c>
      <c r="C35" s="624"/>
      <c r="D35" s="627"/>
      <c r="E35" s="624"/>
      <c r="F35" s="624"/>
      <c r="G35" s="624"/>
      <c r="H35" s="660"/>
      <c r="I35" s="707"/>
      <c r="J35" s="661"/>
      <c r="K35" s="628"/>
      <c r="L35" s="837"/>
      <c r="M35" s="658"/>
      <c r="N35" s="628"/>
      <c r="O35" s="629"/>
    </row>
    <row r="36" spans="1:15" ht="12.75">
      <c r="A36" s="623" t="s">
        <v>160</v>
      </c>
      <c r="B36" s="626" t="s">
        <v>182</v>
      </c>
      <c r="C36" s="624"/>
      <c r="D36" s="627"/>
      <c r="E36" s="624"/>
      <c r="F36" s="624"/>
      <c r="G36" s="624"/>
      <c r="H36" s="660"/>
      <c r="I36" s="707"/>
      <c r="J36" s="661"/>
      <c r="K36" s="628"/>
      <c r="L36" s="837"/>
      <c r="M36" s="658"/>
      <c r="N36" s="628"/>
      <c r="O36" s="629"/>
    </row>
    <row r="37" spans="1:15" ht="12.75">
      <c r="A37" s="623"/>
      <c r="B37" s="626" t="s">
        <v>172</v>
      </c>
      <c r="C37" s="624"/>
      <c r="D37" s="624"/>
      <c r="E37" s="624"/>
      <c r="F37" s="624"/>
      <c r="G37" s="624"/>
      <c r="H37" s="660"/>
      <c r="I37" s="707"/>
      <c r="J37" s="661"/>
      <c r="K37" s="628"/>
      <c r="L37" s="837"/>
      <c r="M37" s="658"/>
      <c r="N37" s="628"/>
      <c r="O37" s="629"/>
    </row>
    <row r="38" spans="1:15" ht="12.75">
      <c r="A38" s="623"/>
      <c r="B38" s="626" t="s">
        <v>306</v>
      </c>
      <c r="C38" s="624"/>
      <c r="D38" s="624"/>
      <c r="E38" s="624"/>
      <c r="F38" s="624"/>
      <c r="G38" s="624"/>
      <c r="H38" s="660"/>
      <c r="I38" s="707">
        <f>I32/I26</f>
        <v>136.41738242537093</v>
      </c>
      <c r="J38" s="661">
        <f aca="true" t="shared" si="8" ref="J38:O38">J32/J26</f>
        <v>130.32195948548144</v>
      </c>
      <c r="K38" s="628">
        <f t="shared" si="8"/>
        <v>143.2138448707257</v>
      </c>
      <c r="L38" s="837">
        <f t="shared" si="8"/>
        <v>138.9232896225228</v>
      </c>
      <c r="M38" s="658">
        <f t="shared" si="8"/>
        <v>152.2338592120516</v>
      </c>
      <c r="N38" s="628">
        <f t="shared" si="8"/>
        <v>150.2384538983615</v>
      </c>
      <c r="O38" s="629">
        <f t="shared" si="8"/>
        <v>154.37245207747029</v>
      </c>
    </row>
    <row r="39" spans="1:17" ht="13.5" thickBot="1">
      <c r="A39" s="636" t="s">
        <v>161</v>
      </c>
      <c r="B39" s="637" t="s">
        <v>85</v>
      </c>
      <c r="C39" s="638"/>
      <c r="D39" s="639"/>
      <c r="E39" s="638"/>
      <c r="F39" s="638"/>
      <c r="G39" s="638"/>
      <c r="H39" s="825"/>
      <c r="I39" s="838">
        <f>I33/I27</f>
        <v>80.76333407941868</v>
      </c>
      <c r="J39" s="662">
        <f aca="true" t="shared" si="9" ref="J39:O39">J33/J27</f>
        <v>77.03879327166997</v>
      </c>
      <c r="K39" s="640">
        <f t="shared" si="9"/>
        <v>84.76876267748497</v>
      </c>
      <c r="L39" s="839">
        <f t="shared" si="9"/>
        <v>365.2057237484604</v>
      </c>
      <c r="M39" s="708">
        <f t="shared" si="9"/>
        <v>87.30402667167264</v>
      </c>
      <c r="N39" s="640">
        <f t="shared" si="9"/>
        <v>87.38798959993304</v>
      </c>
      <c r="O39" s="641">
        <f t="shared" si="9"/>
        <v>87.22359859213893</v>
      </c>
      <c r="Q39" s="645"/>
    </row>
    <row r="40" spans="1:15" ht="64.5" customHeight="1">
      <c r="A40" s="642"/>
      <c r="B40" s="1087" t="s">
        <v>611</v>
      </c>
      <c r="C40" s="1087"/>
      <c r="D40" s="1087"/>
      <c r="E40" s="1087"/>
      <c r="F40" s="1087"/>
      <c r="G40" s="1087"/>
      <c r="H40" s="1087"/>
      <c r="I40" s="1087"/>
      <c r="J40" s="1087"/>
      <c r="K40" s="1087"/>
      <c r="L40" s="1087"/>
      <c r="M40" s="1087"/>
      <c r="N40" s="1087"/>
      <c r="O40" s="1087"/>
    </row>
    <row r="41" s="1086" customFormat="1" ht="15.75" customHeight="1">
      <c r="A41" s="1086" t="s">
        <v>525</v>
      </c>
    </row>
    <row r="42" s="1086" customFormat="1" ht="12.75"/>
    <row r="43" s="1086" customFormat="1" ht="12.75"/>
    <row r="44" s="1086" customFormat="1" ht="12.75"/>
    <row r="45" s="1086" customFormat="1" ht="12.75"/>
    <row r="46" s="1086" customFormat="1" ht="12.75"/>
    <row r="47" spans="1:9" ht="12.75">
      <c r="A47" s="612"/>
      <c r="B47" s="643"/>
      <c r="C47" s="644"/>
      <c r="D47" s="612"/>
      <c r="E47" s="612"/>
      <c r="F47" s="612"/>
      <c r="G47" s="612"/>
      <c r="H47" s="612"/>
      <c r="I47" s="612"/>
    </row>
    <row r="48" spans="1:9" ht="12.75">
      <c r="A48" s="612"/>
      <c r="B48" s="643"/>
      <c r="C48" s="644"/>
      <c r="D48" s="612"/>
      <c r="E48" s="612"/>
      <c r="F48" s="612"/>
      <c r="G48" s="612"/>
      <c r="H48" s="612"/>
      <c r="I48" s="612"/>
    </row>
    <row r="49" spans="1:9" ht="12.75">
      <c r="A49" s="612"/>
      <c r="B49" s="643"/>
      <c r="C49" s="644"/>
      <c r="D49" s="612"/>
      <c r="E49" s="612"/>
      <c r="F49" s="612"/>
      <c r="G49" s="612"/>
      <c r="H49" s="612"/>
      <c r="I49" s="612"/>
    </row>
    <row r="50" spans="1:9" ht="12.75">
      <c r="A50" s="612"/>
      <c r="C50" s="644"/>
      <c r="D50" s="612"/>
      <c r="E50" s="612"/>
      <c r="F50" s="612"/>
      <c r="G50" s="612"/>
      <c r="H50" s="612"/>
      <c r="I50" s="612"/>
    </row>
    <row r="51" spans="1:9" ht="12.75">
      <c r="A51" s="612"/>
      <c r="B51" s="643"/>
      <c r="C51" s="644"/>
      <c r="D51" s="612"/>
      <c r="E51" s="612"/>
      <c r="F51" s="612"/>
      <c r="G51" s="612"/>
      <c r="H51" s="612"/>
      <c r="I51" s="612"/>
    </row>
    <row r="52" spans="1:9" ht="12.75">
      <c r="A52" s="612"/>
      <c r="B52" s="643"/>
      <c r="C52" s="644"/>
      <c r="D52" s="612"/>
      <c r="E52" s="612"/>
      <c r="F52" s="612"/>
      <c r="G52" s="612"/>
      <c r="H52" s="612"/>
      <c r="I52" s="612"/>
    </row>
    <row r="53" spans="1:9" ht="12.75">
      <c r="A53" s="612"/>
      <c r="B53" s="643"/>
      <c r="C53" s="644"/>
      <c r="D53" s="612"/>
      <c r="E53" s="612"/>
      <c r="F53" s="612"/>
      <c r="G53" s="612"/>
      <c r="H53" s="612"/>
      <c r="I53" s="612"/>
    </row>
    <row r="54" spans="1:9" ht="12.75">
      <c r="A54" s="612"/>
      <c r="B54" s="643"/>
      <c r="C54" s="644"/>
      <c r="D54" s="612"/>
      <c r="E54" s="612"/>
      <c r="F54" s="612"/>
      <c r="G54" s="612"/>
      <c r="H54" s="612"/>
      <c r="I54" s="612"/>
    </row>
    <row r="55" spans="1:9" ht="12.75">
      <c r="A55" s="612"/>
      <c r="B55" s="643"/>
      <c r="C55" s="644"/>
      <c r="D55" s="612"/>
      <c r="E55" s="612"/>
      <c r="F55" s="612"/>
      <c r="G55" s="612"/>
      <c r="H55" s="612"/>
      <c r="I55" s="612"/>
    </row>
    <row r="56" spans="1:9" ht="12.75">
      <c r="A56" s="612"/>
      <c r="B56" s="643"/>
      <c r="C56" s="644"/>
      <c r="D56" s="612"/>
      <c r="E56" s="612"/>
      <c r="F56" s="612"/>
      <c r="G56" s="612"/>
      <c r="H56" s="612"/>
      <c r="I56" s="612"/>
    </row>
    <row r="57" spans="1:9" ht="12.75">
      <c r="A57" s="612"/>
      <c r="B57" s="643"/>
      <c r="C57" s="644"/>
      <c r="D57" s="612"/>
      <c r="E57" s="612"/>
      <c r="F57" s="612"/>
      <c r="G57" s="612"/>
      <c r="H57" s="612"/>
      <c r="I57" s="612"/>
    </row>
    <row r="58" spans="1:9" ht="12.75">
      <c r="A58" s="612"/>
      <c r="B58" s="643"/>
      <c r="C58" s="644"/>
      <c r="D58" s="612"/>
      <c r="E58" s="612"/>
      <c r="F58" s="612"/>
      <c r="G58" s="612"/>
      <c r="H58" s="612"/>
      <c r="I58" s="612"/>
    </row>
    <row r="59" spans="1:9" ht="12.75">
      <c r="A59" s="612"/>
      <c r="B59" s="643"/>
      <c r="C59" s="644"/>
      <c r="D59" s="612"/>
      <c r="E59" s="612"/>
      <c r="F59" s="612"/>
      <c r="G59" s="612"/>
      <c r="H59" s="612"/>
      <c r="I59" s="612"/>
    </row>
    <row r="60" spans="1:9" ht="12.75">
      <c r="A60" s="612"/>
      <c r="B60" s="643"/>
      <c r="C60" s="644"/>
      <c r="D60" s="612"/>
      <c r="E60" s="612"/>
      <c r="F60" s="612"/>
      <c r="G60" s="612"/>
      <c r="H60" s="612"/>
      <c r="I60" s="612"/>
    </row>
    <row r="61" spans="1:9" ht="12.75">
      <c r="A61" s="612"/>
      <c r="B61" s="643"/>
      <c r="C61" s="644"/>
      <c r="D61" s="612"/>
      <c r="E61" s="612"/>
      <c r="F61" s="612"/>
      <c r="G61" s="612"/>
      <c r="H61" s="612"/>
      <c r="I61" s="612"/>
    </row>
    <row r="62" spans="1:9" ht="12.75">
      <c r="A62" s="612"/>
      <c r="B62" s="643"/>
      <c r="C62" s="644"/>
      <c r="D62" s="612"/>
      <c r="E62" s="612"/>
      <c r="F62" s="612"/>
      <c r="G62" s="612"/>
      <c r="H62" s="612"/>
      <c r="I62" s="612"/>
    </row>
    <row r="63" spans="1:9" ht="12.75">
      <c r="A63" s="612"/>
      <c r="B63" s="643"/>
      <c r="C63" s="644"/>
      <c r="D63" s="612"/>
      <c r="E63" s="612"/>
      <c r="F63" s="612"/>
      <c r="G63" s="612"/>
      <c r="H63" s="612"/>
      <c r="I63" s="612"/>
    </row>
    <row r="64" spans="1:9" ht="12.75">
      <c r="A64" s="612"/>
      <c r="B64" s="643"/>
      <c r="C64" s="644"/>
      <c r="D64" s="612"/>
      <c r="E64" s="612"/>
      <c r="F64" s="612"/>
      <c r="G64" s="612"/>
      <c r="H64" s="612"/>
      <c r="I64" s="612"/>
    </row>
    <row r="65" spans="1:9" ht="12.75">
      <c r="A65" s="612"/>
      <c r="B65" s="643"/>
      <c r="C65" s="644"/>
      <c r="D65" s="612"/>
      <c r="E65" s="612"/>
      <c r="F65" s="612"/>
      <c r="G65" s="612"/>
      <c r="H65" s="612"/>
      <c r="I65" s="612"/>
    </row>
    <row r="66" spans="1:9" ht="12.75">
      <c r="A66" s="612"/>
      <c r="B66" s="643"/>
      <c r="C66" s="644"/>
      <c r="D66" s="612"/>
      <c r="E66" s="612"/>
      <c r="F66" s="612"/>
      <c r="G66" s="612"/>
      <c r="H66" s="612"/>
      <c r="I66" s="612"/>
    </row>
    <row r="67" spans="1:9" ht="12.75">
      <c r="A67" s="612"/>
      <c r="B67" s="643"/>
      <c r="C67" s="644"/>
      <c r="D67" s="612"/>
      <c r="E67" s="612"/>
      <c r="F67" s="612"/>
      <c r="G67" s="612"/>
      <c r="H67" s="612"/>
      <c r="I67" s="612"/>
    </row>
    <row r="68" spans="1:9" ht="12.75">
      <c r="A68" s="612"/>
      <c r="B68" s="612"/>
      <c r="C68" s="644"/>
      <c r="D68" s="612"/>
      <c r="E68" s="612"/>
      <c r="F68" s="612"/>
      <c r="G68" s="612"/>
      <c r="H68" s="612"/>
      <c r="I68" s="612"/>
    </row>
    <row r="69" spans="1:9" ht="12.75">
      <c r="A69" s="612"/>
      <c r="B69" s="612"/>
      <c r="C69" s="644"/>
      <c r="D69" s="612"/>
      <c r="E69" s="612"/>
      <c r="F69" s="612"/>
      <c r="G69" s="612"/>
      <c r="H69" s="612"/>
      <c r="I69" s="612"/>
    </row>
    <row r="70" spans="1:9" ht="12.75">
      <c r="A70" s="612"/>
      <c r="B70" s="612"/>
      <c r="C70" s="644"/>
      <c r="D70" s="612"/>
      <c r="E70" s="612"/>
      <c r="F70" s="612"/>
      <c r="G70" s="612"/>
      <c r="H70" s="612"/>
      <c r="I70" s="612"/>
    </row>
    <row r="71" spans="1:9" ht="12.75">
      <c r="A71" s="612"/>
      <c r="B71" s="612"/>
      <c r="C71" s="644"/>
      <c r="D71" s="612"/>
      <c r="E71" s="612"/>
      <c r="F71" s="612"/>
      <c r="G71" s="612"/>
      <c r="H71" s="612"/>
      <c r="I71" s="612"/>
    </row>
    <row r="72" spans="1:9" ht="12.75">
      <c r="A72" s="612"/>
      <c r="B72" s="612"/>
      <c r="C72" s="644"/>
      <c r="D72" s="612"/>
      <c r="E72" s="612"/>
      <c r="F72" s="612"/>
      <c r="G72" s="612"/>
      <c r="H72" s="612"/>
      <c r="I72" s="612"/>
    </row>
    <row r="73" spans="1:9" ht="12.75">
      <c r="A73" s="612"/>
      <c r="B73" s="612"/>
      <c r="C73" s="644"/>
      <c r="D73" s="612"/>
      <c r="E73" s="612"/>
      <c r="F73" s="612"/>
      <c r="G73" s="612"/>
      <c r="H73" s="612"/>
      <c r="I73" s="612"/>
    </row>
    <row r="74" spans="1:9" ht="12.75">
      <c r="A74" s="612"/>
      <c r="B74" s="612"/>
      <c r="C74" s="644"/>
      <c r="D74" s="612"/>
      <c r="E74" s="612"/>
      <c r="F74" s="612"/>
      <c r="G74" s="612"/>
      <c r="H74" s="612"/>
      <c r="I74" s="612"/>
    </row>
    <row r="75" spans="1:9" ht="12.75">
      <c r="A75" s="612"/>
      <c r="B75" s="612"/>
      <c r="C75" s="644"/>
      <c r="D75" s="612"/>
      <c r="E75" s="612"/>
      <c r="F75" s="612"/>
      <c r="G75" s="612"/>
      <c r="H75" s="612"/>
      <c r="I75" s="612"/>
    </row>
    <row r="76" spans="1:9" ht="12.75">
      <c r="A76" s="612"/>
      <c r="B76" s="612"/>
      <c r="C76" s="644"/>
      <c r="D76" s="612"/>
      <c r="E76" s="612"/>
      <c r="F76" s="612"/>
      <c r="G76" s="612"/>
      <c r="H76" s="612"/>
      <c r="I76" s="612"/>
    </row>
    <row r="77" spans="1:9" ht="12.75">
      <c r="A77" s="612"/>
      <c r="B77" s="612"/>
      <c r="C77" s="644"/>
      <c r="D77" s="612"/>
      <c r="E77" s="612"/>
      <c r="F77" s="612"/>
      <c r="G77" s="612"/>
      <c r="H77" s="612"/>
      <c r="I77" s="612"/>
    </row>
    <row r="78" spans="1:9" ht="12.75">
      <c r="A78" s="612"/>
      <c r="B78" s="612"/>
      <c r="C78" s="644"/>
      <c r="D78" s="612"/>
      <c r="E78" s="612"/>
      <c r="F78" s="612"/>
      <c r="G78" s="612"/>
      <c r="H78" s="612"/>
      <c r="I78" s="612"/>
    </row>
  </sheetData>
  <sheetProtection/>
  <mergeCells count="6">
    <mergeCell ref="A5:O5"/>
    <mergeCell ref="A3:O3"/>
    <mergeCell ref="A4:O4"/>
    <mergeCell ref="A41:IV46"/>
    <mergeCell ref="B40:O40"/>
    <mergeCell ref="A2:J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0"/>
  <sheetViews>
    <sheetView showGridLines="0" view="pageBreakPreview" zoomScaleSheetLayoutView="100" zoomScalePageLayoutView="0" workbookViewId="0" topLeftCell="A19">
      <pane xSplit="3" ySplit="5" topLeftCell="D24" activePane="bottomRight" state="frozen"/>
      <selection pane="topLeft" activeCell="A19" sqref="A19"/>
      <selection pane="topRight" activeCell="D19" sqref="D19"/>
      <selection pane="bottomLeft" activeCell="A24" sqref="A24"/>
      <selection pane="bottomRight" activeCell="N30" sqref="N30"/>
    </sheetView>
  </sheetViews>
  <sheetFormatPr defaultColWidth="9.00390625" defaultRowHeight="12.75"/>
  <cols>
    <col min="1" max="1" width="6.625" style="187" customWidth="1"/>
    <col min="2" max="2" width="55.00390625" style="187" customWidth="1"/>
    <col min="3" max="3" width="12.00390625" style="187" customWidth="1"/>
    <col min="4" max="4" width="21.125" style="187" customWidth="1"/>
    <col min="5" max="5" width="17.125" style="187" customWidth="1"/>
    <col min="6" max="8" width="21.50390625" style="187" customWidth="1"/>
    <col min="9" max="9" width="20.375" style="187" customWidth="1"/>
    <col min="10" max="10" width="21.50390625" style="187" customWidth="1"/>
    <col min="11" max="16384" width="9.375" style="187" customWidth="1"/>
  </cols>
  <sheetData>
    <row r="1" spans="1:10" ht="34.5" customHeight="1">
      <c r="A1" s="849" t="s">
        <v>313</v>
      </c>
      <c r="B1" s="849"/>
      <c r="C1" s="185"/>
      <c r="D1" s="186"/>
      <c r="E1" s="186"/>
      <c r="F1" s="186"/>
      <c r="G1" s="186"/>
      <c r="H1" s="186"/>
      <c r="I1" s="186"/>
      <c r="J1" s="186"/>
    </row>
    <row r="2" spans="1:10" ht="37.5" customHeight="1" hidden="1">
      <c r="A2" s="850" t="s">
        <v>51</v>
      </c>
      <c r="B2" s="850"/>
      <c r="C2" s="850"/>
      <c r="D2" s="186"/>
      <c r="E2" s="186"/>
      <c r="F2" s="186"/>
      <c r="G2" s="186"/>
      <c r="H2" s="186"/>
      <c r="I2" s="186"/>
      <c r="J2" s="186"/>
    </row>
    <row r="3" spans="1:10" ht="15.75" hidden="1">
      <c r="A3" s="186"/>
      <c r="B3" s="188" t="s">
        <v>1</v>
      </c>
      <c r="C3" s="186"/>
      <c r="D3" s="186"/>
      <c r="E3" s="186"/>
      <c r="F3" s="186"/>
      <c r="G3" s="186"/>
      <c r="H3" s="186"/>
      <c r="I3" s="186"/>
      <c r="J3" s="186"/>
    </row>
    <row r="4" spans="1:10" ht="12.75" customHeight="1" hidden="1">
      <c r="A4" s="852" t="s">
        <v>3</v>
      </c>
      <c r="B4" s="851" t="s">
        <v>4</v>
      </c>
      <c r="C4" s="847" t="s">
        <v>52</v>
      </c>
      <c r="D4" s="186"/>
      <c r="E4" s="186"/>
      <c r="F4" s="186"/>
      <c r="G4" s="186"/>
      <c r="H4" s="186"/>
      <c r="I4" s="186"/>
      <c r="J4" s="186"/>
    </row>
    <row r="5" spans="1:10" s="190" customFormat="1" ht="30.75" customHeight="1" hidden="1">
      <c r="A5" s="853"/>
      <c r="B5" s="851"/>
      <c r="C5" s="847"/>
      <c r="D5" s="189"/>
      <c r="E5" s="189"/>
      <c r="F5" s="189"/>
      <c r="G5" s="189"/>
      <c r="H5" s="189"/>
      <c r="I5" s="189"/>
      <c r="J5" s="189"/>
    </row>
    <row r="6" spans="1:10" s="193" customFormat="1" ht="12" hidden="1">
      <c r="A6" s="191">
        <v>1</v>
      </c>
      <c r="B6" s="191">
        <v>2</v>
      </c>
      <c r="C6" s="191">
        <f>B6+1</f>
        <v>3</v>
      </c>
      <c r="D6" s="192"/>
      <c r="E6" s="192"/>
      <c r="F6" s="192"/>
      <c r="G6" s="192"/>
      <c r="H6" s="192"/>
      <c r="I6" s="192"/>
      <c r="J6" s="192"/>
    </row>
    <row r="7" spans="1:10" ht="12.75" hidden="1">
      <c r="A7" s="194" t="s">
        <v>8</v>
      </c>
      <c r="B7" s="195" t="s">
        <v>53</v>
      </c>
      <c r="C7" s="194" t="s">
        <v>54</v>
      </c>
      <c r="D7" s="186"/>
      <c r="E7" s="186"/>
      <c r="F7" s="186"/>
      <c r="G7" s="186"/>
      <c r="H7" s="186"/>
      <c r="I7" s="186"/>
      <c r="J7" s="186"/>
    </row>
    <row r="8" spans="1:10" ht="25.5" hidden="1">
      <c r="A8" s="196" t="s">
        <v>12</v>
      </c>
      <c r="B8" s="195" t="s">
        <v>55</v>
      </c>
      <c r="C8" s="194" t="s">
        <v>54</v>
      </c>
      <c r="D8" s="186"/>
      <c r="E8" s="186"/>
      <c r="F8" s="186"/>
      <c r="G8" s="186"/>
      <c r="H8" s="186"/>
      <c r="I8" s="186"/>
      <c r="J8" s="186"/>
    </row>
    <row r="9" spans="1:10" ht="25.5" hidden="1">
      <c r="A9" s="196" t="s">
        <v>14</v>
      </c>
      <c r="B9" s="195" t="s">
        <v>57</v>
      </c>
      <c r="C9" s="194" t="s">
        <v>54</v>
      </c>
      <c r="D9" s="186"/>
      <c r="E9" s="186"/>
      <c r="F9" s="186"/>
      <c r="G9" s="186"/>
      <c r="H9" s="186"/>
      <c r="I9" s="186"/>
      <c r="J9" s="186"/>
    </row>
    <row r="10" spans="1:10" ht="12.75" hidden="1">
      <c r="A10" s="196" t="s">
        <v>22</v>
      </c>
      <c r="B10" s="195" t="s">
        <v>58</v>
      </c>
      <c r="C10" s="194" t="s">
        <v>54</v>
      </c>
      <c r="D10" s="186"/>
      <c r="E10" s="186"/>
      <c r="F10" s="186"/>
      <c r="G10" s="186"/>
      <c r="H10" s="186"/>
      <c r="I10" s="186"/>
      <c r="J10" s="186"/>
    </row>
    <row r="11" spans="1:10" ht="12.75" hidden="1">
      <c r="A11" s="194" t="s">
        <v>14</v>
      </c>
      <c r="B11" s="195" t="s">
        <v>59</v>
      </c>
      <c r="C11" s="194" t="s">
        <v>54</v>
      </c>
      <c r="D11" s="186"/>
      <c r="E11" s="186"/>
      <c r="F11" s="186"/>
      <c r="G11" s="186"/>
      <c r="H11" s="186"/>
      <c r="I11" s="186"/>
      <c r="J11" s="186"/>
    </row>
    <row r="12" spans="1:10" ht="25.5" hidden="1">
      <c r="A12" s="194" t="s">
        <v>22</v>
      </c>
      <c r="B12" s="195" t="s">
        <v>60</v>
      </c>
      <c r="C12" s="194" t="s">
        <v>54</v>
      </c>
      <c r="D12" s="186"/>
      <c r="E12" s="186"/>
      <c r="F12" s="186"/>
      <c r="G12" s="186"/>
      <c r="H12" s="186"/>
      <c r="I12" s="186"/>
      <c r="J12" s="186"/>
    </row>
    <row r="13" spans="1:10" ht="12.75" hidden="1">
      <c r="A13" s="197" t="s">
        <v>24</v>
      </c>
      <c r="B13" s="195" t="s">
        <v>61</v>
      </c>
      <c r="C13" s="194" t="s">
        <v>54</v>
      </c>
      <c r="D13" s="186"/>
      <c r="E13" s="186"/>
      <c r="F13" s="186"/>
      <c r="G13" s="186"/>
      <c r="H13" s="186"/>
      <c r="I13" s="186"/>
      <c r="J13" s="186"/>
    </row>
    <row r="14" spans="1:10" ht="12.75" hidden="1">
      <c r="A14" s="197" t="s">
        <v>26</v>
      </c>
      <c r="B14" s="195" t="s">
        <v>62</v>
      </c>
      <c r="C14" s="194" t="s">
        <v>54</v>
      </c>
      <c r="D14" s="186"/>
      <c r="E14" s="186"/>
      <c r="F14" s="186"/>
      <c r="G14" s="186"/>
      <c r="H14" s="186"/>
      <c r="I14" s="186"/>
      <c r="J14" s="186"/>
    </row>
    <row r="15" spans="1:10" ht="12.75" hidden="1">
      <c r="A15" s="197" t="s">
        <v>28</v>
      </c>
      <c r="B15" s="195" t="s">
        <v>63</v>
      </c>
      <c r="C15" s="194" t="s">
        <v>54</v>
      </c>
      <c r="D15" s="186"/>
      <c r="E15" s="186"/>
      <c r="F15" s="186"/>
      <c r="G15" s="186"/>
      <c r="H15" s="186"/>
      <c r="I15" s="186"/>
      <c r="J15" s="186"/>
    </row>
    <row r="16" spans="1:10" ht="25.5" hidden="1">
      <c r="A16" s="197"/>
      <c r="B16" s="195" t="s">
        <v>64</v>
      </c>
      <c r="C16" s="194" t="s">
        <v>54</v>
      </c>
      <c r="D16" s="186"/>
      <c r="E16" s="186"/>
      <c r="F16" s="186"/>
      <c r="G16" s="186"/>
      <c r="H16" s="186"/>
      <c r="I16" s="186"/>
      <c r="J16" s="186"/>
    </row>
    <row r="17" spans="1:10" ht="12.75" hidden="1">
      <c r="A17" s="186"/>
      <c r="B17" s="186"/>
      <c r="C17" s="186"/>
      <c r="D17" s="186"/>
      <c r="E17" s="186"/>
      <c r="F17" s="186"/>
      <c r="G17" s="186"/>
      <c r="H17" s="186"/>
      <c r="I17" s="186"/>
      <c r="J17" s="186"/>
    </row>
    <row r="18" spans="1:10" ht="12.75" hidden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</row>
    <row r="19" spans="1:13" ht="30.75" customHeight="1">
      <c r="A19" s="855" t="s">
        <v>546</v>
      </c>
      <c r="B19" s="855"/>
      <c r="C19" s="855"/>
      <c r="E19" s="791"/>
      <c r="F19" s="791"/>
      <c r="G19" s="791"/>
      <c r="H19" s="791"/>
      <c r="I19" s="791"/>
      <c r="J19" s="748" t="s">
        <v>314</v>
      </c>
      <c r="K19" s="198"/>
      <c r="L19" s="198"/>
      <c r="M19" s="198"/>
    </row>
    <row r="20" spans="1:10" ht="31.5" customHeight="1" thickBot="1">
      <c r="A20" s="854" t="s">
        <v>65</v>
      </c>
      <c r="B20" s="854"/>
      <c r="C20" s="854"/>
      <c r="D20" s="854"/>
      <c r="E20" s="854"/>
      <c r="F20" s="186"/>
      <c r="G20" s="186"/>
      <c r="H20" s="186"/>
      <c r="I20" s="186"/>
      <c r="J20" s="186"/>
    </row>
    <row r="21" spans="1:10" ht="53.25" customHeight="1">
      <c r="A21" s="857" t="s">
        <v>303</v>
      </c>
      <c r="B21" s="859" t="s">
        <v>4</v>
      </c>
      <c r="C21" s="861" t="s">
        <v>52</v>
      </c>
      <c r="D21" s="857" t="s">
        <v>606</v>
      </c>
      <c r="E21" s="845" t="s">
        <v>310</v>
      </c>
      <c r="F21" s="848"/>
      <c r="G21" s="864" t="s">
        <v>538</v>
      </c>
      <c r="H21" s="866" t="s">
        <v>577</v>
      </c>
      <c r="I21" s="845" t="s">
        <v>310</v>
      </c>
      <c r="J21" s="846"/>
    </row>
    <row r="22" spans="1:10" ht="30" customHeight="1">
      <c r="A22" s="858"/>
      <c r="B22" s="860"/>
      <c r="C22" s="862"/>
      <c r="D22" s="858"/>
      <c r="E22" s="747" t="s">
        <v>528</v>
      </c>
      <c r="F22" s="747" t="s">
        <v>529</v>
      </c>
      <c r="G22" s="865"/>
      <c r="H22" s="867"/>
      <c r="I22" s="747" t="s">
        <v>572</v>
      </c>
      <c r="J22" s="199" t="s">
        <v>578</v>
      </c>
    </row>
    <row r="23" spans="1:10" ht="12.75">
      <c r="A23" s="200">
        <v>1</v>
      </c>
      <c r="B23" s="191">
        <v>2</v>
      </c>
      <c r="C23" s="808">
        <f>B23+1</f>
        <v>3</v>
      </c>
      <c r="D23" s="202">
        <v>8</v>
      </c>
      <c r="E23" s="201">
        <v>9</v>
      </c>
      <c r="F23" s="201">
        <v>10</v>
      </c>
      <c r="G23" s="812">
        <v>7</v>
      </c>
      <c r="H23" s="811">
        <v>8</v>
      </c>
      <c r="I23" s="201">
        <v>9</v>
      </c>
      <c r="J23" s="653">
        <v>10</v>
      </c>
    </row>
    <row r="24" spans="1:10" ht="34.5" customHeight="1">
      <c r="A24" s="202" t="s">
        <v>8</v>
      </c>
      <c r="B24" s="203" t="s">
        <v>66</v>
      </c>
      <c r="C24" s="809" t="s">
        <v>54</v>
      </c>
      <c r="D24" s="656">
        <v>0.8768</v>
      </c>
      <c r="E24" s="246">
        <v>0.4558</v>
      </c>
      <c r="F24" s="246">
        <v>0.421</v>
      </c>
      <c r="G24" s="682">
        <v>0.83826</v>
      </c>
      <c r="H24" s="803">
        <v>0.8487</v>
      </c>
      <c r="I24" s="246">
        <v>0.424347</v>
      </c>
      <c r="J24" s="682">
        <v>0.4243</v>
      </c>
    </row>
    <row r="25" spans="1:10" ht="34.5" customHeight="1">
      <c r="A25" s="202" t="s">
        <v>67</v>
      </c>
      <c r="B25" s="206" t="s">
        <v>68</v>
      </c>
      <c r="C25" s="809" t="s">
        <v>54</v>
      </c>
      <c r="D25" s="655">
        <v>0</v>
      </c>
      <c r="E25" s="76">
        <v>0</v>
      </c>
      <c r="F25" s="76">
        <v>0</v>
      </c>
      <c r="G25" s="205">
        <v>0</v>
      </c>
      <c r="H25" s="802">
        <v>0</v>
      </c>
      <c r="I25" s="76">
        <v>0</v>
      </c>
      <c r="J25" s="205">
        <v>0</v>
      </c>
    </row>
    <row r="26" spans="1:10" ht="34.5" customHeight="1">
      <c r="A26" s="202" t="s">
        <v>69</v>
      </c>
      <c r="B26" s="206" t="s">
        <v>70</v>
      </c>
      <c r="C26" s="809" t="s">
        <v>54</v>
      </c>
      <c r="D26" s="655">
        <v>0</v>
      </c>
      <c r="E26" s="76">
        <v>0</v>
      </c>
      <c r="F26" s="76">
        <v>0</v>
      </c>
      <c r="G26" s="205">
        <v>0</v>
      </c>
      <c r="H26" s="802">
        <v>0</v>
      </c>
      <c r="I26" s="76">
        <v>0</v>
      </c>
      <c r="J26" s="205">
        <v>0</v>
      </c>
    </row>
    <row r="27" spans="1:10" ht="34.5" customHeight="1">
      <c r="A27" s="202" t="s">
        <v>71</v>
      </c>
      <c r="B27" s="206" t="s">
        <v>72</v>
      </c>
      <c r="C27" s="809" t="s">
        <v>54</v>
      </c>
      <c r="D27" s="655">
        <v>0</v>
      </c>
      <c r="E27" s="76">
        <v>0</v>
      </c>
      <c r="F27" s="76">
        <v>0</v>
      </c>
      <c r="G27" s="205">
        <v>0</v>
      </c>
      <c r="H27" s="802">
        <v>0</v>
      </c>
      <c r="I27" s="76">
        <v>0</v>
      </c>
      <c r="J27" s="205">
        <v>0</v>
      </c>
    </row>
    <row r="28" spans="1:10" ht="34.5" customHeight="1">
      <c r="A28" s="202" t="s">
        <v>73</v>
      </c>
      <c r="B28" s="206" t="s">
        <v>302</v>
      </c>
      <c r="C28" s="809" t="s">
        <v>54</v>
      </c>
      <c r="D28" s="656">
        <f aca="true" t="shared" si="0" ref="D28:J28">D24</f>
        <v>0.8768</v>
      </c>
      <c r="E28" s="246">
        <f t="shared" si="0"/>
        <v>0.4558</v>
      </c>
      <c r="F28" s="246">
        <f t="shared" si="0"/>
        <v>0.421</v>
      </c>
      <c r="G28" s="682">
        <f t="shared" si="0"/>
        <v>0.83826</v>
      </c>
      <c r="H28" s="803">
        <f t="shared" si="0"/>
        <v>0.8487</v>
      </c>
      <c r="I28" s="246">
        <f t="shared" si="0"/>
        <v>0.424347</v>
      </c>
      <c r="J28" s="682">
        <f t="shared" si="0"/>
        <v>0.4243</v>
      </c>
    </row>
    <row r="29" spans="1:11" ht="34.5" customHeight="1">
      <c r="A29" s="207" t="s">
        <v>12</v>
      </c>
      <c r="B29" s="208" t="s">
        <v>74</v>
      </c>
      <c r="C29" s="809" t="s">
        <v>54</v>
      </c>
      <c r="D29" s="656">
        <v>0.0196</v>
      </c>
      <c r="E29" s="246">
        <v>0.0102</v>
      </c>
      <c r="F29" s="246">
        <v>0.0094</v>
      </c>
      <c r="G29" s="682">
        <v>0.0191</v>
      </c>
      <c r="H29" s="803">
        <v>0.01892</v>
      </c>
      <c r="I29" s="246">
        <v>0.0098</v>
      </c>
      <c r="J29" s="682">
        <v>0.009147</v>
      </c>
      <c r="K29" s="209"/>
    </row>
    <row r="30" spans="1:10" ht="34.5" customHeight="1">
      <c r="A30" s="207" t="s">
        <v>14</v>
      </c>
      <c r="B30" s="208" t="s">
        <v>297</v>
      </c>
      <c r="C30" s="809" t="s">
        <v>54</v>
      </c>
      <c r="D30" s="655">
        <v>0</v>
      </c>
      <c r="E30" s="76">
        <v>0</v>
      </c>
      <c r="F30" s="76">
        <v>0</v>
      </c>
      <c r="G30" s="205">
        <v>0</v>
      </c>
      <c r="H30" s="802">
        <v>0</v>
      </c>
      <c r="I30" s="76">
        <v>0</v>
      </c>
      <c r="J30" s="205">
        <v>0</v>
      </c>
    </row>
    <row r="31" spans="1:11" ht="34.5" customHeight="1">
      <c r="A31" s="202" t="s">
        <v>22</v>
      </c>
      <c r="B31" s="210" t="s">
        <v>75</v>
      </c>
      <c r="C31" s="809" t="s">
        <v>54</v>
      </c>
      <c r="D31" s="656">
        <f aca="true" t="shared" si="1" ref="D31:J31">D24-D29</f>
        <v>0.8572000000000001</v>
      </c>
      <c r="E31" s="246">
        <f t="shared" si="1"/>
        <v>0.4456</v>
      </c>
      <c r="F31" s="246">
        <f t="shared" si="1"/>
        <v>0.41159999999999997</v>
      </c>
      <c r="G31" s="682">
        <f t="shared" si="1"/>
        <v>0.81916</v>
      </c>
      <c r="H31" s="803">
        <f t="shared" si="1"/>
        <v>0.82978</v>
      </c>
      <c r="I31" s="246">
        <f t="shared" si="1"/>
        <v>0.414547</v>
      </c>
      <c r="J31" s="682">
        <f t="shared" si="1"/>
        <v>0.415153</v>
      </c>
      <c r="K31" s="209"/>
    </row>
    <row r="32" spans="1:10" ht="34.5" customHeight="1">
      <c r="A32" s="202"/>
      <c r="B32" s="210" t="s">
        <v>76</v>
      </c>
      <c r="C32" s="809"/>
      <c r="D32" s="655"/>
      <c r="E32" s="76"/>
      <c r="F32" s="76"/>
      <c r="G32" s="205"/>
      <c r="H32" s="802"/>
      <c r="I32" s="76"/>
      <c r="J32" s="205"/>
    </row>
    <row r="33" spans="1:10" ht="34.5" customHeight="1">
      <c r="A33" s="211" t="s">
        <v>129</v>
      </c>
      <c r="B33" s="210" t="s">
        <v>77</v>
      </c>
      <c r="C33" s="809" t="s">
        <v>54</v>
      </c>
      <c r="D33" s="655">
        <v>0.79</v>
      </c>
      <c r="E33" s="76">
        <v>0.79</v>
      </c>
      <c r="F33" s="76">
        <v>0.79</v>
      </c>
      <c r="G33" s="205">
        <v>0.745</v>
      </c>
      <c r="H33" s="802">
        <v>0.75</v>
      </c>
      <c r="I33" s="76">
        <v>0.75</v>
      </c>
      <c r="J33" s="205">
        <v>0.75</v>
      </c>
    </row>
    <row r="34" spans="1:10" ht="34.5" customHeight="1">
      <c r="A34" s="202" t="s">
        <v>133</v>
      </c>
      <c r="B34" s="210" t="s">
        <v>78</v>
      </c>
      <c r="C34" s="809" t="s">
        <v>54</v>
      </c>
      <c r="D34" s="655">
        <v>0</v>
      </c>
      <c r="E34" s="76">
        <v>0</v>
      </c>
      <c r="F34" s="76">
        <v>0</v>
      </c>
      <c r="G34" s="205">
        <v>0</v>
      </c>
      <c r="H34" s="802">
        <v>0</v>
      </c>
      <c r="I34" s="76">
        <v>0</v>
      </c>
      <c r="J34" s="205">
        <v>0</v>
      </c>
    </row>
    <row r="35" spans="1:10" ht="34.5" customHeight="1" thickBot="1">
      <c r="A35" s="212" t="s">
        <v>134</v>
      </c>
      <c r="B35" s="213" t="s">
        <v>79</v>
      </c>
      <c r="C35" s="810" t="s">
        <v>54</v>
      </c>
      <c r="D35" s="807"/>
      <c r="E35" s="215"/>
      <c r="F35" s="215"/>
      <c r="G35" s="796"/>
      <c r="H35" s="804"/>
      <c r="I35" s="215"/>
      <c r="J35" s="796"/>
    </row>
    <row r="36" spans="1:10" ht="12.75">
      <c r="A36" s="186"/>
      <c r="B36" s="186"/>
      <c r="C36" s="186"/>
      <c r="D36" s="186"/>
      <c r="E36" s="186"/>
      <c r="F36" s="186"/>
      <c r="G36" s="186"/>
      <c r="H36" s="186"/>
      <c r="I36" s="186"/>
      <c r="J36" s="186"/>
    </row>
    <row r="37" spans="1:10" ht="12.75">
      <c r="A37" s="186"/>
      <c r="B37" s="186"/>
      <c r="C37" s="186"/>
      <c r="D37" s="186"/>
      <c r="E37" s="186"/>
      <c r="F37" s="186"/>
      <c r="G37" s="186"/>
      <c r="H37" s="186"/>
      <c r="I37" s="186"/>
      <c r="J37" s="186"/>
    </row>
    <row r="38" spans="1:10" ht="15.75">
      <c r="A38" s="863" t="s">
        <v>520</v>
      </c>
      <c r="B38" s="863"/>
      <c r="C38" s="863"/>
      <c r="D38" s="868" t="s">
        <v>539</v>
      </c>
      <c r="E38" s="869"/>
      <c r="F38" s="869"/>
      <c r="G38" s="869"/>
      <c r="H38" s="869"/>
      <c r="I38" s="869"/>
      <c r="J38" s="869"/>
    </row>
    <row r="39" spans="1:10" ht="12.75">
      <c r="A39" s="186"/>
      <c r="B39" s="186"/>
      <c r="C39" s="186"/>
      <c r="D39" s="186"/>
      <c r="E39" s="186"/>
      <c r="F39" s="186"/>
      <c r="G39" s="186"/>
      <c r="H39" s="186"/>
      <c r="I39" s="186"/>
      <c r="J39" s="186"/>
    </row>
    <row r="40" spans="1:10" s="216" customFormat="1" ht="15.75" customHeight="1">
      <c r="A40" s="856" t="s">
        <v>519</v>
      </c>
      <c r="B40" s="856"/>
      <c r="C40" s="856"/>
      <c r="D40" s="856"/>
      <c r="E40" s="856"/>
      <c r="F40" s="856"/>
      <c r="G40" s="856"/>
      <c r="H40" s="856"/>
      <c r="I40" s="856"/>
      <c r="J40" s="856"/>
    </row>
  </sheetData>
  <sheetProtection/>
  <mergeCells count="18">
    <mergeCell ref="A40:J40"/>
    <mergeCell ref="A21:A22"/>
    <mergeCell ref="B21:B22"/>
    <mergeCell ref="C21:C22"/>
    <mergeCell ref="D21:D22"/>
    <mergeCell ref="A38:C38"/>
    <mergeCell ref="G21:G22"/>
    <mergeCell ref="H21:H22"/>
    <mergeCell ref="D38:J38"/>
    <mergeCell ref="I21:J21"/>
    <mergeCell ref="C4:C5"/>
    <mergeCell ref="E21:F21"/>
    <mergeCell ref="A1:B1"/>
    <mergeCell ref="A2:C2"/>
    <mergeCell ref="B4:B5"/>
    <mergeCell ref="A4:A5"/>
    <mergeCell ref="A20:E20"/>
    <mergeCell ref="A19:C19"/>
  </mergeCells>
  <printOptions horizontalCentered="1"/>
  <pageMargins left="0.3937007874015748" right="0.2755905511811024" top="0.3937007874015748" bottom="0" header="0" footer="0"/>
  <pageSetup blackAndWhite="1" fitToHeight="1" fitToWidth="1"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G66"/>
  <sheetViews>
    <sheetView showGridLines="0" view="pageBreakPreview" zoomScaleSheetLayoutView="100" zoomScalePageLayoutView="0" workbookViewId="0" topLeftCell="A1">
      <selection activeCell="M8" sqref="M8"/>
    </sheetView>
  </sheetViews>
  <sheetFormatPr defaultColWidth="9.00390625" defaultRowHeight="12.75"/>
  <cols>
    <col min="2" max="2" width="14.125" style="0" customWidth="1"/>
    <col min="3" max="4" width="12.625" style="0" customWidth="1"/>
    <col min="5" max="5" width="13.875" style="0" customWidth="1"/>
    <col min="6" max="6" width="15.625" style="0" customWidth="1"/>
    <col min="7" max="7" width="16.375" style="0" customWidth="1"/>
    <col min="10" max="10" width="6.875" style="0" customWidth="1"/>
  </cols>
  <sheetData>
    <row r="1" spans="4:7" ht="12.75">
      <c r="D1" s="1088" t="s">
        <v>479</v>
      </c>
      <c r="E1" s="1088"/>
      <c r="G1" s="5" t="s">
        <v>215</v>
      </c>
    </row>
    <row r="2" spans="1:7" ht="25.5">
      <c r="A2" s="1095" t="s">
        <v>546</v>
      </c>
      <c r="B2" s="1096"/>
      <c r="C2" s="1096"/>
      <c r="D2" s="1096"/>
      <c r="G2" s="5"/>
    </row>
    <row r="4" spans="1:7" ht="24.75" customHeight="1">
      <c r="A4" s="1098" t="s">
        <v>216</v>
      </c>
      <c r="B4" s="1098"/>
      <c r="C4" s="1098"/>
      <c r="D4" s="1098"/>
      <c r="E4" s="1098"/>
      <c r="F4" s="1098"/>
      <c r="G4" s="1098"/>
    </row>
    <row r="5" spans="1:7" ht="12.75">
      <c r="A5" s="10"/>
      <c r="B5" s="10"/>
      <c r="C5" s="10"/>
      <c r="D5" s="10"/>
      <c r="E5" s="10"/>
      <c r="F5" s="10"/>
      <c r="G5" s="10"/>
    </row>
    <row r="6" spans="1:7" ht="37.5" customHeight="1">
      <c r="A6" s="1099" t="s">
        <v>217</v>
      </c>
      <c r="B6" s="1099"/>
      <c r="C6" s="1099"/>
      <c r="D6" s="1099"/>
      <c r="E6" s="1099"/>
      <c r="F6" s="1099"/>
      <c r="G6" s="1099"/>
    </row>
    <row r="7" ht="15.75">
      <c r="B7" s="1"/>
    </row>
    <row r="8" spans="1:7" ht="63.75">
      <c r="A8" s="1089"/>
      <c r="B8" s="1093" t="s">
        <v>218</v>
      </c>
      <c r="C8" s="1093" t="s">
        <v>219</v>
      </c>
      <c r="D8" s="1093" t="s">
        <v>220</v>
      </c>
      <c r="E8" s="6" t="s">
        <v>221</v>
      </c>
      <c r="F8" s="6" t="s">
        <v>222</v>
      </c>
      <c r="G8" s="6" t="s">
        <v>223</v>
      </c>
    </row>
    <row r="9" spans="1:7" ht="12.75">
      <c r="A9" s="1090"/>
      <c r="B9" s="1094"/>
      <c r="C9" s="1094"/>
      <c r="D9" s="1094"/>
      <c r="E9" s="6" t="s">
        <v>224</v>
      </c>
      <c r="F9" s="6" t="s">
        <v>100</v>
      </c>
      <c r="G9" s="6" t="s">
        <v>225</v>
      </c>
    </row>
    <row r="10" spans="1:7" ht="12.75">
      <c r="A10" s="4">
        <v>1</v>
      </c>
      <c r="B10" s="4">
        <f>+A10+1</f>
        <v>2</v>
      </c>
      <c r="C10" s="4">
        <f>+B10+1</f>
        <v>3</v>
      </c>
      <c r="D10" s="4">
        <f>+C10+1</f>
        <v>4</v>
      </c>
      <c r="E10" s="4">
        <f>+D10+1</f>
        <v>5</v>
      </c>
      <c r="F10" s="4">
        <f>+E10+1</f>
        <v>6</v>
      </c>
      <c r="G10" s="4" t="s">
        <v>226</v>
      </c>
    </row>
    <row r="11" spans="1:7" ht="12.75">
      <c r="A11" s="1092" t="s">
        <v>227</v>
      </c>
      <c r="B11" s="14">
        <v>1150</v>
      </c>
      <c r="C11" s="4" t="s">
        <v>56</v>
      </c>
      <c r="D11" s="6" t="s">
        <v>228</v>
      </c>
      <c r="E11" s="4">
        <v>800</v>
      </c>
      <c r="F11" s="4"/>
      <c r="G11" s="15">
        <f aca="true" t="shared" si="0" ref="G11:G30">E11*F11/100</f>
        <v>0</v>
      </c>
    </row>
    <row r="12" spans="1:7" ht="12.75">
      <c r="A12" s="1092"/>
      <c r="B12" s="14">
        <v>750</v>
      </c>
      <c r="C12" s="4">
        <v>1</v>
      </c>
      <c r="D12" s="6" t="s">
        <v>228</v>
      </c>
      <c r="E12" s="4">
        <v>600</v>
      </c>
      <c r="F12" s="4"/>
      <c r="G12" s="15">
        <f t="shared" si="0"/>
        <v>0</v>
      </c>
    </row>
    <row r="13" spans="1:7" ht="12.75">
      <c r="A13" s="1092"/>
      <c r="B13" s="1097" t="s">
        <v>229</v>
      </c>
      <c r="C13" s="1100">
        <v>1</v>
      </c>
      <c r="D13" s="6" t="s">
        <v>228</v>
      </c>
      <c r="E13" s="4">
        <v>400</v>
      </c>
      <c r="F13" s="4"/>
      <c r="G13" s="15">
        <f t="shared" si="0"/>
        <v>0</v>
      </c>
    </row>
    <row r="14" spans="1:7" ht="12.75">
      <c r="A14" s="1092"/>
      <c r="B14" s="1097"/>
      <c r="C14" s="1100"/>
      <c r="D14" s="6" t="s">
        <v>230</v>
      </c>
      <c r="E14" s="4">
        <v>300</v>
      </c>
      <c r="F14" s="4"/>
      <c r="G14" s="15">
        <f t="shared" si="0"/>
        <v>0</v>
      </c>
    </row>
    <row r="15" spans="1:7" ht="12.75">
      <c r="A15" s="1092"/>
      <c r="B15" s="1097">
        <v>330</v>
      </c>
      <c r="C15" s="1100">
        <v>1</v>
      </c>
      <c r="D15" s="6" t="s">
        <v>228</v>
      </c>
      <c r="E15" s="4">
        <v>230</v>
      </c>
      <c r="F15" s="4"/>
      <c r="G15" s="15">
        <f t="shared" si="0"/>
        <v>0</v>
      </c>
    </row>
    <row r="16" spans="1:7" ht="12.75">
      <c r="A16" s="1092"/>
      <c r="B16" s="1097"/>
      <c r="C16" s="1100"/>
      <c r="D16" s="6" t="s">
        <v>230</v>
      </c>
      <c r="E16" s="4">
        <v>170</v>
      </c>
      <c r="F16" s="4"/>
      <c r="G16" s="15">
        <f t="shared" si="0"/>
        <v>0</v>
      </c>
    </row>
    <row r="17" spans="1:7" ht="12.75">
      <c r="A17" s="1092"/>
      <c r="B17" s="1097"/>
      <c r="C17" s="1100">
        <v>2</v>
      </c>
      <c r="D17" s="6" t="s">
        <v>228</v>
      </c>
      <c r="E17" s="4">
        <v>290</v>
      </c>
      <c r="F17" s="4"/>
      <c r="G17" s="15">
        <f t="shared" si="0"/>
        <v>0</v>
      </c>
    </row>
    <row r="18" spans="1:7" ht="12.75">
      <c r="A18" s="1092"/>
      <c r="B18" s="1097"/>
      <c r="C18" s="1100"/>
      <c r="D18" s="6" t="s">
        <v>230</v>
      </c>
      <c r="E18" s="4">
        <v>210</v>
      </c>
      <c r="F18" s="4"/>
      <c r="G18" s="15">
        <f t="shared" si="0"/>
        <v>0</v>
      </c>
    </row>
    <row r="19" spans="1:7" ht="12.75">
      <c r="A19" s="1092"/>
      <c r="B19" s="1091">
        <v>220</v>
      </c>
      <c r="C19" s="1092">
        <v>1</v>
      </c>
      <c r="D19" s="6" t="s">
        <v>231</v>
      </c>
      <c r="E19" s="3">
        <v>260</v>
      </c>
      <c r="F19" s="3"/>
      <c r="G19" s="15">
        <f t="shared" si="0"/>
        <v>0</v>
      </c>
    </row>
    <row r="20" spans="1:7" ht="12.75">
      <c r="A20" s="1092"/>
      <c r="B20" s="1091"/>
      <c r="C20" s="1092"/>
      <c r="D20" s="6" t="s">
        <v>228</v>
      </c>
      <c r="E20" s="3">
        <v>210</v>
      </c>
      <c r="F20" s="3"/>
      <c r="G20" s="15">
        <f t="shared" si="0"/>
        <v>0</v>
      </c>
    </row>
    <row r="21" spans="1:7" ht="12.75">
      <c r="A21" s="1092"/>
      <c r="B21" s="1091"/>
      <c r="C21" s="1092"/>
      <c r="D21" s="6" t="s">
        <v>230</v>
      </c>
      <c r="E21" s="3">
        <v>140</v>
      </c>
      <c r="F21" s="3"/>
      <c r="G21" s="15">
        <f t="shared" si="0"/>
        <v>0</v>
      </c>
    </row>
    <row r="22" spans="1:7" ht="12.75">
      <c r="A22" s="1092"/>
      <c r="B22" s="1091"/>
      <c r="C22" s="1092">
        <v>2</v>
      </c>
      <c r="D22" s="6" t="s">
        <v>228</v>
      </c>
      <c r="E22" s="3">
        <v>270</v>
      </c>
      <c r="F22" s="3"/>
      <c r="G22" s="15">
        <f t="shared" si="0"/>
        <v>0</v>
      </c>
    </row>
    <row r="23" spans="1:7" ht="12.75">
      <c r="A23" s="1092"/>
      <c r="B23" s="1091"/>
      <c r="C23" s="1092"/>
      <c r="D23" s="6" t="s">
        <v>230</v>
      </c>
      <c r="E23" s="3">
        <v>180</v>
      </c>
      <c r="F23" s="3"/>
      <c r="G23" s="15">
        <f t="shared" si="0"/>
        <v>0</v>
      </c>
    </row>
    <row r="24" spans="1:7" ht="12.75">
      <c r="A24" s="1092"/>
      <c r="B24" s="1091" t="s">
        <v>232</v>
      </c>
      <c r="C24" s="1092">
        <v>1</v>
      </c>
      <c r="D24" s="6" t="s">
        <v>231</v>
      </c>
      <c r="E24" s="3">
        <v>180</v>
      </c>
      <c r="F24" s="3"/>
      <c r="G24" s="15">
        <f t="shared" si="0"/>
        <v>0</v>
      </c>
    </row>
    <row r="25" spans="1:7" ht="12.75">
      <c r="A25" s="1092"/>
      <c r="B25" s="1091"/>
      <c r="C25" s="1092"/>
      <c r="D25" s="6" t="s">
        <v>228</v>
      </c>
      <c r="E25" s="3">
        <v>160</v>
      </c>
      <c r="F25" s="3"/>
      <c r="G25" s="15">
        <f t="shared" si="0"/>
        <v>0</v>
      </c>
    </row>
    <row r="26" spans="1:7" ht="12.75">
      <c r="A26" s="1092"/>
      <c r="B26" s="1091"/>
      <c r="C26" s="1092"/>
      <c r="D26" s="6" t="s">
        <v>230</v>
      </c>
      <c r="E26" s="3">
        <v>130</v>
      </c>
      <c r="F26" s="3"/>
      <c r="G26" s="15">
        <f t="shared" si="0"/>
        <v>0</v>
      </c>
    </row>
    <row r="27" spans="1:7" ht="12.75">
      <c r="A27" s="1092"/>
      <c r="B27" s="1091"/>
      <c r="C27" s="1092">
        <v>2</v>
      </c>
      <c r="D27" s="6" t="s">
        <v>228</v>
      </c>
      <c r="E27" s="3">
        <v>190</v>
      </c>
      <c r="F27" s="3"/>
      <c r="G27" s="15">
        <f t="shared" si="0"/>
        <v>0</v>
      </c>
    </row>
    <row r="28" spans="1:7" ht="12.75">
      <c r="A28" s="1092"/>
      <c r="B28" s="1091"/>
      <c r="C28" s="1092"/>
      <c r="D28" s="6" t="s">
        <v>230</v>
      </c>
      <c r="E28" s="3">
        <v>160</v>
      </c>
      <c r="F28" s="3"/>
      <c r="G28" s="15">
        <f t="shared" si="0"/>
        <v>0</v>
      </c>
    </row>
    <row r="29" spans="1:7" ht="12.75">
      <c r="A29" s="1092" t="s">
        <v>233</v>
      </c>
      <c r="B29" s="16">
        <v>220</v>
      </c>
      <c r="C29" s="4" t="s">
        <v>56</v>
      </c>
      <c r="D29" s="4" t="s">
        <v>56</v>
      </c>
      <c r="E29" s="3">
        <v>3000</v>
      </c>
      <c r="F29" s="3"/>
      <c r="G29" s="15">
        <f t="shared" si="0"/>
        <v>0</v>
      </c>
    </row>
    <row r="30" spans="1:7" ht="12.75">
      <c r="A30" s="1092"/>
      <c r="B30" s="16">
        <v>110</v>
      </c>
      <c r="C30" s="4" t="s">
        <v>56</v>
      </c>
      <c r="D30" s="4" t="s">
        <v>56</v>
      </c>
      <c r="E30" s="3">
        <v>2300</v>
      </c>
      <c r="F30" s="3"/>
      <c r="G30" s="15">
        <f t="shared" si="0"/>
        <v>0</v>
      </c>
    </row>
    <row r="31" spans="1:7" ht="12.75">
      <c r="A31" s="1102" t="s">
        <v>234</v>
      </c>
      <c r="B31" s="1103"/>
      <c r="C31" s="1103"/>
      <c r="D31" s="1103"/>
      <c r="E31" s="1103"/>
      <c r="F31" s="1104"/>
      <c r="G31" s="15">
        <f>SUM(G11:G30)</f>
        <v>0</v>
      </c>
    </row>
    <row r="32" spans="1:7" ht="12.75">
      <c r="A32" s="1101" t="s">
        <v>227</v>
      </c>
      <c r="B32" s="1105">
        <v>35</v>
      </c>
      <c r="C32" s="1101">
        <v>1</v>
      </c>
      <c r="D32" s="6" t="s">
        <v>231</v>
      </c>
      <c r="E32" s="3">
        <v>170</v>
      </c>
      <c r="F32" s="3"/>
      <c r="G32" s="15">
        <f aca="true" t="shared" si="1" ref="G32:G41">E32*F32/100</f>
        <v>0</v>
      </c>
    </row>
    <row r="33" spans="1:7" ht="12.75">
      <c r="A33" s="1101"/>
      <c r="B33" s="1105"/>
      <c r="C33" s="1101"/>
      <c r="D33" s="6" t="s">
        <v>228</v>
      </c>
      <c r="E33" s="3">
        <v>140</v>
      </c>
      <c r="F33" s="3"/>
      <c r="G33" s="15">
        <f t="shared" si="1"/>
        <v>0</v>
      </c>
    </row>
    <row r="34" spans="1:7" ht="12.75">
      <c r="A34" s="1101"/>
      <c r="B34" s="1105"/>
      <c r="C34" s="1101"/>
      <c r="D34" s="6" t="s">
        <v>230</v>
      </c>
      <c r="E34" s="3">
        <v>120</v>
      </c>
      <c r="F34" s="3"/>
      <c r="G34" s="15">
        <f t="shared" si="1"/>
        <v>0</v>
      </c>
    </row>
    <row r="35" spans="1:7" ht="12.75">
      <c r="A35" s="1101"/>
      <c r="B35" s="1105"/>
      <c r="C35" s="1101">
        <v>2</v>
      </c>
      <c r="D35" s="6" t="s">
        <v>228</v>
      </c>
      <c r="E35" s="3">
        <v>180</v>
      </c>
      <c r="F35" s="3"/>
      <c r="G35" s="15">
        <f t="shared" si="1"/>
        <v>0</v>
      </c>
    </row>
    <row r="36" spans="1:7" ht="12.75">
      <c r="A36" s="1101"/>
      <c r="B36" s="1105"/>
      <c r="C36" s="1101"/>
      <c r="D36" s="6" t="s">
        <v>230</v>
      </c>
      <c r="E36" s="3">
        <v>150</v>
      </c>
      <c r="F36" s="3"/>
      <c r="G36" s="15">
        <f t="shared" si="1"/>
        <v>0</v>
      </c>
    </row>
    <row r="37" spans="1:7" ht="12.75">
      <c r="A37" s="1101"/>
      <c r="B37" s="1106" t="s">
        <v>235</v>
      </c>
      <c r="C37" s="1100" t="s">
        <v>56</v>
      </c>
      <c r="D37" s="3" t="s">
        <v>231</v>
      </c>
      <c r="E37" s="3">
        <v>160</v>
      </c>
      <c r="F37" s="3"/>
      <c r="G37" s="15">
        <f t="shared" si="1"/>
        <v>0</v>
      </c>
    </row>
    <row r="38" spans="1:7" ht="38.25">
      <c r="A38" s="1101"/>
      <c r="B38" s="1106"/>
      <c r="C38" s="1100"/>
      <c r="D38" s="8" t="s">
        <v>236</v>
      </c>
      <c r="E38" s="3">
        <v>140</v>
      </c>
      <c r="F38" s="3"/>
      <c r="G38" s="15">
        <f t="shared" si="1"/>
        <v>0</v>
      </c>
    </row>
    <row r="39" spans="1:7" ht="25.5">
      <c r="A39" s="1101"/>
      <c r="B39" s="1106"/>
      <c r="C39" s="1100"/>
      <c r="D39" s="8" t="s">
        <v>237</v>
      </c>
      <c r="E39" s="3">
        <v>110</v>
      </c>
      <c r="F39" s="3"/>
      <c r="G39" s="15">
        <f t="shared" si="1"/>
        <v>0</v>
      </c>
    </row>
    <row r="40" spans="1:7" ht="12.75">
      <c r="A40" s="1092" t="s">
        <v>233</v>
      </c>
      <c r="B40" s="16" t="s">
        <v>238</v>
      </c>
      <c r="C40" s="4" t="s">
        <v>56</v>
      </c>
      <c r="D40" s="4" t="s">
        <v>56</v>
      </c>
      <c r="E40" s="3">
        <v>470</v>
      </c>
      <c r="F40" s="3"/>
      <c r="G40" s="15">
        <f t="shared" si="1"/>
        <v>0</v>
      </c>
    </row>
    <row r="41" spans="1:7" ht="12.75">
      <c r="A41" s="1107"/>
      <c r="B41" s="18" t="s">
        <v>239</v>
      </c>
      <c r="C41" s="19" t="s">
        <v>56</v>
      </c>
      <c r="D41" s="19" t="s">
        <v>56</v>
      </c>
      <c r="E41" s="11">
        <v>350</v>
      </c>
      <c r="F41" s="11">
        <v>3.42</v>
      </c>
      <c r="G41" s="15">
        <f t="shared" si="1"/>
        <v>11.97</v>
      </c>
    </row>
    <row r="42" spans="1:7" ht="12.75">
      <c r="A42" s="1102" t="s">
        <v>240</v>
      </c>
      <c r="B42" s="1103"/>
      <c r="C42" s="1103"/>
      <c r="D42" s="1103"/>
      <c r="E42" s="1103"/>
      <c r="F42" s="1104"/>
      <c r="G42" s="20">
        <f>SUM(G32:G41)</f>
        <v>11.97</v>
      </c>
    </row>
    <row r="43" spans="1:7" ht="12.75">
      <c r="A43" s="1102" t="s">
        <v>241</v>
      </c>
      <c r="B43" s="1103"/>
      <c r="C43" s="1103"/>
      <c r="D43" s="1103"/>
      <c r="E43" s="1103"/>
      <c r="F43" s="1104"/>
      <c r="G43" s="20">
        <f>G32+G33+G34+G35+G36+G40</f>
        <v>0</v>
      </c>
    </row>
    <row r="44" spans="1:7" ht="12.75">
      <c r="A44" s="1102" t="s">
        <v>242</v>
      </c>
      <c r="B44" s="1103"/>
      <c r="C44" s="1103"/>
      <c r="D44" s="1103"/>
      <c r="E44" s="1103"/>
      <c r="F44" s="1104"/>
      <c r="G44" s="20">
        <f>G37+G38+G39+G41</f>
        <v>11.97</v>
      </c>
    </row>
    <row r="45" spans="1:7" ht="12.75">
      <c r="A45" s="21"/>
      <c r="B45" s="22"/>
      <c r="C45" s="23"/>
      <c r="D45" s="23"/>
      <c r="E45" s="24"/>
      <c r="F45" s="24"/>
      <c r="G45" s="24"/>
    </row>
    <row r="46" spans="1:7" ht="12.75">
      <c r="A46" s="21"/>
      <c r="B46" s="22"/>
      <c r="C46" s="23"/>
      <c r="D46" s="23"/>
      <c r="E46" s="24"/>
      <c r="F46" s="24"/>
      <c r="G46" s="24"/>
    </row>
    <row r="47" spans="1:7" ht="12.75">
      <c r="A47" s="21"/>
      <c r="B47" s="22"/>
      <c r="C47" s="23"/>
      <c r="D47" s="23"/>
      <c r="E47" s="24"/>
      <c r="F47" s="24"/>
      <c r="G47" s="24"/>
    </row>
    <row r="48" spans="1:7" ht="12.75">
      <c r="A48" s="21"/>
      <c r="B48" s="22"/>
      <c r="C48" s="23"/>
      <c r="D48" s="23"/>
      <c r="E48" s="24"/>
      <c r="F48" s="24"/>
      <c r="G48" s="24"/>
    </row>
    <row r="49" spans="1:7" ht="12.75">
      <c r="A49" s="21"/>
      <c r="B49" s="22"/>
      <c r="C49" s="23"/>
      <c r="D49" s="23"/>
      <c r="E49" s="24"/>
      <c r="F49" s="24"/>
      <c r="G49" s="24"/>
    </row>
    <row r="50" spans="1:7" ht="12.75">
      <c r="A50" s="21"/>
      <c r="B50" s="22"/>
      <c r="C50" s="23"/>
      <c r="D50" s="23"/>
      <c r="E50" s="24"/>
      <c r="F50" s="24"/>
      <c r="G50" s="5" t="s">
        <v>243</v>
      </c>
    </row>
    <row r="51" spans="1:7" ht="12.75">
      <c r="A51" s="21"/>
      <c r="B51" s="22"/>
      <c r="C51" s="23"/>
      <c r="D51" s="23"/>
      <c r="E51" s="24"/>
      <c r="F51" s="24"/>
      <c r="G51" s="24"/>
    </row>
    <row r="52" spans="1:7" ht="12.75">
      <c r="A52" s="4">
        <v>1</v>
      </c>
      <c r="B52" s="4">
        <f>+A52+1</f>
        <v>2</v>
      </c>
      <c r="C52" s="4">
        <f>+B52+1</f>
        <v>3</v>
      </c>
      <c r="D52" s="4">
        <f>+C52+1</f>
        <v>4</v>
      </c>
      <c r="E52" s="4">
        <f>+D52+1</f>
        <v>5</v>
      </c>
      <c r="F52" s="4">
        <f>+E52+1</f>
        <v>6</v>
      </c>
      <c r="G52" s="4">
        <v>7</v>
      </c>
    </row>
    <row r="53" spans="1:7" ht="12.75">
      <c r="A53" s="1101" t="s">
        <v>227</v>
      </c>
      <c r="B53" s="1111" t="s">
        <v>244</v>
      </c>
      <c r="C53" s="1101" t="s">
        <v>56</v>
      </c>
      <c r="D53" s="3" t="s">
        <v>231</v>
      </c>
      <c r="E53" s="3">
        <v>260</v>
      </c>
      <c r="F53" s="3"/>
      <c r="G53" s="20">
        <f>E53*F53/100</f>
        <v>0</v>
      </c>
    </row>
    <row r="54" spans="1:7" ht="38.25">
      <c r="A54" s="1101"/>
      <c r="B54" s="1111"/>
      <c r="C54" s="1101"/>
      <c r="D54" s="8" t="s">
        <v>236</v>
      </c>
      <c r="E54" s="3">
        <v>220</v>
      </c>
      <c r="F54" s="3"/>
      <c r="G54" s="20">
        <f>E54*F54/100</f>
        <v>0</v>
      </c>
    </row>
    <row r="55" spans="1:7" ht="25.5">
      <c r="A55" s="1101"/>
      <c r="B55" s="1111"/>
      <c r="C55" s="1101"/>
      <c r="D55" s="8" t="s">
        <v>237</v>
      </c>
      <c r="E55" s="3">
        <v>150</v>
      </c>
      <c r="F55" s="3"/>
      <c r="G55" s="20">
        <f>E55*F55/100</f>
        <v>0</v>
      </c>
    </row>
    <row r="56" spans="1:7" ht="12.75">
      <c r="A56" s="6" t="s">
        <v>233</v>
      </c>
      <c r="B56" s="17" t="s">
        <v>245</v>
      </c>
      <c r="C56" s="4" t="s">
        <v>56</v>
      </c>
      <c r="D56" s="4" t="s">
        <v>56</v>
      </c>
      <c r="E56" s="3">
        <v>270</v>
      </c>
      <c r="F56" s="3">
        <v>4.75</v>
      </c>
      <c r="G56" s="20">
        <f>E56*F56/100</f>
        <v>12.825</v>
      </c>
    </row>
    <row r="57" spans="1:7" ht="12.75">
      <c r="A57" s="1102" t="s">
        <v>246</v>
      </c>
      <c r="B57" s="1103"/>
      <c r="C57" s="1103"/>
      <c r="D57" s="1103"/>
      <c r="E57" s="1103"/>
      <c r="F57" s="1104"/>
      <c r="G57" s="20">
        <f>SUM(G53:G56)</f>
        <v>12.825</v>
      </c>
    </row>
    <row r="58" spans="1:7" ht="12.75">
      <c r="A58" s="25"/>
      <c r="B58" s="26"/>
      <c r="C58" s="25"/>
      <c r="D58" s="24"/>
      <c r="E58" s="24"/>
      <c r="F58" s="24"/>
      <c r="G58" s="24"/>
    </row>
    <row r="59" ht="12.75">
      <c r="B59" t="s">
        <v>247</v>
      </c>
    </row>
    <row r="60" spans="1:7" ht="24.75" customHeight="1">
      <c r="A60" s="1110" t="s">
        <v>248</v>
      </c>
      <c r="B60" s="1110"/>
      <c r="C60" s="1110"/>
      <c r="D60" s="1110"/>
      <c r="E60" s="1110"/>
      <c r="F60" s="1110"/>
      <c r="G60" s="1110"/>
    </row>
    <row r="61" spans="1:7" s="7" customFormat="1" ht="12.75" customHeight="1">
      <c r="A61" s="1108" t="s">
        <v>249</v>
      </c>
      <c r="B61" s="1108"/>
      <c r="C61" s="1108"/>
      <c r="D61" s="1108"/>
      <c r="E61" s="1108"/>
      <c r="F61" s="1108"/>
      <c r="G61" s="1108"/>
    </row>
    <row r="62" spans="1:7" s="7" customFormat="1" ht="12.75" customHeight="1">
      <c r="A62" s="1108" t="s">
        <v>250</v>
      </c>
      <c r="B62" s="1108"/>
      <c r="C62" s="1108"/>
      <c r="D62" s="1108"/>
      <c r="E62" s="1108"/>
      <c r="F62" s="1108"/>
      <c r="G62" s="1108"/>
    </row>
    <row r="63" spans="1:7" s="7" customFormat="1" ht="12.75" customHeight="1">
      <c r="A63" s="1108" t="s">
        <v>251</v>
      </c>
      <c r="B63" s="1108"/>
      <c r="C63" s="1108"/>
      <c r="D63" s="1108"/>
      <c r="E63" s="1108"/>
      <c r="F63" s="1108"/>
      <c r="G63" s="1108"/>
    </row>
    <row r="64" spans="1:7" ht="24.75" customHeight="1">
      <c r="A64" s="1110" t="s">
        <v>252</v>
      </c>
      <c r="B64" s="1110"/>
      <c r="C64" s="1110"/>
      <c r="D64" s="1110"/>
      <c r="E64" s="1110"/>
      <c r="F64" s="1110"/>
      <c r="G64" s="1110"/>
    </row>
    <row r="65" spans="1:7" ht="12.75">
      <c r="A65" s="1110" t="s">
        <v>253</v>
      </c>
      <c r="B65" s="1110"/>
      <c r="C65" s="1110"/>
      <c r="D65" s="1110"/>
      <c r="E65" s="1110"/>
      <c r="F65" s="1110"/>
      <c r="G65" s="1110"/>
    </row>
    <row r="66" spans="1:7" s="2" customFormat="1" ht="23.25" customHeight="1">
      <c r="A66" s="1109" t="s">
        <v>558</v>
      </c>
      <c r="B66" s="1109"/>
      <c r="C66" s="1109"/>
      <c r="D66" s="1109"/>
      <c r="E66" s="1109"/>
      <c r="F66" s="1109"/>
      <c r="G66" s="1109"/>
    </row>
  </sheetData>
  <sheetProtection/>
  <mergeCells count="43">
    <mergeCell ref="A66:G66"/>
    <mergeCell ref="A43:F43"/>
    <mergeCell ref="A44:F44"/>
    <mergeCell ref="A53:A55"/>
    <mergeCell ref="A60:G60"/>
    <mergeCell ref="A64:G64"/>
    <mergeCell ref="B53:B55"/>
    <mergeCell ref="A65:G65"/>
    <mergeCell ref="A63:G63"/>
    <mergeCell ref="C53:C55"/>
    <mergeCell ref="A42:F42"/>
    <mergeCell ref="B37:B39"/>
    <mergeCell ref="A57:F57"/>
    <mergeCell ref="A40:A41"/>
    <mergeCell ref="A62:G62"/>
    <mergeCell ref="A61:G61"/>
    <mergeCell ref="C37:C39"/>
    <mergeCell ref="C35:C36"/>
    <mergeCell ref="A31:F31"/>
    <mergeCell ref="A32:A39"/>
    <mergeCell ref="B32:B36"/>
    <mergeCell ref="C27:C28"/>
    <mergeCell ref="D8:D9"/>
    <mergeCell ref="C32:C34"/>
    <mergeCell ref="A29:A30"/>
    <mergeCell ref="C17:C18"/>
    <mergeCell ref="A11:A28"/>
    <mergeCell ref="B15:B18"/>
    <mergeCell ref="C19:C21"/>
    <mergeCell ref="C15:C16"/>
    <mergeCell ref="B8:B9"/>
    <mergeCell ref="C22:C23"/>
    <mergeCell ref="C13:C14"/>
    <mergeCell ref="D1:E1"/>
    <mergeCell ref="A8:A9"/>
    <mergeCell ref="B24:B28"/>
    <mergeCell ref="C24:C26"/>
    <mergeCell ref="C8:C9"/>
    <mergeCell ref="A2:D2"/>
    <mergeCell ref="B13:B14"/>
    <mergeCell ref="A4:G4"/>
    <mergeCell ref="B19:B23"/>
    <mergeCell ref="A6:G6"/>
  </mergeCells>
  <printOptions horizontalCentered="1"/>
  <pageMargins left="0.5905511811023623" right="0" top="0.984251968503937" bottom="0" header="0.5118110236220472" footer="0.5118110236220472"/>
  <pageSetup horizontalDpi="600" verticalDpi="600" orientation="portrait" paperSize="9" r:id="rId1"/>
  <rowBreaks count="1" manualBreakCount="1">
    <brk id="4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H80"/>
  <sheetViews>
    <sheetView showGridLines="0" view="pageBreakPreview" zoomScaleSheetLayoutView="100" zoomScalePageLayoutView="0" workbookViewId="0" topLeftCell="A1">
      <selection activeCell="K6" sqref="K6"/>
    </sheetView>
  </sheetViews>
  <sheetFormatPr defaultColWidth="9.00390625" defaultRowHeight="12.75"/>
  <cols>
    <col min="1" max="1" width="6.875" style="0" customWidth="1"/>
    <col min="2" max="2" width="20.875" style="0" customWidth="1"/>
    <col min="3" max="3" width="15.00390625" style="0" customWidth="1"/>
    <col min="4" max="4" width="14.00390625" style="0" customWidth="1"/>
    <col min="5" max="5" width="14.125" style="0" customWidth="1"/>
    <col min="6" max="7" width="12.625" style="0" customWidth="1"/>
  </cols>
  <sheetData>
    <row r="1" spans="3:7" ht="12.75">
      <c r="C1" s="1120" t="s">
        <v>478</v>
      </c>
      <c r="D1" s="1120"/>
      <c r="E1" s="1120"/>
      <c r="F1" s="1119" t="s">
        <v>254</v>
      </c>
      <c r="G1" s="1119"/>
    </row>
    <row r="2" spans="1:4" ht="18.75">
      <c r="A2" s="1115" t="s">
        <v>560</v>
      </c>
      <c r="B2" s="1115"/>
      <c r="C2" s="1115"/>
      <c r="D2" s="1115"/>
    </row>
    <row r="4" spans="1:7" ht="39.75" customHeight="1">
      <c r="A4" s="1098" t="s">
        <v>255</v>
      </c>
      <c r="B4" s="1098"/>
      <c r="C4" s="1098"/>
      <c r="D4" s="1098"/>
      <c r="E4" s="1098"/>
      <c r="F4" s="1098"/>
      <c r="G4" s="1098"/>
    </row>
    <row r="5" spans="1:7" ht="15.75" customHeight="1">
      <c r="A5" s="10"/>
      <c r="B5" s="1"/>
      <c r="C5" s="10"/>
      <c r="D5" s="10"/>
      <c r="E5" s="10"/>
      <c r="F5" s="10"/>
      <c r="G5" s="10"/>
    </row>
    <row r="6" spans="1:7" ht="63.75">
      <c r="A6" s="1093" t="s">
        <v>256</v>
      </c>
      <c r="B6" s="1093" t="s">
        <v>202</v>
      </c>
      <c r="C6" s="1093" t="s">
        <v>52</v>
      </c>
      <c r="D6" s="1093" t="s">
        <v>218</v>
      </c>
      <c r="E6" s="6" t="s">
        <v>257</v>
      </c>
      <c r="F6" s="6" t="s">
        <v>258</v>
      </c>
      <c r="G6" s="6" t="s">
        <v>223</v>
      </c>
    </row>
    <row r="7" spans="1:7" ht="12.75">
      <c r="A7" s="1094"/>
      <c r="B7" s="1094"/>
      <c r="C7" s="1094"/>
      <c r="D7" s="1094"/>
      <c r="E7" s="6" t="s">
        <v>259</v>
      </c>
      <c r="F7" s="6" t="s">
        <v>260</v>
      </c>
      <c r="G7" s="6" t="s">
        <v>225</v>
      </c>
    </row>
    <row r="8" spans="1:7" ht="12.75">
      <c r="A8" s="4">
        <v>1</v>
      </c>
      <c r="B8" s="4">
        <f>+A8+1</f>
        <v>2</v>
      </c>
      <c r="C8" s="4">
        <f>+B8+1</f>
        <v>3</v>
      </c>
      <c r="D8" s="4">
        <f>+C8+1</f>
        <v>4</v>
      </c>
      <c r="E8" s="4">
        <f>+D8+1</f>
        <v>5</v>
      </c>
      <c r="F8" s="4">
        <f>+E8+1</f>
        <v>6</v>
      </c>
      <c r="G8" s="4" t="s">
        <v>261</v>
      </c>
    </row>
    <row r="9" spans="1:7" ht="12.75">
      <c r="A9" s="1107">
        <v>1</v>
      </c>
      <c r="B9" s="1093" t="s">
        <v>262</v>
      </c>
      <c r="C9" s="1093" t="s">
        <v>263</v>
      </c>
      <c r="D9" s="11">
        <v>1150</v>
      </c>
      <c r="E9" s="13">
        <v>1000</v>
      </c>
      <c r="F9" s="6"/>
      <c r="G9" s="6">
        <f aca="true" t="shared" si="0" ref="G9:G43">E9*F9</f>
        <v>0</v>
      </c>
    </row>
    <row r="10" spans="1:7" ht="12.75">
      <c r="A10" s="1112"/>
      <c r="B10" s="1114"/>
      <c r="C10" s="1114"/>
      <c r="D10" s="11">
        <v>750</v>
      </c>
      <c r="E10" s="13">
        <v>600</v>
      </c>
      <c r="F10" s="6"/>
      <c r="G10" s="6">
        <f t="shared" si="0"/>
        <v>0</v>
      </c>
    </row>
    <row r="11" spans="1:7" ht="12.75">
      <c r="A11" s="1112"/>
      <c r="B11" s="1114"/>
      <c r="C11" s="1114"/>
      <c r="D11" s="6" t="s">
        <v>264</v>
      </c>
      <c r="E11" s="13">
        <v>500</v>
      </c>
      <c r="F11" s="6"/>
      <c r="G11" s="6">
        <f t="shared" si="0"/>
        <v>0</v>
      </c>
    </row>
    <row r="12" spans="1:7" ht="12.75">
      <c r="A12" s="1112"/>
      <c r="B12" s="1114"/>
      <c r="C12" s="1114"/>
      <c r="D12" s="6">
        <v>330</v>
      </c>
      <c r="E12" s="13">
        <v>250</v>
      </c>
      <c r="F12" s="6"/>
      <c r="G12" s="6">
        <f t="shared" si="0"/>
        <v>0</v>
      </c>
    </row>
    <row r="13" spans="1:7" ht="12.75">
      <c r="A13" s="1112"/>
      <c r="B13" s="1114"/>
      <c r="C13" s="1114"/>
      <c r="D13" s="6">
        <v>220</v>
      </c>
      <c r="E13" s="13">
        <v>210</v>
      </c>
      <c r="F13" s="6"/>
      <c r="G13" s="6">
        <f t="shared" si="0"/>
        <v>0</v>
      </c>
    </row>
    <row r="14" spans="1:7" ht="12.75">
      <c r="A14" s="1112"/>
      <c r="B14" s="1114"/>
      <c r="C14" s="1114"/>
      <c r="D14" s="6" t="s">
        <v>265</v>
      </c>
      <c r="E14" s="13">
        <v>105</v>
      </c>
      <c r="F14" s="6"/>
      <c r="G14" s="6">
        <f t="shared" si="0"/>
        <v>0</v>
      </c>
    </row>
    <row r="15" spans="1:7" ht="12.75">
      <c r="A15" s="1113"/>
      <c r="B15" s="1094"/>
      <c r="C15" s="1094"/>
      <c r="D15" s="6">
        <v>35</v>
      </c>
      <c r="E15" s="13">
        <v>75</v>
      </c>
      <c r="F15" s="6"/>
      <c r="G15" s="6">
        <f t="shared" si="0"/>
        <v>0</v>
      </c>
    </row>
    <row r="16" spans="1:7" ht="17.25" customHeight="1">
      <c r="A16" s="1107">
        <v>2</v>
      </c>
      <c r="B16" s="1093" t="s">
        <v>266</v>
      </c>
      <c r="C16" s="1093" t="s">
        <v>267</v>
      </c>
      <c r="D16" s="11">
        <v>1150</v>
      </c>
      <c r="E16" s="13">
        <v>60</v>
      </c>
      <c r="F16" s="6"/>
      <c r="G16" s="6">
        <f t="shared" si="0"/>
        <v>0</v>
      </c>
    </row>
    <row r="17" spans="1:7" ht="12.75">
      <c r="A17" s="1112"/>
      <c r="B17" s="1114"/>
      <c r="C17" s="1114"/>
      <c r="D17" s="11">
        <v>750</v>
      </c>
      <c r="E17" s="13">
        <v>43</v>
      </c>
      <c r="F17" s="6"/>
      <c r="G17" s="6">
        <f t="shared" si="0"/>
        <v>0</v>
      </c>
    </row>
    <row r="18" spans="1:7" ht="12.75">
      <c r="A18" s="1112"/>
      <c r="B18" s="1114"/>
      <c r="C18" s="1114"/>
      <c r="D18" s="6" t="s">
        <v>264</v>
      </c>
      <c r="E18" s="13">
        <v>28</v>
      </c>
      <c r="F18" s="6"/>
      <c r="G18" s="6">
        <f t="shared" si="0"/>
        <v>0</v>
      </c>
    </row>
    <row r="19" spans="1:7" ht="12.75">
      <c r="A19" s="1112"/>
      <c r="B19" s="1114"/>
      <c r="C19" s="1114"/>
      <c r="D19" s="6">
        <v>330</v>
      </c>
      <c r="E19" s="13">
        <v>18</v>
      </c>
      <c r="F19" s="6"/>
      <c r="G19" s="6">
        <f t="shared" si="0"/>
        <v>0</v>
      </c>
    </row>
    <row r="20" spans="1:7" ht="12.75">
      <c r="A20" s="1112"/>
      <c r="B20" s="1114"/>
      <c r="C20" s="1114"/>
      <c r="D20" s="6">
        <v>220</v>
      </c>
      <c r="E20" s="13">
        <v>14</v>
      </c>
      <c r="F20" s="6"/>
      <c r="G20" s="6">
        <f t="shared" si="0"/>
        <v>0</v>
      </c>
    </row>
    <row r="21" spans="1:7" ht="12.75">
      <c r="A21" s="1112"/>
      <c r="B21" s="1114"/>
      <c r="C21" s="1114"/>
      <c r="D21" s="6" t="s">
        <v>265</v>
      </c>
      <c r="E21" s="13">
        <v>7.8</v>
      </c>
      <c r="F21" s="6"/>
      <c r="G21" s="27">
        <f t="shared" si="0"/>
        <v>0</v>
      </c>
    </row>
    <row r="22" spans="1:7" ht="12.75">
      <c r="A22" s="1112"/>
      <c r="B22" s="1114"/>
      <c r="C22" s="1114"/>
      <c r="D22" s="6">
        <v>35</v>
      </c>
      <c r="E22" s="13">
        <v>2.1</v>
      </c>
      <c r="F22" s="6"/>
      <c r="G22" s="28">
        <f t="shared" si="0"/>
        <v>0</v>
      </c>
    </row>
    <row r="23" spans="1:7" ht="12.75">
      <c r="A23" s="1113"/>
      <c r="B23" s="1114"/>
      <c r="C23" s="1094"/>
      <c r="D23" s="29" t="s">
        <v>268</v>
      </c>
      <c r="E23" s="30">
        <v>1</v>
      </c>
      <c r="F23" s="6">
        <v>4</v>
      </c>
      <c r="G23" s="6">
        <f t="shared" si="0"/>
        <v>4</v>
      </c>
    </row>
    <row r="24" spans="1:7" ht="25.5" customHeight="1">
      <c r="A24" s="1107">
        <v>3</v>
      </c>
      <c r="B24" s="1093" t="s">
        <v>269</v>
      </c>
      <c r="C24" s="1093" t="s">
        <v>270</v>
      </c>
      <c r="D24" s="11">
        <v>1150</v>
      </c>
      <c r="E24" s="6">
        <v>180</v>
      </c>
      <c r="F24" s="6"/>
      <c r="G24" s="6">
        <f t="shared" si="0"/>
        <v>0</v>
      </c>
    </row>
    <row r="25" spans="1:7" ht="12.75">
      <c r="A25" s="1112"/>
      <c r="B25" s="1114"/>
      <c r="C25" s="1114"/>
      <c r="D25" s="11">
        <v>750</v>
      </c>
      <c r="E25" s="6">
        <v>130</v>
      </c>
      <c r="F25" s="6"/>
      <c r="G25" s="6">
        <f t="shared" si="0"/>
        <v>0</v>
      </c>
    </row>
    <row r="26" spans="1:7" ht="12.75">
      <c r="A26" s="1112"/>
      <c r="B26" s="1114"/>
      <c r="C26" s="1114"/>
      <c r="D26" s="6" t="s">
        <v>264</v>
      </c>
      <c r="E26" s="13">
        <v>88</v>
      </c>
      <c r="F26" s="6"/>
      <c r="G26" s="6">
        <f t="shared" si="0"/>
        <v>0</v>
      </c>
    </row>
    <row r="27" spans="1:7" ht="12.75">
      <c r="A27" s="1112"/>
      <c r="B27" s="1114"/>
      <c r="C27" s="1114"/>
      <c r="D27" s="6">
        <v>330</v>
      </c>
      <c r="E27" s="13">
        <v>66</v>
      </c>
      <c r="F27" s="6"/>
      <c r="G27" s="6">
        <f t="shared" si="0"/>
        <v>0</v>
      </c>
    </row>
    <row r="28" spans="1:7" ht="12.75">
      <c r="A28" s="1112"/>
      <c r="B28" s="1114"/>
      <c r="C28" s="1114"/>
      <c r="D28" s="6">
        <v>220</v>
      </c>
      <c r="E28" s="13">
        <v>43</v>
      </c>
      <c r="F28" s="6"/>
      <c r="G28" s="6">
        <f t="shared" si="0"/>
        <v>0</v>
      </c>
    </row>
    <row r="29" spans="1:7" ht="12.75">
      <c r="A29" s="1112"/>
      <c r="B29" s="1114"/>
      <c r="C29" s="1114"/>
      <c r="D29" s="6" t="s">
        <v>265</v>
      </c>
      <c r="E29" s="13">
        <v>26</v>
      </c>
      <c r="F29" s="6"/>
      <c r="G29" s="6">
        <f t="shared" si="0"/>
        <v>0</v>
      </c>
    </row>
    <row r="30" spans="1:7" ht="12.75">
      <c r="A30" s="1112"/>
      <c r="B30" s="1114"/>
      <c r="C30" s="1114"/>
      <c r="D30" s="6">
        <v>35</v>
      </c>
      <c r="E30" s="13">
        <v>11</v>
      </c>
      <c r="F30" s="6"/>
      <c r="G30" s="6">
        <f t="shared" si="0"/>
        <v>0</v>
      </c>
    </row>
    <row r="31" spans="1:7" ht="12.75">
      <c r="A31" s="1113"/>
      <c r="B31" s="1114"/>
      <c r="C31" s="1094"/>
      <c r="D31" s="29" t="s">
        <v>268</v>
      </c>
      <c r="E31" s="13">
        <v>5.5</v>
      </c>
      <c r="F31" s="6">
        <v>4</v>
      </c>
      <c r="G31" s="6">
        <f t="shared" si="0"/>
        <v>22</v>
      </c>
    </row>
    <row r="32" spans="1:7" ht="25.5" customHeight="1">
      <c r="A32" s="1107">
        <v>4</v>
      </c>
      <c r="B32" s="1093" t="s">
        <v>271</v>
      </c>
      <c r="C32" s="1093" t="s">
        <v>201</v>
      </c>
      <c r="D32" s="6">
        <v>220</v>
      </c>
      <c r="E32" s="6">
        <v>23</v>
      </c>
      <c r="F32" s="6"/>
      <c r="G32" s="6">
        <f t="shared" si="0"/>
        <v>0</v>
      </c>
    </row>
    <row r="33" spans="1:7" ht="12.75">
      <c r="A33" s="1112"/>
      <c r="B33" s="1114"/>
      <c r="C33" s="1114"/>
      <c r="D33" s="6" t="s">
        <v>265</v>
      </c>
      <c r="E33" s="6">
        <v>14</v>
      </c>
      <c r="F33" s="6"/>
      <c r="G33" s="6">
        <f t="shared" si="0"/>
        <v>0</v>
      </c>
    </row>
    <row r="34" spans="1:7" ht="12.75">
      <c r="A34" s="1112"/>
      <c r="B34" s="1114"/>
      <c r="C34" s="1114"/>
      <c r="D34" s="6">
        <v>35</v>
      </c>
      <c r="E34" s="6">
        <v>6.4</v>
      </c>
      <c r="F34" s="6"/>
      <c r="G34" s="27">
        <f t="shared" si="0"/>
        <v>0</v>
      </c>
    </row>
    <row r="35" spans="1:7" ht="12.75">
      <c r="A35" s="1113"/>
      <c r="B35" s="1094"/>
      <c r="C35" s="1094"/>
      <c r="D35" s="29" t="s">
        <v>268</v>
      </c>
      <c r="E35" s="6">
        <v>3.1</v>
      </c>
      <c r="F35" s="6">
        <v>0</v>
      </c>
      <c r="G35" s="27">
        <f t="shared" si="0"/>
        <v>0</v>
      </c>
    </row>
    <row r="36" spans="1:7" ht="43.5" customHeight="1">
      <c r="A36" s="1107">
        <v>5</v>
      </c>
      <c r="B36" s="1093" t="s">
        <v>272</v>
      </c>
      <c r="C36" s="1093" t="s">
        <v>267</v>
      </c>
      <c r="D36" s="6" t="s">
        <v>264</v>
      </c>
      <c r="E36" s="13">
        <v>35</v>
      </c>
      <c r="F36" s="6"/>
      <c r="G36" s="28">
        <f t="shared" si="0"/>
        <v>0</v>
      </c>
    </row>
    <row r="37" spans="1:7" ht="12.75" customHeight="1">
      <c r="A37" s="1112"/>
      <c r="B37" s="1114"/>
      <c r="C37" s="1114"/>
      <c r="D37" s="6">
        <v>330</v>
      </c>
      <c r="E37" s="6">
        <v>24</v>
      </c>
      <c r="F37" s="6"/>
      <c r="G37" s="28">
        <f t="shared" si="0"/>
        <v>0</v>
      </c>
    </row>
    <row r="38" spans="1:7" ht="12.75" customHeight="1">
      <c r="A38" s="1112"/>
      <c r="B38" s="1114"/>
      <c r="C38" s="1114"/>
      <c r="D38" s="6">
        <v>220</v>
      </c>
      <c r="E38" s="6">
        <v>19</v>
      </c>
      <c r="F38" s="6"/>
      <c r="G38" s="28">
        <f t="shared" si="0"/>
        <v>0</v>
      </c>
    </row>
    <row r="39" spans="1:7" ht="12.75" customHeight="1">
      <c r="A39" s="1112"/>
      <c r="B39" s="1114"/>
      <c r="C39" s="1114"/>
      <c r="D39" s="6" t="s">
        <v>265</v>
      </c>
      <c r="E39" s="6">
        <v>9.5</v>
      </c>
      <c r="F39" s="6"/>
      <c r="G39" s="27">
        <f t="shared" si="0"/>
        <v>0</v>
      </c>
    </row>
    <row r="40" spans="1:7" ht="12.75" customHeight="1">
      <c r="A40" s="1112"/>
      <c r="B40" s="1094"/>
      <c r="C40" s="1094"/>
      <c r="D40" s="6">
        <v>35</v>
      </c>
      <c r="E40" s="6">
        <v>4.7</v>
      </c>
      <c r="F40" s="6"/>
      <c r="G40" s="28">
        <f t="shared" si="0"/>
        <v>0</v>
      </c>
    </row>
    <row r="41" spans="1:7" ht="25.5">
      <c r="A41" s="13">
        <v>6</v>
      </c>
      <c r="B41" s="6" t="s">
        <v>273</v>
      </c>
      <c r="C41" s="6" t="s">
        <v>201</v>
      </c>
      <c r="D41" s="31" t="s">
        <v>268</v>
      </c>
      <c r="E41" s="6">
        <v>2.3</v>
      </c>
      <c r="F41" s="6"/>
      <c r="G41" s="28">
        <f t="shared" si="0"/>
        <v>0</v>
      </c>
    </row>
    <row r="42" spans="1:7" ht="38.25">
      <c r="A42" s="13">
        <v>7</v>
      </c>
      <c r="B42" s="6" t="s">
        <v>274</v>
      </c>
      <c r="C42" s="6" t="s">
        <v>201</v>
      </c>
      <c r="D42" s="31" t="s">
        <v>268</v>
      </c>
      <c r="E42" s="6">
        <v>26</v>
      </c>
      <c r="F42" s="6"/>
      <c r="G42" s="6">
        <f t="shared" si="0"/>
        <v>0</v>
      </c>
    </row>
    <row r="43" spans="1:7" ht="25.5">
      <c r="A43" s="13">
        <v>8</v>
      </c>
      <c r="B43" s="6" t="s">
        <v>275</v>
      </c>
      <c r="C43" s="6" t="s">
        <v>201</v>
      </c>
      <c r="D43" s="31" t="s">
        <v>268</v>
      </c>
      <c r="E43" s="6">
        <v>48</v>
      </c>
      <c r="F43" s="6"/>
      <c r="G43" s="6">
        <f t="shared" si="0"/>
        <v>0</v>
      </c>
    </row>
    <row r="44" spans="1:7" ht="12.75">
      <c r="A44" s="21"/>
      <c r="B44" s="25"/>
      <c r="C44" s="25"/>
      <c r="D44" s="32"/>
      <c r="E44" s="25"/>
      <c r="F44" s="25"/>
      <c r="G44" s="25"/>
    </row>
    <row r="45" spans="1:7" ht="12.75">
      <c r="A45" s="21"/>
      <c r="B45" s="25"/>
      <c r="C45" s="25"/>
      <c r="D45" s="32"/>
      <c r="E45" s="25"/>
      <c r="F45" s="25"/>
      <c r="G45" s="25"/>
    </row>
    <row r="46" spans="1:7" ht="12.75">
      <c r="A46" s="21"/>
      <c r="B46" s="25"/>
      <c r="C46" s="25"/>
      <c r="D46" s="32"/>
      <c r="E46" s="25"/>
      <c r="F46" s="25"/>
      <c r="G46" s="25"/>
    </row>
    <row r="47" spans="1:7" ht="12.75">
      <c r="A47" s="21"/>
      <c r="B47" s="25"/>
      <c r="C47" s="25"/>
      <c r="D47" s="32"/>
      <c r="E47" s="25"/>
      <c r="F47" s="25"/>
      <c r="G47" s="5" t="s">
        <v>276</v>
      </c>
    </row>
    <row r="48" spans="1:7" ht="12.75">
      <c r="A48" s="21"/>
      <c r="B48" s="25"/>
      <c r="C48" s="25"/>
      <c r="D48" s="32"/>
      <c r="E48" s="25"/>
      <c r="F48" s="25"/>
      <c r="G48" s="25"/>
    </row>
    <row r="49" spans="1:7" ht="12.75">
      <c r="A49" s="4">
        <v>1</v>
      </c>
      <c r="B49" s="4">
        <f aca="true" t="shared" si="1" ref="B49:G49">+A49+1</f>
        <v>2</v>
      </c>
      <c r="C49" s="4">
        <f t="shared" si="1"/>
        <v>3</v>
      </c>
      <c r="D49" s="4">
        <f t="shared" si="1"/>
        <v>4</v>
      </c>
      <c r="E49" s="4">
        <f t="shared" si="1"/>
        <v>5</v>
      </c>
      <c r="F49" s="4">
        <f t="shared" si="1"/>
        <v>6</v>
      </c>
      <c r="G49" s="4">
        <f t="shared" si="1"/>
        <v>7</v>
      </c>
    </row>
    <row r="50" spans="1:7" ht="13.5" customHeight="1">
      <c r="A50" s="1112">
        <v>9</v>
      </c>
      <c r="B50" s="1114" t="s">
        <v>277</v>
      </c>
      <c r="C50" s="1114" t="s">
        <v>278</v>
      </c>
      <c r="D50" s="12">
        <v>35</v>
      </c>
      <c r="E50" s="12">
        <v>2.4</v>
      </c>
      <c r="F50" s="12"/>
      <c r="G50" s="12">
        <f aca="true" t="shared" si="2" ref="G50:G55">E50*F50</f>
        <v>0</v>
      </c>
    </row>
    <row r="51" spans="1:7" ht="12.75">
      <c r="A51" s="1113"/>
      <c r="B51" s="1094"/>
      <c r="C51" s="1094"/>
      <c r="D51" s="31" t="s">
        <v>268</v>
      </c>
      <c r="E51" s="6">
        <v>2.4</v>
      </c>
      <c r="F51" s="6"/>
      <c r="G51" s="12">
        <f t="shared" si="2"/>
        <v>0</v>
      </c>
    </row>
    <row r="52" spans="1:7" ht="25.5">
      <c r="A52" s="13">
        <v>10</v>
      </c>
      <c r="B52" s="6" t="s">
        <v>279</v>
      </c>
      <c r="C52" s="6" t="s">
        <v>280</v>
      </c>
      <c r="D52" s="31" t="s">
        <v>268</v>
      </c>
      <c r="E52" s="6">
        <v>2.5</v>
      </c>
      <c r="F52" s="6"/>
      <c r="G52" s="12">
        <f t="shared" si="2"/>
        <v>0</v>
      </c>
    </row>
    <row r="53" spans="1:7" ht="25.5">
      <c r="A53" s="13">
        <v>11</v>
      </c>
      <c r="B53" s="6" t="s">
        <v>281</v>
      </c>
      <c r="C53" s="6" t="s">
        <v>282</v>
      </c>
      <c r="D53" s="31" t="s">
        <v>268</v>
      </c>
      <c r="E53" s="6">
        <v>2.3</v>
      </c>
      <c r="F53" s="6">
        <v>2</v>
      </c>
      <c r="G53" s="12">
        <f t="shared" si="2"/>
        <v>4.6</v>
      </c>
    </row>
    <row r="54" spans="1:7" ht="25.5">
      <c r="A54" s="13">
        <v>12</v>
      </c>
      <c r="B54" s="6" t="s">
        <v>283</v>
      </c>
      <c r="C54" s="6" t="s">
        <v>282</v>
      </c>
      <c r="D54" s="31" t="s">
        <v>268</v>
      </c>
      <c r="E54" s="6">
        <v>3</v>
      </c>
      <c r="F54" s="6">
        <v>1</v>
      </c>
      <c r="G54" s="12">
        <f t="shared" si="2"/>
        <v>3</v>
      </c>
    </row>
    <row r="55" spans="1:7" ht="38.25">
      <c r="A55" s="13">
        <v>13</v>
      </c>
      <c r="B55" s="6" t="s">
        <v>284</v>
      </c>
      <c r="C55" s="6" t="s">
        <v>285</v>
      </c>
      <c r="D55" s="6">
        <v>35</v>
      </c>
      <c r="E55" s="6">
        <v>3.5</v>
      </c>
      <c r="F55" s="6"/>
      <c r="G55" s="12">
        <f t="shared" si="2"/>
        <v>0</v>
      </c>
    </row>
    <row r="56" spans="1:7" ht="12.75">
      <c r="A56" s="1107" t="s">
        <v>197</v>
      </c>
      <c r="B56" s="1121" t="s">
        <v>114</v>
      </c>
      <c r="C56" s="1122"/>
      <c r="D56" s="6" t="s">
        <v>82</v>
      </c>
      <c r="E56" s="13" t="s">
        <v>56</v>
      </c>
      <c r="F56" s="13" t="s">
        <v>56</v>
      </c>
      <c r="G56" s="33">
        <f>G14+G21+G33+G39+G13+G20</f>
        <v>0</v>
      </c>
    </row>
    <row r="57" spans="1:7" ht="12.75">
      <c r="A57" s="1112"/>
      <c r="B57" s="1123"/>
      <c r="C57" s="1124"/>
      <c r="D57" s="6" t="s">
        <v>157</v>
      </c>
      <c r="E57" s="13" t="s">
        <v>56</v>
      </c>
      <c r="F57" s="13" t="s">
        <v>56</v>
      </c>
      <c r="G57" s="33">
        <f>G58+G59</f>
        <v>11.6</v>
      </c>
    </row>
    <row r="58" spans="1:7" ht="12.75">
      <c r="A58" s="1112"/>
      <c r="B58" s="1123"/>
      <c r="C58" s="1124"/>
      <c r="D58" s="34" t="s">
        <v>83</v>
      </c>
      <c r="E58" s="35"/>
      <c r="F58" s="35"/>
      <c r="G58" s="36">
        <f>G15+G22+G34+G40</f>
        <v>0</v>
      </c>
    </row>
    <row r="59" spans="1:7" ht="12.75">
      <c r="A59" s="1112"/>
      <c r="B59" s="1123"/>
      <c r="C59" s="1124"/>
      <c r="D59" s="34" t="s">
        <v>121</v>
      </c>
      <c r="E59" s="35"/>
      <c r="F59" s="35"/>
      <c r="G59" s="36">
        <f>G23+G35+G41+G51+G52+G53+G54</f>
        <v>11.6</v>
      </c>
    </row>
    <row r="60" spans="1:7" ht="12.75">
      <c r="A60" s="1113"/>
      <c r="B60" s="1125"/>
      <c r="C60" s="1126"/>
      <c r="D60" s="6" t="s">
        <v>85</v>
      </c>
      <c r="E60" s="13" t="s">
        <v>56</v>
      </c>
      <c r="F60" s="13" t="s">
        <v>56</v>
      </c>
      <c r="G60" s="12"/>
    </row>
    <row r="61" spans="1:8" ht="12.75">
      <c r="A61" s="1107" t="s">
        <v>286</v>
      </c>
      <c r="B61" s="1121" t="s">
        <v>145</v>
      </c>
      <c r="C61" s="1122"/>
      <c r="D61" s="6" t="s">
        <v>82</v>
      </c>
      <c r="E61" s="13" t="s">
        <v>56</v>
      </c>
      <c r="F61" s="13" t="s">
        <v>56</v>
      </c>
      <c r="G61" s="37">
        <f>G56+'2.1'!G31</f>
        <v>0</v>
      </c>
      <c r="H61" s="39">
        <f>G61+G63+G64+G65</f>
        <v>36.394999999999996</v>
      </c>
    </row>
    <row r="62" spans="1:7" ht="12.75">
      <c r="A62" s="1112"/>
      <c r="B62" s="1123"/>
      <c r="C62" s="1124"/>
      <c r="D62" s="6" t="s">
        <v>157</v>
      </c>
      <c r="E62" s="13" t="s">
        <v>56</v>
      </c>
      <c r="F62" s="13" t="s">
        <v>56</v>
      </c>
      <c r="G62" s="33">
        <f>G57+'2.1'!G42</f>
        <v>23.57</v>
      </c>
    </row>
    <row r="63" spans="1:7" ht="12.75">
      <c r="A63" s="1112"/>
      <c r="B63" s="1123"/>
      <c r="C63" s="1124"/>
      <c r="D63" s="34" t="s">
        <v>83</v>
      </c>
      <c r="E63" s="13"/>
      <c r="F63" s="13"/>
      <c r="G63" s="38">
        <f>G58+'2.1'!G43</f>
        <v>0</v>
      </c>
    </row>
    <row r="64" spans="1:7" ht="12.75">
      <c r="A64" s="1112"/>
      <c r="B64" s="1123"/>
      <c r="C64" s="1124"/>
      <c r="D64" s="34" t="s">
        <v>121</v>
      </c>
      <c r="E64" s="13"/>
      <c r="F64" s="13"/>
      <c r="G64" s="36">
        <f>G59+'2.1'!G44</f>
        <v>23.57</v>
      </c>
    </row>
    <row r="65" spans="1:7" ht="12.75">
      <c r="A65" s="1113"/>
      <c r="B65" s="1125"/>
      <c r="C65" s="1126"/>
      <c r="D65" s="6" t="s">
        <v>85</v>
      </c>
      <c r="E65" s="13" t="s">
        <v>56</v>
      </c>
      <c r="F65" s="13" t="s">
        <v>56</v>
      </c>
      <c r="G65" s="33">
        <f>G60+'2.1'!G57</f>
        <v>12.825</v>
      </c>
    </row>
    <row r="66" spans="1:7" ht="12.75">
      <c r="A66" s="40" t="s">
        <v>247</v>
      </c>
      <c r="B66" s="40"/>
      <c r="C66" s="40"/>
      <c r="D66" s="40"/>
      <c r="E66" s="40"/>
      <c r="F66" s="40"/>
      <c r="G66" s="40"/>
    </row>
    <row r="67" spans="1:7" ht="18.75" customHeight="1">
      <c r="A67" s="1110" t="s">
        <v>287</v>
      </c>
      <c r="B67" s="1110"/>
      <c r="C67" s="1110"/>
      <c r="D67" s="1110"/>
      <c r="E67" s="1110"/>
      <c r="F67" s="1110"/>
      <c r="G67" s="1110"/>
    </row>
    <row r="68" spans="1:7" ht="38.25" customHeight="1">
      <c r="A68" s="1110" t="s">
        <v>288</v>
      </c>
      <c r="B68" s="1110"/>
      <c r="C68" s="1110"/>
      <c r="D68" s="1110"/>
      <c r="E68" s="1110"/>
      <c r="F68" s="1110"/>
      <c r="G68" s="1110"/>
    </row>
    <row r="69" spans="1:7" ht="30" customHeight="1">
      <c r="A69" s="1110" t="s">
        <v>289</v>
      </c>
      <c r="B69" s="1110"/>
      <c r="C69" s="1110"/>
      <c r="D69" s="1110"/>
      <c r="E69" s="1110"/>
      <c r="F69" s="1110"/>
      <c r="G69" s="1110"/>
    </row>
    <row r="70" spans="1:7" ht="36.75" customHeight="1">
      <c r="A70" s="1110" t="s">
        <v>290</v>
      </c>
      <c r="B70" s="1110"/>
      <c r="C70" s="1110"/>
      <c r="D70" s="1110"/>
      <c r="E70" s="1110"/>
      <c r="F70" s="1110"/>
      <c r="G70" s="1110"/>
    </row>
    <row r="71" spans="1:7" ht="54" customHeight="1">
      <c r="A71" s="1110" t="s">
        <v>291</v>
      </c>
      <c r="B71" s="1110"/>
      <c r="C71" s="1110"/>
      <c r="D71" s="1110"/>
      <c r="E71" s="1110"/>
      <c r="F71" s="1110"/>
      <c r="G71" s="1110"/>
    </row>
    <row r="72" spans="1:7" ht="36" customHeight="1">
      <c r="A72" s="1110" t="s">
        <v>292</v>
      </c>
      <c r="B72" s="1110"/>
      <c r="C72" s="1110"/>
      <c r="D72" s="1110"/>
      <c r="E72" s="1110"/>
      <c r="F72" s="1110"/>
      <c r="G72" s="1110"/>
    </row>
    <row r="73" spans="1:7" ht="24.75" customHeight="1">
      <c r="A73" s="1110" t="s">
        <v>293</v>
      </c>
      <c r="B73" s="1110"/>
      <c r="C73" s="1110"/>
      <c r="D73" s="1110"/>
      <c r="E73" s="1110"/>
      <c r="F73" s="1110"/>
      <c r="G73" s="1110"/>
    </row>
    <row r="74" spans="1:7" s="9" customFormat="1" ht="26.25" customHeight="1">
      <c r="A74" s="1117" t="s">
        <v>294</v>
      </c>
      <c r="B74" s="1117"/>
      <c r="C74" s="1117"/>
      <c r="D74" s="1117"/>
      <c r="E74" s="1117"/>
      <c r="F74" s="1117"/>
      <c r="G74" s="1117"/>
    </row>
    <row r="75" spans="1:7" s="9" customFormat="1" ht="26.25" customHeight="1">
      <c r="A75" s="1116" t="s">
        <v>295</v>
      </c>
      <c r="B75" s="1116"/>
      <c r="C75" s="1116"/>
      <c r="D75" s="1116"/>
      <c r="E75" s="1116"/>
      <c r="F75" s="1116"/>
      <c r="G75" s="1116"/>
    </row>
    <row r="76" spans="1:7" s="2" customFormat="1" ht="23.25" customHeight="1">
      <c r="A76" s="1118" t="s">
        <v>559</v>
      </c>
      <c r="B76" s="1118"/>
      <c r="C76" s="1118"/>
      <c r="D76" s="1118"/>
      <c r="E76" s="1118"/>
      <c r="F76" s="1118"/>
      <c r="G76" s="1118"/>
    </row>
    <row r="77" spans="1:7" ht="12.75">
      <c r="A77" s="40"/>
      <c r="B77" s="40"/>
      <c r="C77" s="40"/>
      <c r="D77" s="40"/>
      <c r="E77" s="40"/>
      <c r="F77" s="40"/>
      <c r="G77" s="40"/>
    </row>
    <row r="78" spans="1:7" ht="12.75">
      <c r="A78" s="40"/>
      <c r="B78" s="40"/>
      <c r="C78" s="40"/>
      <c r="D78" s="40"/>
      <c r="E78" s="40"/>
      <c r="F78" s="40"/>
      <c r="G78" s="40"/>
    </row>
    <row r="79" spans="1:7" ht="12.75">
      <c r="A79" s="40"/>
      <c r="B79" s="40"/>
      <c r="C79" s="40"/>
      <c r="D79" s="40"/>
      <c r="E79" s="40"/>
      <c r="F79" s="40"/>
      <c r="G79" s="40"/>
    </row>
    <row r="80" spans="1:7" ht="12.75">
      <c r="A80" s="40"/>
      <c r="B80" s="40"/>
      <c r="C80" s="40"/>
      <c r="D80" s="40"/>
      <c r="E80" s="40"/>
      <c r="F80" s="40"/>
      <c r="G80" s="40"/>
    </row>
  </sheetData>
  <sheetProtection/>
  <mergeCells count="40">
    <mergeCell ref="B16:B23"/>
    <mergeCell ref="B24:B31"/>
    <mergeCell ref="C16:C23"/>
    <mergeCell ref="C32:C35"/>
    <mergeCell ref="A36:A40"/>
    <mergeCell ref="A71:G71"/>
    <mergeCell ref="A56:A60"/>
    <mergeCell ref="B56:C60"/>
    <mergeCell ref="A50:A51"/>
    <mergeCell ref="B50:B51"/>
    <mergeCell ref="A76:G76"/>
    <mergeCell ref="C36:C40"/>
    <mergeCell ref="A61:A65"/>
    <mergeCell ref="F1:G1"/>
    <mergeCell ref="B36:B40"/>
    <mergeCell ref="C9:C15"/>
    <mergeCell ref="B32:B35"/>
    <mergeCell ref="C1:E1"/>
    <mergeCell ref="C50:C51"/>
    <mergeCell ref="B61:C65"/>
    <mergeCell ref="A2:D2"/>
    <mergeCell ref="A9:A15"/>
    <mergeCell ref="A75:G75"/>
    <mergeCell ref="A74:G74"/>
    <mergeCell ref="A67:G67"/>
    <mergeCell ref="A68:G68"/>
    <mergeCell ref="A69:G69"/>
    <mergeCell ref="A73:G73"/>
    <mergeCell ref="A72:G72"/>
    <mergeCell ref="A70:G70"/>
    <mergeCell ref="A16:A23"/>
    <mergeCell ref="A32:A35"/>
    <mergeCell ref="A24:A31"/>
    <mergeCell ref="A4:G4"/>
    <mergeCell ref="A6:A7"/>
    <mergeCell ref="B6:B7"/>
    <mergeCell ref="C6:C7"/>
    <mergeCell ref="D6:D7"/>
    <mergeCell ref="C24:C31"/>
    <mergeCell ref="B9:B15"/>
  </mergeCells>
  <printOptions/>
  <pageMargins left="0.5905511811023623" right="0" top="0.984251968503937" bottom="0" header="0.5118110236220472" footer="0.32"/>
  <pageSetup horizontalDpi="600" verticalDpi="600" orientation="portrait" paperSize="9" scale="97" r:id="rId1"/>
  <rowBreaks count="1" manualBreakCount="1">
    <brk id="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60"/>
  <sheetViews>
    <sheetView showGridLines="0" zoomScaleSheetLayoutView="100" zoomScalePageLayoutView="0" workbookViewId="0" topLeftCell="A1">
      <selection activeCell="E34" sqref="E34"/>
    </sheetView>
  </sheetViews>
  <sheetFormatPr defaultColWidth="9.00390625" defaultRowHeight="12.75"/>
  <cols>
    <col min="1" max="1" width="6.50390625" style="187" customWidth="1"/>
    <col min="2" max="2" width="47.125" style="187" customWidth="1"/>
    <col min="3" max="3" width="11.375" style="217" customWidth="1"/>
    <col min="4" max="4" width="15.625" style="217" hidden="1" customWidth="1"/>
    <col min="5" max="5" width="19.875" style="217" customWidth="1"/>
    <col min="6" max="6" width="15.125" style="217" customWidth="1"/>
    <col min="7" max="9" width="9.375" style="187" hidden="1" customWidth="1"/>
    <col min="10" max="10" width="9.125" style="187" hidden="1" customWidth="1"/>
    <col min="11" max="11" width="15.875" style="187" customWidth="1"/>
    <col min="12" max="12" width="14.875" style="187" customWidth="1"/>
    <col min="13" max="13" width="15.875" style="187" customWidth="1"/>
    <col min="14" max="14" width="13.50390625" style="187" customWidth="1"/>
    <col min="15" max="15" width="15.375" style="187" customWidth="1"/>
    <col min="16" max="16384" width="9.375" style="187" customWidth="1"/>
  </cols>
  <sheetData>
    <row r="1" spans="1:6" ht="19.5" customHeight="1">
      <c r="A1" s="700" t="s">
        <v>537</v>
      </c>
      <c r="B1" s="700"/>
      <c r="C1" s="695"/>
      <c r="F1" s="218"/>
    </row>
    <row r="2" spans="1:6" ht="33" customHeight="1" hidden="1">
      <c r="A2" s="850" t="s">
        <v>0</v>
      </c>
      <c r="B2" s="850"/>
      <c r="C2" s="850"/>
      <c r="D2" s="850"/>
      <c r="E2" s="850"/>
      <c r="F2" s="850"/>
    </row>
    <row r="3" spans="2:6" ht="15.75" hidden="1">
      <c r="B3" s="219" t="s">
        <v>1</v>
      </c>
      <c r="F3" s="220" t="s">
        <v>2</v>
      </c>
    </row>
    <row r="4" spans="1:6" ht="12.75" customHeight="1" hidden="1">
      <c r="A4" s="883" t="s">
        <v>3</v>
      </c>
      <c r="B4" s="851" t="s">
        <v>4</v>
      </c>
      <c r="C4" s="880" t="s">
        <v>5</v>
      </c>
      <c r="D4" s="880" t="s">
        <v>6</v>
      </c>
      <c r="E4" s="221"/>
      <c r="F4" s="880" t="s">
        <v>7</v>
      </c>
    </row>
    <row r="5" spans="1:6" ht="30.75" customHeight="1" hidden="1">
      <c r="A5" s="883"/>
      <c r="B5" s="851"/>
      <c r="C5" s="881"/>
      <c r="D5" s="881"/>
      <c r="E5" s="222"/>
      <c r="F5" s="881"/>
    </row>
    <row r="6" spans="1:7" ht="12.75" hidden="1">
      <c r="A6" s="223">
        <v>1</v>
      </c>
      <c r="B6" s="223">
        <v>2</v>
      </c>
      <c r="C6" s="223">
        <f>B6+1</f>
        <v>3</v>
      </c>
      <c r="D6" s="223"/>
      <c r="E6" s="223"/>
      <c r="F6" s="223" t="e">
        <f>#REF!+1</f>
        <v>#REF!</v>
      </c>
      <c r="G6" s="223" t="e">
        <f>F6+1</f>
        <v>#REF!</v>
      </c>
    </row>
    <row r="7" spans="1:6" ht="12.75" hidden="1">
      <c r="A7" s="224" t="s">
        <v>8</v>
      </c>
      <c r="B7" s="225" t="s">
        <v>9</v>
      </c>
      <c r="C7" s="78"/>
      <c r="D7" s="78"/>
      <c r="E7" s="78"/>
      <c r="F7" s="78"/>
    </row>
    <row r="8" spans="1:6" ht="12.75" hidden="1">
      <c r="A8" s="224"/>
      <c r="B8" s="225" t="s">
        <v>10</v>
      </c>
      <c r="C8" s="78"/>
      <c r="D8" s="78"/>
      <c r="E8" s="78"/>
      <c r="F8" s="78"/>
    </row>
    <row r="9" spans="1:6" ht="12.75" hidden="1">
      <c r="A9" s="224"/>
      <c r="B9" s="225" t="s">
        <v>11</v>
      </c>
      <c r="C9" s="78"/>
      <c r="D9" s="78"/>
      <c r="E9" s="78"/>
      <c r="F9" s="78"/>
    </row>
    <row r="10" spans="1:6" ht="25.5" hidden="1">
      <c r="A10" s="224" t="s">
        <v>12</v>
      </c>
      <c r="B10" s="225" t="s">
        <v>13</v>
      </c>
      <c r="C10" s="78"/>
      <c r="D10" s="78"/>
      <c r="E10" s="78"/>
      <c r="F10" s="78"/>
    </row>
    <row r="11" spans="1:6" ht="12.75" hidden="1">
      <c r="A11" s="217" t="s">
        <v>14</v>
      </c>
      <c r="B11" s="225" t="s">
        <v>15</v>
      </c>
      <c r="C11" s="78"/>
      <c r="D11" s="78"/>
      <c r="E11" s="78"/>
      <c r="F11" s="78"/>
    </row>
    <row r="12" spans="1:6" ht="12.75" hidden="1">
      <c r="A12" s="217"/>
      <c r="B12" s="225"/>
      <c r="C12" s="226"/>
      <c r="D12" s="226"/>
      <c r="E12" s="226"/>
      <c r="F12" s="226"/>
    </row>
    <row r="13" spans="1:6" ht="25.5" hidden="1">
      <c r="A13" s="227"/>
      <c r="B13" s="228" t="s">
        <v>16</v>
      </c>
      <c r="C13" s="78"/>
      <c r="D13" s="78"/>
      <c r="E13" s="78"/>
      <c r="F13" s="78"/>
    </row>
    <row r="14" spans="1:6" ht="25.5" hidden="1">
      <c r="A14" s="227"/>
      <c r="B14" s="229" t="s">
        <v>17</v>
      </c>
      <c r="C14" s="78"/>
      <c r="D14" s="78"/>
      <c r="E14" s="78"/>
      <c r="F14" s="78"/>
    </row>
    <row r="15" spans="1:6" ht="12.75" hidden="1">
      <c r="A15" s="227"/>
      <c r="B15" s="228" t="s">
        <v>18</v>
      </c>
      <c r="C15" s="78"/>
      <c r="D15" s="78"/>
      <c r="E15" s="78"/>
      <c r="F15" s="78"/>
    </row>
    <row r="16" spans="1:6" ht="12.75" hidden="1">
      <c r="A16" s="227"/>
      <c r="B16" s="228" t="s">
        <v>19</v>
      </c>
      <c r="C16" s="78"/>
      <c r="D16" s="78"/>
      <c r="E16" s="78"/>
      <c r="F16" s="78"/>
    </row>
    <row r="17" spans="1:6" ht="12.75" hidden="1">
      <c r="A17" s="227"/>
      <c r="B17" s="228" t="s">
        <v>20</v>
      </c>
      <c r="C17" s="78"/>
      <c r="D17" s="78"/>
      <c r="E17" s="78"/>
      <c r="F17" s="78"/>
    </row>
    <row r="18" spans="1:6" ht="12.75" hidden="1">
      <c r="A18" s="227"/>
      <c r="B18" s="228" t="s">
        <v>21</v>
      </c>
      <c r="C18" s="78"/>
      <c r="D18" s="78"/>
      <c r="E18" s="78"/>
      <c r="F18" s="78"/>
    </row>
    <row r="19" spans="1:6" ht="12.75" hidden="1">
      <c r="A19" s="227"/>
      <c r="B19" s="228" t="s">
        <v>18</v>
      </c>
      <c r="C19" s="78"/>
      <c r="D19" s="78"/>
      <c r="E19" s="78"/>
      <c r="F19" s="78"/>
    </row>
    <row r="20" spans="1:6" ht="12.75" hidden="1">
      <c r="A20" s="227" t="s">
        <v>22</v>
      </c>
      <c r="B20" s="225" t="s">
        <v>23</v>
      </c>
      <c r="C20" s="78"/>
      <c r="D20" s="78"/>
      <c r="E20" s="78"/>
      <c r="F20" s="78"/>
    </row>
    <row r="21" spans="1:6" ht="25.5" hidden="1">
      <c r="A21" s="230" t="s">
        <v>24</v>
      </c>
      <c r="B21" s="231" t="s">
        <v>25</v>
      </c>
      <c r="C21" s="78"/>
      <c r="D21" s="78"/>
      <c r="E21" s="78"/>
      <c r="F21" s="78"/>
    </row>
    <row r="22" spans="1:6" ht="25.5" hidden="1">
      <c r="A22" s="230" t="s">
        <v>26</v>
      </c>
      <c r="B22" s="225" t="s">
        <v>27</v>
      </c>
      <c r="C22" s="78"/>
      <c r="D22" s="78"/>
      <c r="E22" s="78"/>
      <c r="F22" s="232"/>
    </row>
    <row r="23" spans="1:6" ht="12.75" hidden="1">
      <c r="A23" s="230"/>
      <c r="B23" s="225"/>
      <c r="C23" s="233"/>
      <c r="D23" s="233"/>
      <c r="E23" s="233"/>
      <c r="F23" s="233"/>
    </row>
    <row r="24" spans="1:11" ht="12.75" hidden="1">
      <c r="A24" s="230" t="s">
        <v>28</v>
      </c>
      <c r="B24" s="225" t="s">
        <v>29</v>
      </c>
      <c r="C24" s="78"/>
      <c r="D24" s="78"/>
      <c r="E24" s="78"/>
      <c r="F24" s="78">
        <f>F33</f>
        <v>0</v>
      </c>
      <c r="K24" s="234">
        <f>K33</f>
        <v>0</v>
      </c>
    </row>
    <row r="25" spans="1:6" ht="25.5" hidden="1">
      <c r="A25" s="230"/>
      <c r="B25" s="225" t="s">
        <v>30</v>
      </c>
      <c r="C25" s="78"/>
      <c r="D25" s="78"/>
      <c r="E25" s="78"/>
      <c r="F25" s="78"/>
    </row>
    <row r="26" spans="1:6" ht="12.75">
      <c r="A26" s="235"/>
      <c r="B26" s="236"/>
      <c r="C26" s="237"/>
      <c r="D26" s="237"/>
      <c r="E26" s="237"/>
      <c r="F26" s="237"/>
    </row>
    <row r="27" spans="5:15" ht="12.75" customHeight="1">
      <c r="E27" s="791"/>
      <c r="F27" s="791"/>
      <c r="G27" s="791"/>
      <c r="H27" s="791"/>
      <c r="I27" s="791"/>
      <c r="J27" s="791"/>
      <c r="K27" s="791"/>
      <c r="L27" s="791"/>
      <c r="M27" s="791"/>
      <c r="N27" s="791"/>
      <c r="O27" s="748" t="s">
        <v>31</v>
      </c>
    </row>
    <row r="28" spans="1:15" ht="18">
      <c r="A28" s="884" t="s">
        <v>32</v>
      </c>
      <c r="B28" s="884"/>
      <c r="C28" s="884"/>
      <c r="D28" s="884"/>
      <c r="E28" s="884"/>
      <c r="F28" s="884"/>
      <c r="G28" s="884"/>
      <c r="H28" s="884"/>
      <c r="I28" s="884"/>
      <c r="J28" s="884"/>
      <c r="K28" s="884"/>
      <c r="L28" s="884"/>
      <c r="M28" s="884"/>
      <c r="N28" s="884"/>
      <c r="O28" s="884"/>
    </row>
    <row r="29" ht="15.75" thickBot="1">
      <c r="B29" s="219"/>
    </row>
    <row r="30" spans="1:15" ht="57" customHeight="1">
      <c r="A30" s="872" t="s">
        <v>304</v>
      </c>
      <c r="B30" s="874" t="s">
        <v>4</v>
      </c>
      <c r="C30" s="876" t="s">
        <v>52</v>
      </c>
      <c r="D30" s="797"/>
      <c r="E30" s="878" t="s">
        <v>605</v>
      </c>
      <c r="F30" s="870" t="s">
        <v>310</v>
      </c>
      <c r="G30" s="870"/>
      <c r="H30" s="870"/>
      <c r="I30" s="870"/>
      <c r="J30" s="870"/>
      <c r="K30" s="870"/>
      <c r="L30" s="875" t="s">
        <v>538</v>
      </c>
      <c r="M30" s="848" t="s">
        <v>571</v>
      </c>
      <c r="N30" s="870" t="s">
        <v>310</v>
      </c>
      <c r="O30" s="875"/>
    </row>
    <row r="31" spans="1:15" ht="27.75" customHeight="1">
      <c r="A31" s="873"/>
      <c r="B31" s="851"/>
      <c r="C31" s="847"/>
      <c r="D31" s="798"/>
      <c r="E31" s="879"/>
      <c r="F31" s="239" t="s">
        <v>528</v>
      </c>
      <c r="G31" s="239" t="s">
        <v>529</v>
      </c>
      <c r="H31" s="239" t="s">
        <v>528</v>
      </c>
      <c r="I31" s="239" t="s">
        <v>529</v>
      </c>
      <c r="J31" s="239" t="s">
        <v>528</v>
      </c>
      <c r="K31" s="239" t="s">
        <v>529</v>
      </c>
      <c r="L31" s="882"/>
      <c r="M31" s="877"/>
      <c r="N31" s="239" t="s">
        <v>572</v>
      </c>
      <c r="O31" s="792" t="s">
        <v>573</v>
      </c>
    </row>
    <row r="32" spans="1:15" ht="12.75">
      <c r="A32" s="238">
        <v>1</v>
      </c>
      <c r="B32" s="223">
        <v>2</v>
      </c>
      <c r="C32" s="223">
        <f>B32+1</f>
        <v>3</v>
      </c>
      <c r="D32" s="799"/>
      <c r="E32" s="805">
        <v>8</v>
      </c>
      <c r="F32" s="239">
        <v>7</v>
      </c>
      <c r="G32" s="223">
        <f>F32+1</f>
        <v>8</v>
      </c>
      <c r="H32" s="201"/>
      <c r="I32" s="201"/>
      <c r="J32" s="201"/>
      <c r="K32" s="239">
        <v>11</v>
      </c>
      <c r="L32" s="792">
        <v>7</v>
      </c>
      <c r="M32" s="801">
        <v>8</v>
      </c>
      <c r="N32" s="240">
        <v>9</v>
      </c>
      <c r="O32" s="241">
        <v>10</v>
      </c>
    </row>
    <row r="33" spans="1:15" ht="15">
      <c r="A33" s="242" t="s">
        <v>8</v>
      </c>
      <c r="B33" s="243" t="s">
        <v>33</v>
      </c>
      <c r="C33" s="204"/>
      <c r="D33" s="654" t="e">
        <f>D25-#REF!</f>
        <v>#REF!</v>
      </c>
      <c r="E33" s="655"/>
      <c r="F33" s="79"/>
      <c r="G33" s="79"/>
      <c r="H33" s="79"/>
      <c r="I33" s="79"/>
      <c r="J33" s="79"/>
      <c r="K33" s="76"/>
      <c r="L33" s="806"/>
      <c r="M33" s="802"/>
      <c r="N33" s="76"/>
      <c r="O33" s="205"/>
    </row>
    <row r="34" spans="1:17" ht="15.75" customHeight="1">
      <c r="A34" s="242" t="s">
        <v>12</v>
      </c>
      <c r="B34" s="243" t="s">
        <v>492</v>
      </c>
      <c r="C34" s="204"/>
      <c r="D34" s="654"/>
      <c r="E34" s="656">
        <v>5.0416</v>
      </c>
      <c r="F34" s="246">
        <v>2.6211</v>
      </c>
      <c r="G34" s="79"/>
      <c r="H34" s="79"/>
      <c r="I34" s="79"/>
      <c r="J34" s="79"/>
      <c r="K34" s="246">
        <v>2.4205</v>
      </c>
      <c r="L34" s="682">
        <v>4.82</v>
      </c>
      <c r="M34" s="803">
        <v>4.88</v>
      </c>
      <c r="N34" s="246">
        <v>2.44</v>
      </c>
      <c r="O34" s="682">
        <v>2.44</v>
      </c>
      <c r="P34" s="244"/>
      <c r="Q34" s="245"/>
    </row>
    <row r="35" spans="1:15" ht="15.75" customHeight="1">
      <c r="A35" s="242" t="s">
        <v>34</v>
      </c>
      <c r="B35" s="243" t="s">
        <v>35</v>
      </c>
      <c r="C35" s="204"/>
      <c r="D35" s="654"/>
      <c r="E35" s="655">
        <v>0</v>
      </c>
      <c r="F35" s="76">
        <v>0</v>
      </c>
      <c r="G35" s="79"/>
      <c r="H35" s="79"/>
      <c r="I35" s="79"/>
      <c r="J35" s="79"/>
      <c r="K35" s="76">
        <v>0</v>
      </c>
      <c r="L35" s="205">
        <v>0</v>
      </c>
      <c r="M35" s="802">
        <v>0</v>
      </c>
      <c r="N35" s="76">
        <v>0</v>
      </c>
      <c r="O35" s="205">
        <v>0</v>
      </c>
    </row>
    <row r="36" spans="1:15" ht="15.75" customHeight="1">
      <c r="A36" s="242" t="s">
        <v>36</v>
      </c>
      <c r="B36" s="243" t="s">
        <v>37</v>
      </c>
      <c r="C36" s="204"/>
      <c r="D36" s="654"/>
      <c r="E36" s="655">
        <v>0</v>
      </c>
      <c r="F36" s="76">
        <v>0</v>
      </c>
      <c r="G36" s="79"/>
      <c r="H36" s="79"/>
      <c r="I36" s="79"/>
      <c r="J36" s="79"/>
      <c r="K36" s="76">
        <v>0</v>
      </c>
      <c r="L36" s="205">
        <v>0</v>
      </c>
      <c r="M36" s="802">
        <v>0</v>
      </c>
      <c r="N36" s="76">
        <v>0</v>
      </c>
      <c r="O36" s="205">
        <v>0</v>
      </c>
    </row>
    <row r="37" spans="1:15" ht="25.5" customHeight="1">
      <c r="A37" s="242" t="s">
        <v>38</v>
      </c>
      <c r="B37" s="243" t="s">
        <v>298</v>
      </c>
      <c r="C37" s="204"/>
      <c r="D37" s="654"/>
      <c r="E37" s="655">
        <f>E34</f>
        <v>5.0416</v>
      </c>
      <c r="F37" s="76">
        <f>F34</f>
        <v>2.6211</v>
      </c>
      <c r="G37" s="77">
        <f>G33-G49</f>
        <v>0</v>
      </c>
      <c r="H37" s="77">
        <f>H33-H49</f>
        <v>0</v>
      </c>
      <c r="I37" s="77">
        <f>I33-I49</f>
        <v>0</v>
      </c>
      <c r="J37" s="77">
        <f>J33-J49</f>
        <v>0</v>
      </c>
      <c r="K37" s="76">
        <f>K34</f>
        <v>2.4205</v>
      </c>
      <c r="L37" s="682">
        <f>L34</f>
        <v>4.82</v>
      </c>
      <c r="M37" s="802">
        <f>M34</f>
        <v>4.88</v>
      </c>
      <c r="N37" s="76">
        <f>N34</f>
        <v>2.44</v>
      </c>
      <c r="O37" s="205">
        <v>0</v>
      </c>
    </row>
    <row r="38" spans="1:18" ht="15.75" customHeight="1">
      <c r="A38" s="242" t="s">
        <v>14</v>
      </c>
      <c r="B38" s="243" t="s">
        <v>39</v>
      </c>
      <c r="C38" s="204"/>
      <c r="D38" s="654"/>
      <c r="E38" s="656">
        <v>0.1128</v>
      </c>
      <c r="F38" s="246">
        <v>0.0585</v>
      </c>
      <c r="G38" s="77">
        <f>(G24-G25+G36)*(G39/100)</f>
        <v>0</v>
      </c>
      <c r="H38" s="77">
        <f>(H24-H25+H36)*(H39/100)</f>
        <v>0</v>
      </c>
      <c r="I38" s="77">
        <f>(I24-I25+I36)*(I39/100)</f>
        <v>0</v>
      </c>
      <c r="J38" s="77">
        <f>(J24-J25+J36)*(J39/100)</f>
        <v>0</v>
      </c>
      <c r="K38" s="246">
        <v>0.0543</v>
      </c>
      <c r="L38" s="682">
        <v>0.1098</v>
      </c>
      <c r="M38" s="803">
        <v>0.1088</v>
      </c>
      <c r="N38" s="246">
        <v>0.0562</v>
      </c>
      <c r="O38" s="682">
        <v>0.0526</v>
      </c>
      <c r="P38" s="209"/>
      <c r="Q38" s="209"/>
      <c r="R38" s="209"/>
    </row>
    <row r="39" spans="1:15" ht="15.75" customHeight="1">
      <c r="A39" s="242"/>
      <c r="B39" s="243" t="s">
        <v>40</v>
      </c>
      <c r="C39" s="204"/>
      <c r="D39" s="654"/>
      <c r="E39" s="655">
        <f>E38/E34*100</f>
        <v>2.237384957156458</v>
      </c>
      <c r="F39" s="76">
        <f>F38/F34*100</f>
        <v>2.231887375529358</v>
      </c>
      <c r="G39" s="78">
        <v>9.23</v>
      </c>
      <c r="H39" s="78">
        <v>9.23</v>
      </c>
      <c r="I39" s="78">
        <v>9.23</v>
      </c>
      <c r="J39" s="78">
        <v>9.23</v>
      </c>
      <c r="K39" s="76">
        <f>K38/K34*100</f>
        <v>2.243338153274117</v>
      </c>
      <c r="L39" s="205">
        <f>L38/L34*100</f>
        <v>2.278008298755186</v>
      </c>
      <c r="M39" s="802">
        <f>M38/M34*100</f>
        <v>2.2295081967213113</v>
      </c>
      <c r="N39" s="76">
        <f>N38/N34*100</f>
        <v>2.30327868852459</v>
      </c>
      <c r="O39" s="205">
        <f>O38/O34*100</f>
        <v>2.155737704918033</v>
      </c>
    </row>
    <row r="40" spans="1:18" ht="25.5">
      <c r="A40" s="242" t="s">
        <v>22</v>
      </c>
      <c r="B40" s="247" t="s">
        <v>41</v>
      </c>
      <c r="C40" s="204"/>
      <c r="D40" s="654"/>
      <c r="E40" s="655">
        <v>0</v>
      </c>
      <c r="F40" s="76">
        <v>0</v>
      </c>
      <c r="G40" s="79"/>
      <c r="H40" s="79"/>
      <c r="I40" s="79"/>
      <c r="J40" s="79"/>
      <c r="K40" s="76">
        <v>0</v>
      </c>
      <c r="L40" s="205">
        <v>0</v>
      </c>
      <c r="M40" s="802">
        <v>0</v>
      </c>
      <c r="N40" s="76">
        <v>0</v>
      </c>
      <c r="O40" s="205">
        <v>0</v>
      </c>
      <c r="P40" s="209"/>
      <c r="Q40" s="209"/>
      <c r="R40" s="209"/>
    </row>
    <row r="41" spans="1:15" ht="38.25">
      <c r="A41" s="242"/>
      <c r="B41" s="243" t="s">
        <v>42</v>
      </c>
      <c r="C41" s="204"/>
      <c r="D41" s="654"/>
      <c r="E41" s="655"/>
      <c r="F41" s="76"/>
      <c r="G41" s="76"/>
      <c r="H41" s="76"/>
      <c r="I41" s="76"/>
      <c r="J41" s="76"/>
      <c r="K41" s="76"/>
      <c r="L41" s="205"/>
      <c r="M41" s="802"/>
      <c r="N41" s="76"/>
      <c r="O41" s="205"/>
    </row>
    <row r="42" spans="1:15" ht="15.75" customHeight="1">
      <c r="A42" s="242"/>
      <c r="B42" s="243" t="s">
        <v>43</v>
      </c>
      <c r="C42" s="204"/>
      <c r="D42" s="654"/>
      <c r="E42" s="655"/>
      <c r="F42" s="76"/>
      <c r="G42" s="79"/>
      <c r="H42" s="79"/>
      <c r="I42" s="79"/>
      <c r="J42" s="79"/>
      <c r="K42" s="76"/>
      <c r="L42" s="205"/>
      <c r="M42" s="802"/>
      <c r="N42" s="76"/>
      <c r="O42" s="205"/>
    </row>
    <row r="43" spans="1:15" ht="15.75" customHeight="1">
      <c r="A43" s="242"/>
      <c r="B43" s="243" t="s">
        <v>44</v>
      </c>
      <c r="C43" s="204"/>
      <c r="D43" s="654"/>
      <c r="E43" s="655"/>
      <c r="F43" s="76"/>
      <c r="G43" s="79"/>
      <c r="H43" s="79"/>
      <c r="I43" s="79"/>
      <c r="J43" s="79"/>
      <c r="K43" s="76"/>
      <c r="L43" s="205"/>
      <c r="M43" s="802"/>
      <c r="N43" s="76"/>
      <c r="O43" s="205"/>
    </row>
    <row r="44" spans="1:15" ht="15.75" customHeight="1">
      <c r="A44" s="242"/>
      <c r="B44" s="243" t="s">
        <v>300</v>
      </c>
      <c r="C44" s="204"/>
      <c r="D44" s="654"/>
      <c r="E44" s="655">
        <v>0</v>
      </c>
      <c r="F44" s="76">
        <v>0</v>
      </c>
      <c r="G44" s="79"/>
      <c r="H44" s="79"/>
      <c r="I44" s="79"/>
      <c r="J44" s="79"/>
      <c r="K44" s="76">
        <v>0</v>
      </c>
      <c r="L44" s="205">
        <v>0</v>
      </c>
      <c r="M44" s="802">
        <v>0</v>
      </c>
      <c r="N44" s="76">
        <v>0</v>
      </c>
      <c r="O44" s="205">
        <v>0</v>
      </c>
    </row>
    <row r="45" spans="1:15" ht="24.75" customHeight="1" hidden="1">
      <c r="A45" s="242"/>
      <c r="B45" s="243" t="s">
        <v>301</v>
      </c>
      <c r="C45" s="204"/>
      <c r="D45" s="654"/>
      <c r="E45" s="655"/>
      <c r="F45" s="76"/>
      <c r="G45" s="79"/>
      <c r="H45" s="79"/>
      <c r="I45" s="79"/>
      <c r="J45" s="79"/>
      <c r="K45" s="76"/>
      <c r="L45" s="205"/>
      <c r="M45" s="802"/>
      <c r="N45" s="76"/>
      <c r="O45" s="205"/>
    </row>
    <row r="46" spans="1:18" ht="15.75" customHeight="1">
      <c r="A46" s="242" t="s">
        <v>24</v>
      </c>
      <c r="B46" s="243" t="s">
        <v>45</v>
      </c>
      <c r="C46" s="204"/>
      <c r="D46" s="654"/>
      <c r="E46" s="656">
        <f>E34-E38</f>
        <v>4.9288</v>
      </c>
      <c r="F46" s="76">
        <f>F34-F38</f>
        <v>2.5626</v>
      </c>
      <c r="G46" s="79"/>
      <c r="H46" s="79"/>
      <c r="I46" s="79"/>
      <c r="J46" s="79"/>
      <c r="K46" s="76">
        <f>K34-K38</f>
        <v>2.3662</v>
      </c>
      <c r="L46" s="205">
        <v>4.7102</v>
      </c>
      <c r="M46" s="803">
        <f>M34-M38</f>
        <v>4.7712</v>
      </c>
      <c r="N46" s="76">
        <f>N34-N38</f>
        <v>2.3838</v>
      </c>
      <c r="O46" s="205">
        <f>O34-O38</f>
        <v>2.3874</v>
      </c>
      <c r="P46" s="248"/>
      <c r="R46" s="248"/>
    </row>
    <row r="47" spans="1:15" ht="15.75" customHeight="1">
      <c r="A47" s="242"/>
      <c r="B47" s="243" t="s">
        <v>46</v>
      </c>
      <c r="C47" s="201"/>
      <c r="D47" s="654"/>
      <c r="E47" s="655"/>
      <c r="F47" s="76"/>
      <c r="G47" s="79"/>
      <c r="H47" s="79"/>
      <c r="I47" s="79"/>
      <c r="J47" s="79"/>
      <c r="K47" s="76"/>
      <c r="L47" s="205"/>
      <c r="M47" s="802"/>
      <c r="N47" s="76"/>
      <c r="O47" s="205"/>
    </row>
    <row r="48" spans="1:17" ht="15.75" customHeight="1">
      <c r="A48" s="242" t="s">
        <v>47</v>
      </c>
      <c r="B48" s="243" t="s">
        <v>309</v>
      </c>
      <c r="C48" s="204"/>
      <c r="D48" s="654"/>
      <c r="E48" s="656">
        <f>E46</f>
        <v>4.9288</v>
      </c>
      <c r="F48" s="76">
        <f>F46</f>
        <v>2.5626</v>
      </c>
      <c r="G48" s="79"/>
      <c r="H48" s="79"/>
      <c r="I48" s="79"/>
      <c r="J48" s="79"/>
      <c r="K48" s="76">
        <f>K46</f>
        <v>2.3662</v>
      </c>
      <c r="L48" s="205">
        <f>L46</f>
        <v>4.7102</v>
      </c>
      <c r="M48" s="803">
        <f>M46</f>
        <v>4.7712</v>
      </c>
      <c r="N48" s="76">
        <f>N46</f>
        <v>2.3838</v>
      </c>
      <c r="O48" s="205">
        <f>O46</f>
        <v>2.3874</v>
      </c>
      <c r="P48" s="248"/>
      <c r="Q48" s="249"/>
    </row>
    <row r="49" spans="1:16" ht="26.25" customHeight="1" thickBot="1">
      <c r="A49" s="793" t="s">
        <v>48</v>
      </c>
      <c r="B49" s="794" t="s">
        <v>49</v>
      </c>
      <c r="C49" s="214"/>
      <c r="D49" s="800"/>
      <c r="E49" s="807">
        <v>0</v>
      </c>
      <c r="F49" s="215">
        <v>0</v>
      </c>
      <c r="G49" s="795">
        <f>G46</f>
        <v>0</v>
      </c>
      <c r="H49" s="795">
        <f>H46</f>
        <v>0</v>
      </c>
      <c r="I49" s="795">
        <f>I46</f>
        <v>0</v>
      </c>
      <c r="J49" s="795">
        <f>J46</f>
        <v>0</v>
      </c>
      <c r="K49" s="215">
        <v>0</v>
      </c>
      <c r="L49" s="796">
        <v>0</v>
      </c>
      <c r="M49" s="804">
        <v>0</v>
      </c>
      <c r="N49" s="215">
        <v>0</v>
      </c>
      <c r="O49" s="796">
        <v>0</v>
      </c>
      <c r="P49" s="248"/>
    </row>
    <row r="50" spans="1:6" ht="15" customHeight="1" hidden="1" thickBot="1">
      <c r="A50" s="250" t="s">
        <v>50</v>
      </c>
      <c r="B50" s="251" t="s">
        <v>299</v>
      </c>
      <c r="C50" s="252" t="s">
        <v>54</v>
      </c>
      <c r="D50" s="253" t="e">
        <f>D33-D38-D40-D49</f>
        <v>#REF!</v>
      </c>
      <c r="E50" s="253"/>
      <c r="F50" s="254"/>
    </row>
    <row r="51" spans="3:5" ht="12.75">
      <c r="C51" s="255"/>
      <c r="E51" s="255"/>
    </row>
    <row r="52" spans="1:15" ht="15.75">
      <c r="A52" s="702" t="s">
        <v>524</v>
      </c>
      <c r="B52" s="702"/>
      <c r="C52" s="702"/>
      <c r="D52" s="702"/>
      <c r="E52" s="868" t="s">
        <v>540</v>
      </c>
      <c r="F52" s="868"/>
      <c r="G52" s="868"/>
      <c r="H52" s="868"/>
      <c r="I52" s="868"/>
      <c r="J52" s="868"/>
      <c r="K52" s="868"/>
      <c r="L52" s="868"/>
      <c r="M52" s="868"/>
      <c r="N52" s="868"/>
      <c r="O52" s="868"/>
    </row>
    <row r="53" spans="1:15" s="216" customFormat="1" ht="18.75" customHeight="1">
      <c r="A53" s="856" t="s">
        <v>518</v>
      </c>
      <c r="B53" s="871"/>
      <c r="C53" s="871"/>
      <c r="D53" s="871"/>
      <c r="E53" s="871"/>
      <c r="F53" s="871"/>
      <c r="G53" s="871"/>
      <c r="H53" s="871"/>
      <c r="I53" s="871"/>
      <c r="J53" s="871"/>
      <c r="K53" s="871"/>
      <c r="L53" s="871"/>
      <c r="M53" s="871"/>
      <c r="N53" s="871"/>
      <c r="O53" s="871"/>
    </row>
    <row r="54" spans="3:6" s="216" customFormat="1" ht="15">
      <c r="C54" s="256"/>
      <c r="D54" s="256"/>
      <c r="E54" s="256"/>
      <c r="F54" s="256"/>
    </row>
    <row r="55" spans="3:5" ht="12.75">
      <c r="C55" s="257"/>
      <c r="D55" s="257"/>
      <c r="E55" s="257"/>
    </row>
    <row r="60" ht="12.75">
      <c r="Q60" s="209"/>
    </row>
  </sheetData>
  <sheetProtection/>
  <mergeCells count="17">
    <mergeCell ref="A2:F2"/>
    <mergeCell ref="C4:C5"/>
    <mergeCell ref="F4:F5"/>
    <mergeCell ref="D4:D5"/>
    <mergeCell ref="L30:L31"/>
    <mergeCell ref="A4:A5"/>
    <mergeCell ref="B4:B5"/>
    <mergeCell ref="A28:O28"/>
    <mergeCell ref="F30:K30"/>
    <mergeCell ref="E52:O52"/>
    <mergeCell ref="A53:O53"/>
    <mergeCell ref="A30:A31"/>
    <mergeCell ref="B30:B31"/>
    <mergeCell ref="N30:O30"/>
    <mergeCell ref="C30:C31"/>
    <mergeCell ref="M30:M31"/>
    <mergeCell ref="E30:E31"/>
  </mergeCells>
  <printOptions horizontalCentered="1"/>
  <pageMargins left="0.3937007874015748" right="0.2755905511811024" top="0.3937007874015748" bottom="0" header="0" footer="0"/>
  <pageSetup blackAndWhite="1" fitToHeight="1" fitToWidth="1" horizontalDpi="600" verticalDpi="600" orientation="landscape" paperSize="9" scale="89" r:id="rId3"/>
  <colBreaks count="1" manualBreakCount="1">
    <brk id="5" max="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R112"/>
  <sheetViews>
    <sheetView showGridLines="0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6" sqref="S6"/>
    </sheetView>
  </sheetViews>
  <sheetFormatPr defaultColWidth="9.00390625" defaultRowHeight="12.75"/>
  <cols>
    <col min="1" max="1" width="6.375" style="260" customWidth="1"/>
    <col min="2" max="2" width="60.875" style="261" customWidth="1"/>
    <col min="3" max="3" width="18.50390625" style="261" customWidth="1"/>
    <col min="4" max="4" width="6.125" style="258" customWidth="1"/>
    <col min="5" max="5" width="6.375" style="258" customWidth="1"/>
    <col min="6" max="6" width="9.375" style="258" customWidth="1"/>
    <col min="7" max="7" width="9.875" style="258" customWidth="1"/>
    <col min="8" max="8" width="12.50390625" style="258" customWidth="1"/>
    <col min="9" max="10" width="6.125" style="258" customWidth="1"/>
    <col min="11" max="11" width="8.50390625" style="258" customWidth="1"/>
    <col min="12" max="12" width="9.625" style="258" customWidth="1"/>
    <col min="13" max="13" width="9.125" style="258" customWidth="1"/>
    <col min="14" max="14" width="6.00390625" style="258" customWidth="1"/>
    <col min="15" max="15" width="6.125" style="258" customWidth="1"/>
    <col min="16" max="16" width="8.375" style="258" customWidth="1"/>
    <col min="17" max="17" width="9.50390625" style="258" customWidth="1"/>
    <col min="18" max="22" width="9.125" style="258" customWidth="1"/>
    <col min="23" max="28" width="9.00390625" style="258" customWidth="1"/>
    <col min="29" max="38" width="9.00390625" style="258" hidden="1" customWidth="1"/>
    <col min="39" max="42" width="9.375" style="258" customWidth="1"/>
    <col min="43" max="43" width="9.125" style="258" customWidth="1"/>
    <col min="44" max="47" width="9.375" style="258" customWidth="1"/>
    <col min="48" max="48" width="9.125" style="258" customWidth="1"/>
    <col min="49" max="16384" width="9.375" style="258" customWidth="1"/>
  </cols>
  <sheetData>
    <row r="1" spans="1:70" ht="27" customHeight="1">
      <c r="A1" s="888"/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888"/>
      <c r="AB1" s="888"/>
      <c r="AC1" s="888"/>
      <c r="AD1" s="888"/>
      <c r="AE1" s="888"/>
      <c r="AF1" s="888"/>
      <c r="AG1" s="888"/>
      <c r="AH1" s="888"/>
      <c r="AI1" s="888"/>
      <c r="AJ1" s="888"/>
      <c r="AK1" s="888"/>
      <c r="AL1" s="888"/>
      <c r="AV1" s="259" t="s">
        <v>80</v>
      </c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</row>
    <row r="2" spans="1:38" ht="18.75" customHeight="1">
      <c r="A2" s="889" t="s">
        <v>542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89"/>
      <c r="Z2" s="889"/>
      <c r="AA2" s="889"/>
      <c r="AB2" s="889"/>
      <c r="AC2" s="889"/>
      <c r="AD2" s="889"/>
      <c r="AE2" s="889"/>
      <c r="AF2" s="889"/>
      <c r="AG2" s="889"/>
      <c r="AH2" s="889"/>
      <c r="AI2" s="889"/>
      <c r="AJ2" s="889"/>
      <c r="AK2" s="889"/>
      <c r="AL2" s="889"/>
    </row>
    <row r="3" ht="13.5" thickBot="1"/>
    <row r="4" spans="1:48" ht="51" customHeight="1">
      <c r="A4" s="894" t="s">
        <v>3</v>
      </c>
      <c r="B4" s="894" t="s">
        <v>4</v>
      </c>
      <c r="C4" s="896" t="s">
        <v>81</v>
      </c>
      <c r="D4" s="898" t="s">
        <v>606</v>
      </c>
      <c r="E4" s="890"/>
      <c r="F4" s="890"/>
      <c r="G4" s="890"/>
      <c r="H4" s="891"/>
      <c r="I4" s="900" t="s">
        <v>310</v>
      </c>
      <c r="J4" s="901"/>
      <c r="K4" s="901"/>
      <c r="L4" s="901"/>
      <c r="M4" s="901"/>
      <c r="N4" s="901"/>
      <c r="O4" s="901"/>
      <c r="P4" s="901"/>
      <c r="Q4" s="901"/>
      <c r="R4" s="846"/>
      <c r="S4" s="890" t="s">
        <v>607</v>
      </c>
      <c r="T4" s="890"/>
      <c r="U4" s="890"/>
      <c r="V4" s="890"/>
      <c r="W4" s="891"/>
      <c r="X4" s="898" t="s">
        <v>543</v>
      </c>
      <c r="Y4" s="890"/>
      <c r="Z4" s="890"/>
      <c r="AA4" s="890"/>
      <c r="AB4" s="891"/>
      <c r="AC4" s="900" t="s">
        <v>310</v>
      </c>
      <c r="AD4" s="901"/>
      <c r="AE4" s="901"/>
      <c r="AF4" s="901"/>
      <c r="AG4" s="901"/>
      <c r="AH4" s="901"/>
      <c r="AI4" s="901"/>
      <c r="AJ4" s="901"/>
      <c r="AK4" s="901"/>
      <c r="AL4" s="846"/>
      <c r="AM4" s="900" t="s">
        <v>310</v>
      </c>
      <c r="AN4" s="901"/>
      <c r="AO4" s="901"/>
      <c r="AP4" s="901"/>
      <c r="AQ4" s="901"/>
      <c r="AR4" s="901"/>
      <c r="AS4" s="901"/>
      <c r="AT4" s="901"/>
      <c r="AU4" s="901"/>
      <c r="AV4" s="846"/>
    </row>
    <row r="5" spans="1:48" ht="15.75" customHeight="1">
      <c r="A5" s="895"/>
      <c r="B5" s="895"/>
      <c r="C5" s="897"/>
      <c r="D5" s="899"/>
      <c r="E5" s="892"/>
      <c r="F5" s="892"/>
      <c r="G5" s="892"/>
      <c r="H5" s="893"/>
      <c r="I5" s="885" t="s">
        <v>532</v>
      </c>
      <c r="J5" s="886"/>
      <c r="K5" s="886"/>
      <c r="L5" s="886"/>
      <c r="M5" s="887"/>
      <c r="N5" s="885" t="s">
        <v>533</v>
      </c>
      <c r="O5" s="886"/>
      <c r="P5" s="886"/>
      <c r="Q5" s="886"/>
      <c r="R5" s="887"/>
      <c r="S5" s="892"/>
      <c r="T5" s="892"/>
      <c r="U5" s="892"/>
      <c r="V5" s="892"/>
      <c r="W5" s="893"/>
      <c r="X5" s="899"/>
      <c r="Y5" s="892"/>
      <c r="Z5" s="892"/>
      <c r="AA5" s="892"/>
      <c r="AB5" s="893"/>
      <c r="AC5" s="885" t="s">
        <v>483</v>
      </c>
      <c r="AD5" s="886"/>
      <c r="AE5" s="886"/>
      <c r="AF5" s="886"/>
      <c r="AG5" s="887"/>
      <c r="AH5" s="885" t="s">
        <v>482</v>
      </c>
      <c r="AI5" s="886"/>
      <c r="AJ5" s="886"/>
      <c r="AK5" s="886"/>
      <c r="AL5" s="887"/>
      <c r="AM5" s="885" t="s">
        <v>544</v>
      </c>
      <c r="AN5" s="886"/>
      <c r="AO5" s="886"/>
      <c r="AP5" s="886"/>
      <c r="AQ5" s="887"/>
      <c r="AR5" s="885" t="s">
        <v>545</v>
      </c>
      <c r="AS5" s="886"/>
      <c r="AT5" s="886"/>
      <c r="AU5" s="886"/>
      <c r="AV5" s="887"/>
    </row>
    <row r="6" spans="1:48" s="268" customFormat="1" ht="12" customHeight="1">
      <c r="A6" s="262">
        <v>1</v>
      </c>
      <c r="B6" s="263">
        <f>+A6+1</f>
        <v>2</v>
      </c>
      <c r="C6" s="262">
        <f>+B6+1</f>
        <v>3</v>
      </c>
      <c r="D6" s="267">
        <v>24</v>
      </c>
      <c r="E6" s="265">
        <v>25</v>
      </c>
      <c r="F6" s="265">
        <v>26</v>
      </c>
      <c r="G6" s="265">
        <v>27</v>
      </c>
      <c r="H6" s="266">
        <v>28</v>
      </c>
      <c r="I6" s="267">
        <v>34</v>
      </c>
      <c r="J6" s="265">
        <v>35</v>
      </c>
      <c r="K6" s="265">
        <v>36</v>
      </c>
      <c r="L6" s="265">
        <v>37</v>
      </c>
      <c r="M6" s="266">
        <v>38</v>
      </c>
      <c r="N6" s="267">
        <v>39</v>
      </c>
      <c r="O6" s="265">
        <v>40</v>
      </c>
      <c r="P6" s="265">
        <v>41</v>
      </c>
      <c r="Q6" s="265">
        <v>42</v>
      </c>
      <c r="R6" s="266">
        <v>43</v>
      </c>
      <c r="S6" s="264">
        <v>19</v>
      </c>
      <c r="T6" s="265">
        <v>20</v>
      </c>
      <c r="U6" s="265">
        <v>21</v>
      </c>
      <c r="V6" s="265">
        <v>22</v>
      </c>
      <c r="W6" s="266">
        <v>23</v>
      </c>
      <c r="X6" s="267">
        <v>24</v>
      </c>
      <c r="Y6" s="265">
        <v>25</v>
      </c>
      <c r="Z6" s="265">
        <v>26</v>
      </c>
      <c r="AA6" s="265">
        <v>27</v>
      </c>
      <c r="AB6" s="266">
        <v>28</v>
      </c>
      <c r="AC6" s="267">
        <v>31</v>
      </c>
      <c r="AD6" s="265">
        <v>32</v>
      </c>
      <c r="AE6" s="265">
        <v>33</v>
      </c>
      <c r="AF6" s="265">
        <v>34</v>
      </c>
      <c r="AG6" s="266">
        <v>35</v>
      </c>
      <c r="AH6" s="267">
        <v>36</v>
      </c>
      <c r="AI6" s="265">
        <v>37</v>
      </c>
      <c r="AJ6" s="265">
        <v>38</v>
      </c>
      <c r="AK6" s="265">
        <v>39</v>
      </c>
      <c r="AL6" s="266">
        <v>40</v>
      </c>
      <c r="AM6" s="267">
        <v>34</v>
      </c>
      <c r="AN6" s="265">
        <v>35</v>
      </c>
      <c r="AO6" s="265">
        <v>36</v>
      </c>
      <c r="AP6" s="265">
        <v>37</v>
      </c>
      <c r="AQ6" s="266">
        <v>38</v>
      </c>
      <c r="AR6" s="267">
        <v>39</v>
      </c>
      <c r="AS6" s="265">
        <v>40</v>
      </c>
      <c r="AT6" s="265">
        <v>41</v>
      </c>
      <c r="AU6" s="265">
        <v>42</v>
      </c>
      <c r="AV6" s="266">
        <v>43</v>
      </c>
    </row>
    <row r="7" spans="1:48" s="268" customFormat="1" ht="12" customHeight="1">
      <c r="A7" s="262"/>
      <c r="B7" s="263"/>
      <c r="C7" s="262"/>
      <c r="D7" s="269" t="s">
        <v>82</v>
      </c>
      <c r="E7" s="269" t="s">
        <v>83</v>
      </c>
      <c r="F7" s="269" t="s">
        <v>84</v>
      </c>
      <c r="G7" s="270" t="s">
        <v>85</v>
      </c>
      <c r="H7" s="269" t="s">
        <v>86</v>
      </c>
      <c r="I7" s="269" t="s">
        <v>82</v>
      </c>
      <c r="J7" s="269" t="s">
        <v>83</v>
      </c>
      <c r="K7" s="269" t="s">
        <v>84</v>
      </c>
      <c r="L7" s="270" t="s">
        <v>85</v>
      </c>
      <c r="M7" s="269" t="s">
        <v>86</v>
      </c>
      <c r="N7" s="269" t="s">
        <v>82</v>
      </c>
      <c r="O7" s="269" t="s">
        <v>83</v>
      </c>
      <c r="P7" s="269" t="s">
        <v>84</v>
      </c>
      <c r="Q7" s="270" t="s">
        <v>85</v>
      </c>
      <c r="R7" s="269" t="s">
        <v>86</v>
      </c>
      <c r="S7" s="271" t="s">
        <v>82</v>
      </c>
      <c r="T7" s="269" t="s">
        <v>83</v>
      </c>
      <c r="U7" s="269" t="s">
        <v>84</v>
      </c>
      <c r="V7" s="270" t="s">
        <v>85</v>
      </c>
      <c r="W7" s="269" t="s">
        <v>86</v>
      </c>
      <c r="X7" s="269" t="s">
        <v>82</v>
      </c>
      <c r="Y7" s="269" t="s">
        <v>83</v>
      </c>
      <c r="Z7" s="269" t="s">
        <v>84</v>
      </c>
      <c r="AA7" s="270" t="s">
        <v>85</v>
      </c>
      <c r="AB7" s="269" t="s">
        <v>86</v>
      </c>
      <c r="AC7" s="269" t="s">
        <v>82</v>
      </c>
      <c r="AD7" s="269" t="s">
        <v>83</v>
      </c>
      <c r="AE7" s="269" t="s">
        <v>84</v>
      </c>
      <c r="AF7" s="270" t="s">
        <v>85</v>
      </c>
      <c r="AG7" s="269" t="s">
        <v>86</v>
      </c>
      <c r="AH7" s="269" t="s">
        <v>82</v>
      </c>
      <c r="AI7" s="269" t="s">
        <v>83</v>
      </c>
      <c r="AJ7" s="269" t="s">
        <v>84</v>
      </c>
      <c r="AK7" s="270" t="s">
        <v>85</v>
      </c>
      <c r="AL7" s="269" t="s">
        <v>86</v>
      </c>
      <c r="AM7" s="269" t="s">
        <v>82</v>
      </c>
      <c r="AN7" s="269" t="s">
        <v>83</v>
      </c>
      <c r="AO7" s="269" t="s">
        <v>84</v>
      </c>
      <c r="AP7" s="270" t="s">
        <v>85</v>
      </c>
      <c r="AQ7" s="269" t="s">
        <v>86</v>
      </c>
      <c r="AR7" s="269" t="s">
        <v>82</v>
      </c>
      <c r="AS7" s="269" t="s">
        <v>83</v>
      </c>
      <c r="AT7" s="269" t="s">
        <v>84</v>
      </c>
      <c r="AU7" s="270" t="s">
        <v>85</v>
      </c>
      <c r="AV7" s="269" t="s">
        <v>86</v>
      </c>
    </row>
    <row r="8" spans="1:48" ht="14.25" customHeight="1">
      <c r="A8" s="272" t="s">
        <v>8</v>
      </c>
      <c r="B8" s="273" t="s">
        <v>87</v>
      </c>
      <c r="C8" s="262" t="s">
        <v>203</v>
      </c>
      <c r="D8" s="274"/>
      <c r="E8" s="275"/>
      <c r="F8" s="687">
        <v>0.0469</v>
      </c>
      <c r="G8" s="687">
        <v>0.0659</v>
      </c>
      <c r="H8" s="688">
        <f>F8+G8</f>
        <v>0.1128</v>
      </c>
      <c r="I8" s="274"/>
      <c r="J8" s="275"/>
      <c r="K8" s="687">
        <v>0.0245</v>
      </c>
      <c r="L8" s="687">
        <v>0.0343</v>
      </c>
      <c r="M8" s="688">
        <f>K8+L8</f>
        <v>0.0588</v>
      </c>
      <c r="N8" s="274"/>
      <c r="O8" s="275"/>
      <c r="P8" s="687">
        <v>0.0225</v>
      </c>
      <c r="Q8" s="687">
        <v>0.0316</v>
      </c>
      <c r="R8" s="688">
        <f>P8+Q8</f>
        <v>0.0541</v>
      </c>
      <c r="S8" s="276"/>
      <c r="T8" s="275"/>
      <c r="U8" s="275">
        <v>0.047</v>
      </c>
      <c r="V8" s="275">
        <v>0.066</v>
      </c>
      <c r="W8" s="277">
        <v>0.113</v>
      </c>
      <c r="X8" s="274"/>
      <c r="Y8" s="275"/>
      <c r="Z8" s="687">
        <v>0.0472</v>
      </c>
      <c r="AA8" s="687">
        <v>0.0616</v>
      </c>
      <c r="AB8" s="688">
        <v>0.1088</v>
      </c>
      <c r="AC8" s="274"/>
      <c r="AD8" s="275"/>
      <c r="AE8" s="275">
        <v>0.0205</v>
      </c>
      <c r="AF8" s="275">
        <v>0.059</v>
      </c>
      <c r="AG8" s="277">
        <v>0.08</v>
      </c>
      <c r="AH8" s="274"/>
      <c r="AI8" s="275"/>
      <c r="AJ8" s="275">
        <v>0.0205</v>
      </c>
      <c r="AK8" s="275">
        <v>0.059</v>
      </c>
      <c r="AL8" s="277">
        <v>0.08</v>
      </c>
      <c r="AM8" s="274"/>
      <c r="AN8" s="275"/>
      <c r="AO8" s="687">
        <v>0.0236</v>
      </c>
      <c r="AP8" s="687">
        <v>0.0318</v>
      </c>
      <c r="AQ8" s="688">
        <f>AO8+AP8</f>
        <v>0.055400000000000005</v>
      </c>
      <c r="AR8" s="274"/>
      <c r="AS8" s="275"/>
      <c r="AT8" s="687">
        <v>0.0236</v>
      </c>
      <c r="AU8" s="687">
        <v>0.0298</v>
      </c>
      <c r="AV8" s="688">
        <f>AT8+AU8</f>
        <v>0.0534</v>
      </c>
    </row>
    <row r="9" spans="1:48" ht="26.25" customHeight="1">
      <c r="A9" s="272" t="s">
        <v>67</v>
      </c>
      <c r="B9" s="273" t="s">
        <v>88</v>
      </c>
      <c r="C9" s="262" t="s">
        <v>203</v>
      </c>
      <c r="D9" s="274"/>
      <c r="E9" s="275"/>
      <c r="F9" s="687">
        <f>F8</f>
        <v>0.0469</v>
      </c>
      <c r="G9" s="275"/>
      <c r="H9" s="688">
        <f>H8</f>
        <v>0.1128</v>
      </c>
      <c r="I9" s="274"/>
      <c r="J9" s="275"/>
      <c r="K9" s="687">
        <f>K8</f>
        <v>0.0245</v>
      </c>
      <c r="L9" s="275"/>
      <c r="M9" s="687">
        <f>M8</f>
        <v>0.0588</v>
      </c>
      <c r="N9" s="274"/>
      <c r="O9" s="275"/>
      <c r="P9" s="687">
        <f>P8</f>
        <v>0.0225</v>
      </c>
      <c r="Q9" s="275"/>
      <c r="R9" s="687">
        <f>R8</f>
        <v>0.0541</v>
      </c>
      <c r="S9" s="276"/>
      <c r="T9" s="275"/>
      <c r="U9" s="275">
        <f>U8</f>
        <v>0.047</v>
      </c>
      <c r="V9" s="275"/>
      <c r="W9" s="277">
        <f>W8</f>
        <v>0.113</v>
      </c>
      <c r="X9" s="274"/>
      <c r="Y9" s="275"/>
      <c r="Z9" s="687">
        <f>Z8</f>
        <v>0.0472</v>
      </c>
      <c r="AA9" s="275"/>
      <c r="AB9" s="688">
        <f>AB8</f>
        <v>0.1088</v>
      </c>
      <c r="AC9" s="274"/>
      <c r="AD9" s="275"/>
      <c r="AE9" s="275">
        <v>0.0205</v>
      </c>
      <c r="AF9" s="275"/>
      <c r="AG9" s="277">
        <v>0.08</v>
      </c>
      <c r="AH9" s="274"/>
      <c r="AI9" s="275"/>
      <c r="AJ9" s="275">
        <v>0.0205</v>
      </c>
      <c r="AK9" s="275"/>
      <c r="AL9" s="277">
        <v>0.08</v>
      </c>
      <c r="AM9" s="274"/>
      <c r="AN9" s="275"/>
      <c r="AO9" s="687">
        <f>AO8</f>
        <v>0.0236</v>
      </c>
      <c r="AP9" s="275"/>
      <c r="AQ9" s="687">
        <f>AQ8</f>
        <v>0.055400000000000005</v>
      </c>
      <c r="AR9" s="274"/>
      <c r="AS9" s="275"/>
      <c r="AT9" s="687">
        <f>AT8</f>
        <v>0.0236</v>
      </c>
      <c r="AU9" s="275"/>
      <c r="AV9" s="687">
        <f>AV8</f>
        <v>0.0534</v>
      </c>
    </row>
    <row r="10" spans="1:48" ht="15" customHeight="1">
      <c r="A10" s="272" t="s">
        <v>89</v>
      </c>
      <c r="B10" s="273" t="s">
        <v>90</v>
      </c>
      <c r="C10" s="262" t="s">
        <v>204</v>
      </c>
      <c r="D10" s="274"/>
      <c r="E10" s="275"/>
      <c r="F10" s="275"/>
      <c r="G10" s="275"/>
      <c r="H10" s="277"/>
      <c r="I10" s="274"/>
      <c r="J10" s="275"/>
      <c r="K10" s="275"/>
      <c r="L10" s="275"/>
      <c r="M10" s="277"/>
      <c r="N10" s="274"/>
      <c r="O10" s="275"/>
      <c r="P10" s="275"/>
      <c r="Q10" s="275"/>
      <c r="R10" s="277"/>
      <c r="S10" s="276"/>
      <c r="T10" s="275"/>
      <c r="U10" s="275"/>
      <c r="V10" s="275"/>
      <c r="W10" s="277"/>
      <c r="X10" s="274"/>
      <c r="Y10" s="275"/>
      <c r="Z10" s="275"/>
      <c r="AA10" s="275"/>
      <c r="AB10" s="277"/>
      <c r="AC10" s="274"/>
      <c r="AD10" s="275"/>
      <c r="AE10" s="275"/>
      <c r="AF10" s="275"/>
      <c r="AG10" s="277"/>
      <c r="AH10" s="274"/>
      <c r="AI10" s="275"/>
      <c r="AJ10" s="275"/>
      <c r="AK10" s="275"/>
      <c r="AL10" s="277"/>
      <c r="AM10" s="274"/>
      <c r="AN10" s="275"/>
      <c r="AO10" s="275"/>
      <c r="AP10" s="275"/>
      <c r="AQ10" s="277"/>
      <c r="AR10" s="274"/>
      <c r="AS10" s="275"/>
      <c r="AT10" s="275"/>
      <c r="AU10" s="275"/>
      <c r="AV10" s="277"/>
    </row>
    <row r="11" spans="1:48" ht="15" customHeight="1">
      <c r="A11" s="272" t="s">
        <v>91</v>
      </c>
      <c r="B11" s="273" t="s">
        <v>92</v>
      </c>
      <c r="C11" s="262" t="s">
        <v>205</v>
      </c>
      <c r="D11" s="274"/>
      <c r="E11" s="275"/>
      <c r="F11" s="275">
        <v>2.06</v>
      </c>
      <c r="G11" s="275"/>
      <c r="H11" s="277">
        <f>SUM(D11:G11)</f>
        <v>2.06</v>
      </c>
      <c r="I11" s="274"/>
      <c r="J11" s="275"/>
      <c r="K11" s="275">
        <v>2.06</v>
      </c>
      <c r="L11" s="275"/>
      <c r="M11" s="277">
        <v>2.06</v>
      </c>
      <c r="N11" s="274"/>
      <c r="O11" s="275"/>
      <c r="P11" s="275">
        <v>2.06</v>
      </c>
      <c r="Q11" s="275"/>
      <c r="R11" s="277">
        <v>2.06</v>
      </c>
      <c r="S11" s="276"/>
      <c r="T11" s="275"/>
      <c r="U11" s="275">
        <v>2.06</v>
      </c>
      <c r="V11" s="275"/>
      <c r="W11" s="277">
        <f>SUM(S11:V11)</f>
        <v>2.06</v>
      </c>
      <c r="X11" s="274"/>
      <c r="Y11" s="275"/>
      <c r="Z11" s="275">
        <v>2.06</v>
      </c>
      <c r="AA11" s="275"/>
      <c r="AB11" s="277">
        <v>2.06</v>
      </c>
      <c r="AC11" s="274"/>
      <c r="AD11" s="275"/>
      <c r="AE11" s="275">
        <v>3.57</v>
      </c>
      <c r="AF11" s="275"/>
      <c r="AG11" s="277">
        <f>SUM(AC11:AF11)</f>
        <v>3.57</v>
      </c>
      <c r="AH11" s="274"/>
      <c r="AI11" s="275"/>
      <c r="AJ11" s="275">
        <v>3.57</v>
      </c>
      <c r="AK11" s="275"/>
      <c r="AL11" s="277">
        <f>SUM(AH11:AK11)</f>
        <v>3.57</v>
      </c>
      <c r="AM11" s="274"/>
      <c r="AN11" s="275"/>
      <c r="AO11" s="275">
        <v>2.06</v>
      </c>
      <c r="AP11" s="275"/>
      <c r="AQ11" s="277">
        <v>2.06</v>
      </c>
      <c r="AR11" s="274"/>
      <c r="AS11" s="275"/>
      <c r="AT11" s="275">
        <v>2.06</v>
      </c>
      <c r="AU11" s="275"/>
      <c r="AV11" s="277">
        <v>2.06</v>
      </c>
    </row>
    <row r="12" spans="1:48" ht="15" customHeight="1">
      <c r="A12" s="272" t="s">
        <v>93</v>
      </c>
      <c r="B12" s="273" t="s">
        <v>94</v>
      </c>
      <c r="C12" s="262" t="s">
        <v>206</v>
      </c>
      <c r="D12" s="274"/>
      <c r="E12" s="275"/>
      <c r="F12" s="278">
        <v>8760</v>
      </c>
      <c r="G12" s="275"/>
      <c r="H12" s="279">
        <v>8760</v>
      </c>
      <c r="I12" s="274"/>
      <c r="J12" s="275"/>
      <c r="K12" s="278">
        <v>4380</v>
      </c>
      <c r="L12" s="275"/>
      <c r="M12" s="279">
        <v>4380</v>
      </c>
      <c r="N12" s="274"/>
      <c r="O12" s="275"/>
      <c r="P12" s="278">
        <v>4380</v>
      </c>
      <c r="Q12" s="275"/>
      <c r="R12" s="279">
        <v>4380</v>
      </c>
      <c r="S12" s="276"/>
      <c r="T12" s="275"/>
      <c r="U12" s="278">
        <v>8760</v>
      </c>
      <c r="V12" s="278">
        <v>8760</v>
      </c>
      <c r="W12" s="279">
        <v>8760</v>
      </c>
      <c r="X12" s="274"/>
      <c r="Y12" s="275"/>
      <c r="Z12" s="278">
        <v>8760</v>
      </c>
      <c r="AA12" s="275"/>
      <c r="AB12" s="279">
        <v>8760</v>
      </c>
      <c r="AC12" s="274"/>
      <c r="AD12" s="275"/>
      <c r="AE12" s="278">
        <v>8760</v>
      </c>
      <c r="AF12" s="275"/>
      <c r="AG12" s="279">
        <v>8760</v>
      </c>
      <c r="AH12" s="274"/>
      <c r="AI12" s="275"/>
      <c r="AJ12" s="278">
        <v>8760</v>
      </c>
      <c r="AK12" s="275"/>
      <c r="AL12" s="279">
        <v>8760</v>
      </c>
      <c r="AM12" s="274"/>
      <c r="AN12" s="275"/>
      <c r="AO12" s="278">
        <v>4380</v>
      </c>
      <c r="AP12" s="275"/>
      <c r="AQ12" s="279">
        <v>4380</v>
      </c>
      <c r="AR12" s="274"/>
      <c r="AS12" s="275"/>
      <c r="AT12" s="278">
        <v>4380</v>
      </c>
      <c r="AU12" s="275"/>
      <c r="AV12" s="279">
        <v>4380</v>
      </c>
    </row>
    <row r="13" spans="1:48" ht="15" customHeight="1">
      <c r="A13" s="272" t="s">
        <v>69</v>
      </c>
      <c r="B13" s="273" t="s">
        <v>208</v>
      </c>
      <c r="C13" s="262" t="s">
        <v>203</v>
      </c>
      <c r="D13" s="280"/>
      <c r="E13" s="278"/>
      <c r="F13" s="278"/>
      <c r="G13" s="278"/>
      <c r="H13" s="279">
        <f>SUM(D13:G13)</f>
        <v>0</v>
      </c>
      <c r="I13" s="280"/>
      <c r="J13" s="278"/>
      <c r="K13" s="278"/>
      <c r="L13" s="278"/>
      <c r="M13" s="279"/>
      <c r="N13" s="280"/>
      <c r="O13" s="278"/>
      <c r="P13" s="278"/>
      <c r="Q13" s="278"/>
      <c r="R13" s="279"/>
      <c r="S13" s="281"/>
      <c r="T13" s="278"/>
      <c r="U13" s="278"/>
      <c r="V13" s="278"/>
      <c r="W13" s="279">
        <f>SUM(S13:V13)</f>
        <v>0</v>
      </c>
      <c r="X13" s="280"/>
      <c r="Y13" s="278"/>
      <c r="Z13" s="278"/>
      <c r="AA13" s="278"/>
      <c r="AB13" s="279">
        <f>SUM(X13:AA13)</f>
        <v>0</v>
      </c>
      <c r="AC13" s="280"/>
      <c r="AD13" s="278"/>
      <c r="AE13" s="278"/>
      <c r="AF13" s="278"/>
      <c r="AG13" s="279">
        <f>SUM(AC13:AF13)</f>
        <v>0</v>
      </c>
      <c r="AH13" s="280"/>
      <c r="AI13" s="278"/>
      <c r="AJ13" s="278"/>
      <c r="AK13" s="278"/>
      <c r="AL13" s="279">
        <f>SUM(AH13:AK13)</f>
        <v>0</v>
      </c>
      <c r="AM13" s="280"/>
      <c r="AN13" s="278"/>
      <c r="AO13" s="278"/>
      <c r="AP13" s="278"/>
      <c r="AQ13" s="279"/>
      <c r="AR13" s="280"/>
      <c r="AS13" s="278"/>
      <c r="AT13" s="278"/>
      <c r="AU13" s="278"/>
      <c r="AV13" s="279"/>
    </row>
    <row r="14" spans="1:48" ht="15" customHeight="1">
      <c r="A14" s="272" t="s">
        <v>89</v>
      </c>
      <c r="B14" s="273" t="s">
        <v>90</v>
      </c>
      <c r="C14" s="262" t="s">
        <v>95</v>
      </c>
      <c r="D14" s="280"/>
      <c r="E14" s="278"/>
      <c r="F14" s="278"/>
      <c r="G14" s="278"/>
      <c r="H14" s="279"/>
      <c r="I14" s="280"/>
      <c r="J14" s="278"/>
      <c r="K14" s="278"/>
      <c r="L14" s="278"/>
      <c r="M14" s="279"/>
      <c r="N14" s="280"/>
      <c r="O14" s="278"/>
      <c r="P14" s="278"/>
      <c r="Q14" s="278"/>
      <c r="R14" s="279"/>
      <c r="S14" s="281"/>
      <c r="T14" s="278"/>
      <c r="U14" s="278"/>
      <c r="V14" s="278"/>
      <c r="W14" s="279"/>
      <c r="X14" s="280"/>
      <c r="Y14" s="278"/>
      <c r="Z14" s="278"/>
      <c r="AA14" s="278"/>
      <c r="AB14" s="279"/>
      <c r="AC14" s="280"/>
      <c r="AD14" s="278"/>
      <c r="AE14" s="278"/>
      <c r="AF14" s="278"/>
      <c r="AG14" s="279"/>
      <c r="AH14" s="280"/>
      <c r="AI14" s="278"/>
      <c r="AJ14" s="278"/>
      <c r="AK14" s="278"/>
      <c r="AL14" s="279"/>
      <c r="AM14" s="280"/>
      <c r="AN14" s="278"/>
      <c r="AO14" s="278"/>
      <c r="AP14" s="278"/>
      <c r="AQ14" s="279"/>
      <c r="AR14" s="280"/>
      <c r="AS14" s="278"/>
      <c r="AT14" s="278"/>
      <c r="AU14" s="278"/>
      <c r="AV14" s="279"/>
    </row>
    <row r="15" spans="1:48" ht="15" customHeight="1">
      <c r="A15" s="272" t="s">
        <v>91</v>
      </c>
      <c r="B15" s="273" t="s">
        <v>96</v>
      </c>
      <c r="C15" s="262" t="s">
        <v>97</v>
      </c>
      <c r="D15" s="280"/>
      <c r="E15" s="278"/>
      <c r="F15" s="278"/>
      <c r="G15" s="278"/>
      <c r="H15" s="279">
        <f>SUM(D15:G15)</f>
        <v>0</v>
      </c>
      <c r="I15" s="280"/>
      <c r="J15" s="278"/>
      <c r="K15" s="278"/>
      <c r="L15" s="278"/>
      <c r="M15" s="279"/>
      <c r="N15" s="280"/>
      <c r="O15" s="278"/>
      <c r="P15" s="278"/>
      <c r="Q15" s="278"/>
      <c r="R15" s="279"/>
      <c r="S15" s="281"/>
      <c r="T15" s="278"/>
      <c r="U15" s="278"/>
      <c r="V15" s="278"/>
      <c r="W15" s="279">
        <f>SUM(S15:V15)</f>
        <v>0</v>
      </c>
      <c r="X15" s="280"/>
      <c r="Y15" s="278"/>
      <c r="Z15" s="278"/>
      <c r="AA15" s="278"/>
      <c r="AB15" s="279">
        <f>SUM(X15:AA15)</f>
        <v>0</v>
      </c>
      <c r="AC15" s="280"/>
      <c r="AD15" s="278"/>
      <c r="AE15" s="278"/>
      <c r="AF15" s="278"/>
      <c r="AG15" s="279">
        <f>SUM(AC15:AF15)</f>
        <v>0</v>
      </c>
      <c r="AH15" s="280"/>
      <c r="AI15" s="278"/>
      <c r="AJ15" s="278"/>
      <c r="AK15" s="278"/>
      <c r="AL15" s="279">
        <f>SUM(AH15:AK15)</f>
        <v>0</v>
      </c>
      <c r="AM15" s="280"/>
      <c r="AN15" s="278"/>
      <c r="AO15" s="278"/>
      <c r="AP15" s="278"/>
      <c r="AQ15" s="279"/>
      <c r="AR15" s="280"/>
      <c r="AS15" s="278"/>
      <c r="AT15" s="278"/>
      <c r="AU15" s="278"/>
      <c r="AV15" s="279"/>
    </row>
    <row r="16" spans="1:48" ht="15" customHeight="1">
      <c r="A16" s="272" t="s">
        <v>71</v>
      </c>
      <c r="B16" s="273" t="s">
        <v>207</v>
      </c>
      <c r="C16" s="262" t="s">
        <v>203</v>
      </c>
      <c r="D16" s="280"/>
      <c r="E16" s="278"/>
      <c r="F16" s="278"/>
      <c r="G16" s="278"/>
      <c r="H16" s="279">
        <f>SUM(D16:G16)</f>
        <v>0</v>
      </c>
      <c r="I16" s="280"/>
      <c r="J16" s="278"/>
      <c r="K16" s="278"/>
      <c r="L16" s="278"/>
      <c r="M16" s="279"/>
      <c r="N16" s="280"/>
      <c r="O16" s="278"/>
      <c r="P16" s="278"/>
      <c r="Q16" s="278"/>
      <c r="R16" s="279"/>
      <c r="S16" s="281"/>
      <c r="T16" s="278"/>
      <c r="U16" s="278"/>
      <c r="V16" s="278"/>
      <c r="W16" s="279">
        <f>SUM(S16:V16)</f>
        <v>0</v>
      </c>
      <c r="X16" s="280"/>
      <c r="Y16" s="278"/>
      <c r="Z16" s="278"/>
      <c r="AA16" s="278"/>
      <c r="AB16" s="279">
        <f>SUM(X16:AA16)</f>
        <v>0</v>
      </c>
      <c r="AC16" s="280"/>
      <c r="AD16" s="278"/>
      <c r="AE16" s="278"/>
      <c r="AF16" s="278"/>
      <c r="AG16" s="279">
        <f>SUM(AC16:AF16)</f>
        <v>0</v>
      </c>
      <c r="AH16" s="280"/>
      <c r="AI16" s="278"/>
      <c r="AJ16" s="278"/>
      <c r="AK16" s="278"/>
      <c r="AL16" s="279">
        <f>SUM(AH16:AK16)</f>
        <v>0</v>
      </c>
      <c r="AM16" s="280"/>
      <c r="AN16" s="278"/>
      <c r="AO16" s="278"/>
      <c r="AP16" s="278"/>
      <c r="AQ16" s="279"/>
      <c r="AR16" s="280"/>
      <c r="AS16" s="278"/>
      <c r="AT16" s="278"/>
      <c r="AU16" s="278"/>
      <c r="AV16" s="279"/>
    </row>
    <row r="17" spans="1:48" ht="15" customHeight="1">
      <c r="A17" s="272" t="s">
        <v>89</v>
      </c>
      <c r="B17" s="273" t="s">
        <v>90</v>
      </c>
      <c r="C17" s="262" t="s">
        <v>95</v>
      </c>
      <c r="D17" s="280"/>
      <c r="E17" s="278"/>
      <c r="F17" s="278"/>
      <c r="G17" s="278"/>
      <c r="H17" s="279"/>
      <c r="I17" s="280"/>
      <c r="J17" s="278"/>
      <c r="K17" s="278"/>
      <c r="L17" s="278"/>
      <c r="M17" s="279"/>
      <c r="N17" s="280"/>
      <c r="O17" s="278"/>
      <c r="P17" s="278"/>
      <c r="Q17" s="278"/>
      <c r="R17" s="279"/>
      <c r="S17" s="281"/>
      <c r="T17" s="278"/>
      <c r="U17" s="278"/>
      <c r="V17" s="278"/>
      <c r="W17" s="279"/>
      <c r="X17" s="280"/>
      <c r="Y17" s="278"/>
      <c r="Z17" s="278"/>
      <c r="AA17" s="278"/>
      <c r="AB17" s="279"/>
      <c r="AC17" s="280"/>
      <c r="AD17" s="278"/>
      <c r="AE17" s="278"/>
      <c r="AF17" s="278"/>
      <c r="AG17" s="279"/>
      <c r="AH17" s="280"/>
      <c r="AI17" s="278"/>
      <c r="AJ17" s="278"/>
      <c r="AK17" s="278"/>
      <c r="AL17" s="279"/>
      <c r="AM17" s="280"/>
      <c r="AN17" s="278"/>
      <c r="AO17" s="278"/>
      <c r="AP17" s="278"/>
      <c r="AQ17" s="279"/>
      <c r="AR17" s="280"/>
      <c r="AS17" s="278"/>
      <c r="AT17" s="278"/>
      <c r="AU17" s="278"/>
      <c r="AV17" s="279"/>
    </row>
    <row r="18" spans="1:48" ht="15" customHeight="1">
      <c r="A18" s="272" t="s">
        <v>91</v>
      </c>
      <c r="B18" s="273" t="s">
        <v>96</v>
      </c>
      <c r="C18" s="262" t="s">
        <v>97</v>
      </c>
      <c r="D18" s="280"/>
      <c r="E18" s="278"/>
      <c r="F18" s="278"/>
      <c r="G18" s="278"/>
      <c r="H18" s="279">
        <f>SUM(D18:G18)</f>
        <v>0</v>
      </c>
      <c r="I18" s="280"/>
      <c r="J18" s="278"/>
      <c r="K18" s="278"/>
      <c r="L18" s="278"/>
      <c r="M18" s="279"/>
      <c r="N18" s="280"/>
      <c r="O18" s="278"/>
      <c r="P18" s="278"/>
      <c r="Q18" s="278"/>
      <c r="R18" s="279"/>
      <c r="S18" s="281"/>
      <c r="T18" s="278"/>
      <c r="U18" s="278"/>
      <c r="V18" s="278"/>
      <c r="W18" s="279">
        <f>SUM(S18:V18)</f>
        <v>0</v>
      </c>
      <c r="X18" s="280"/>
      <c r="Y18" s="278"/>
      <c r="Z18" s="278"/>
      <c r="AA18" s="278"/>
      <c r="AB18" s="279">
        <f>SUM(X18:AA18)</f>
        <v>0</v>
      </c>
      <c r="AC18" s="280"/>
      <c r="AD18" s="278"/>
      <c r="AE18" s="278"/>
      <c r="AF18" s="278"/>
      <c r="AG18" s="279">
        <f>SUM(AC18:AF18)</f>
        <v>0</v>
      </c>
      <c r="AH18" s="280"/>
      <c r="AI18" s="278"/>
      <c r="AJ18" s="278"/>
      <c r="AK18" s="278"/>
      <c r="AL18" s="279">
        <f>SUM(AH18:AK18)</f>
        <v>0</v>
      </c>
      <c r="AM18" s="280"/>
      <c r="AN18" s="278"/>
      <c r="AO18" s="278"/>
      <c r="AP18" s="278"/>
      <c r="AQ18" s="279"/>
      <c r="AR18" s="280"/>
      <c r="AS18" s="278"/>
      <c r="AT18" s="278"/>
      <c r="AU18" s="278"/>
      <c r="AV18" s="279"/>
    </row>
    <row r="19" spans="1:48" ht="15" customHeight="1">
      <c r="A19" s="272" t="s">
        <v>73</v>
      </c>
      <c r="B19" s="273" t="s">
        <v>209</v>
      </c>
      <c r="C19" s="262" t="s">
        <v>203</v>
      </c>
      <c r="D19" s="280"/>
      <c r="E19" s="278"/>
      <c r="F19" s="278"/>
      <c r="G19" s="278"/>
      <c r="H19" s="279">
        <f>G19+F19+E19+D19</f>
        <v>0</v>
      </c>
      <c r="I19" s="280"/>
      <c r="J19" s="278"/>
      <c r="K19" s="278"/>
      <c r="L19" s="278"/>
      <c r="M19" s="279"/>
      <c r="N19" s="280"/>
      <c r="O19" s="278"/>
      <c r="P19" s="278"/>
      <c r="Q19" s="278"/>
      <c r="R19" s="279"/>
      <c r="S19" s="281"/>
      <c r="T19" s="278"/>
      <c r="U19" s="278"/>
      <c r="V19" s="278"/>
      <c r="W19" s="279">
        <f>V19+U19+T19+S19</f>
        <v>0</v>
      </c>
      <c r="X19" s="280"/>
      <c r="Y19" s="278"/>
      <c r="Z19" s="278"/>
      <c r="AA19" s="278"/>
      <c r="AB19" s="279">
        <f>AA19+Z19+Y19+X19</f>
        <v>0</v>
      </c>
      <c r="AC19" s="280"/>
      <c r="AD19" s="278"/>
      <c r="AE19" s="278"/>
      <c r="AF19" s="278"/>
      <c r="AG19" s="279">
        <f>AF19+AE19+AD19+AC19</f>
        <v>0</v>
      </c>
      <c r="AH19" s="280"/>
      <c r="AI19" s="278"/>
      <c r="AJ19" s="278"/>
      <c r="AK19" s="278"/>
      <c r="AL19" s="279">
        <f>AK19+AJ19+AI19+AH19</f>
        <v>0</v>
      </c>
      <c r="AM19" s="280"/>
      <c r="AN19" s="278"/>
      <c r="AO19" s="278"/>
      <c r="AP19" s="278"/>
      <c r="AQ19" s="279"/>
      <c r="AR19" s="280"/>
      <c r="AS19" s="278"/>
      <c r="AT19" s="278"/>
      <c r="AU19" s="278"/>
      <c r="AV19" s="279"/>
    </row>
    <row r="20" spans="1:48" ht="15" customHeight="1">
      <c r="A20" s="272" t="s">
        <v>89</v>
      </c>
      <c r="B20" s="273" t="s">
        <v>90</v>
      </c>
      <c r="C20" s="262" t="s">
        <v>193</v>
      </c>
      <c r="D20" s="280"/>
      <c r="E20" s="278"/>
      <c r="F20" s="278"/>
      <c r="G20" s="278"/>
      <c r="H20" s="279"/>
      <c r="I20" s="280"/>
      <c r="J20" s="278"/>
      <c r="K20" s="278"/>
      <c r="L20" s="278"/>
      <c r="M20" s="279"/>
      <c r="N20" s="280"/>
      <c r="O20" s="278"/>
      <c r="P20" s="278"/>
      <c r="Q20" s="278"/>
      <c r="R20" s="279"/>
      <c r="S20" s="281"/>
      <c r="T20" s="278"/>
      <c r="U20" s="278"/>
      <c r="V20" s="278"/>
      <c r="W20" s="279"/>
      <c r="X20" s="280"/>
      <c r="Y20" s="278"/>
      <c r="Z20" s="278"/>
      <c r="AA20" s="278"/>
      <c r="AB20" s="279"/>
      <c r="AC20" s="280"/>
      <c r="AD20" s="278"/>
      <c r="AE20" s="278"/>
      <c r="AF20" s="278"/>
      <c r="AG20" s="279"/>
      <c r="AH20" s="280"/>
      <c r="AI20" s="278"/>
      <c r="AJ20" s="278"/>
      <c r="AK20" s="278"/>
      <c r="AL20" s="279"/>
      <c r="AM20" s="280"/>
      <c r="AN20" s="278"/>
      <c r="AO20" s="278"/>
      <c r="AP20" s="278"/>
      <c r="AQ20" s="279"/>
      <c r="AR20" s="280"/>
      <c r="AS20" s="278"/>
      <c r="AT20" s="278"/>
      <c r="AU20" s="278"/>
      <c r="AV20" s="279"/>
    </row>
    <row r="21" spans="1:48" ht="15" customHeight="1">
      <c r="A21" s="272" t="s">
        <v>91</v>
      </c>
      <c r="B21" s="273" t="s">
        <v>96</v>
      </c>
      <c r="C21" s="262" t="s">
        <v>100</v>
      </c>
      <c r="D21" s="280"/>
      <c r="E21" s="278"/>
      <c r="F21" s="278"/>
      <c r="G21" s="278"/>
      <c r="H21" s="279"/>
      <c r="I21" s="280"/>
      <c r="J21" s="278"/>
      <c r="K21" s="278"/>
      <c r="L21" s="278"/>
      <c r="M21" s="279"/>
      <c r="N21" s="280"/>
      <c r="O21" s="278"/>
      <c r="P21" s="278"/>
      <c r="Q21" s="278"/>
      <c r="R21" s="279"/>
      <c r="S21" s="281"/>
      <c r="T21" s="278"/>
      <c r="U21" s="278"/>
      <c r="V21" s="278"/>
      <c r="W21" s="279"/>
      <c r="X21" s="280"/>
      <c r="Y21" s="278"/>
      <c r="Z21" s="278"/>
      <c r="AA21" s="278"/>
      <c r="AB21" s="279"/>
      <c r="AC21" s="280"/>
      <c r="AD21" s="278"/>
      <c r="AE21" s="278"/>
      <c r="AF21" s="278"/>
      <c r="AG21" s="279"/>
      <c r="AH21" s="280"/>
      <c r="AI21" s="278"/>
      <c r="AJ21" s="278"/>
      <c r="AK21" s="278"/>
      <c r="AL21" s="279"/>
      <c r="AM21" s="280"/>
      <c r="AN21" s="278"/>
      <c r="AO21" s="278"/>
      <c r="AP21" s="278"/>
      <c r="AQ21" s="279"/>
      <c r="AR21" s="280"/>
      <c r="AS21" s="278"/>
      <c r="AT21" s="278"/>
      <c r="AU21" s="278"/>
      <c r="AV21" s="279"/>
    </row>
    <row r="22" spans="1:48" ht="15" customHeight="1">
      <c r="A22" s="272" t="s">
        <v>102</v>
      </c>
      <c r="B22" s="273" t="s">
        <v>101</v>
      </c>
      <c r="C22" s="262" t="s">
        <v>203</v>
      </c>
      <c r="D22" s="280"/>
      <c r="E22" s="278"/>
      <c r="F22" s="278"/>
      <c r="G22" s="278"/>
      <c r="H22" s="279">
        <f>H23</f>
        <v>0</v>
      </c>
      <c r="I22" s="280"/>
      <c r="J22" s="278"/>
      <c r="K22" s="278"/>
      <c r="L22" s="278"/>
      <c r="M22" s="279"/>
      <c r="N22" s="280"/>
      <c r="O22" s="278"/>
      <c r="P22" s="278"/>
      <c r="Q22" s="278"/>
      <c r="R22" s="279"/>
      <c r="S22" s="281"/>
      <c r="T22" s="278"/>
      <c r="U22" s="278"/>
      <c r="V22" s="278"/>
      <c r="W22" s="279">
        <f>W23</f>
        <v>0</v>
      </c>
      <c r="X22" s="280"/>
      <c r="Y22" s="278"/>
      <c r="Z22" s="278"/>
      <c r="AA22" s="278"/>
      <c r="AB22" s="279">
        <f>AB23</f>
        <v>0</v>
      </c>
      <c r="AC22" s="280"/>
      <c r="AD22" s="278"/>
      <c r="AE22" s="278"/>
      <c r="AF22" s="278"/>
      <c r="AG22" s="279">
        <f>AG23</f>
        <v>0</v>
      </c>
      <c r="AH22" s="280"/>
      <c r="AI22" s="278"/>
      <c r="AJ22" s="278"/>
      <c r="AK22" s="278"/>
      <c r="AL22" s="279">
        <f>AL23</f>
        <v>0</v>
      </c>
      <c r="AM22" s="280"/>
      <c r="AN22" s="278"/>
      <c r="AO22" s="278"/>
      <c r="AP22" s="278"/>
      <c r="AQ22" s="279"/>
      <c r="AR22" s="280"/>
      <c r="AS22" s="278"/>
      <c r="AT22" s="278"/>
      <c r="AU22" s="278"/>
      <c r="AV22" s="279"/>
    </row>
    <row r="23" spans="1:48" ht="15" customHeight="1">
      <c r="A23" s="272" t="s">
        <v>103</v>
      </c>
      <c r="B23" s="273" t="s">
        <v>194</v>
      </c>
      <c r="C23" s="262" t="s">
        <v>203</v>
      </c>
      <c r="D23" s="280"/>
      <c r="E23" s="278"/>
      <c r="F23" s="278"/>
      <c r="G23" s="278"/>
      <c r="H23" s="279">
        <f>SUM(D23:G23)</f>
        <v>0</v>
      </c>
      <c r="I23" s="280"/>
      <c r="J23" s="278"/>
      <c r="K23" s="278"/>
      <c r="L23" s="278"/>
      <c r="M23" s="279"/>
      <c r="N23" s="280"/>
      <c r="O23" s="278"/>
      <c r="P23" s="278"/>
      <c r="Q23" s="278"/>
      <c r="R23" s="279"/>
      <c r="S23" s="281"/>
      <c r="T23" s="278"/>
      <c r="U23" s="278"/>
      <c r="V23" s="278"/>
      <c r="W23" s="279">
        <f>SUM(S23:V23)</f>
        <v>0</v>
      </c>
      <c r="X23" s="280"/>
      <c r="Y23" s="278"/>
      <c r="Z23" s="278"/>
      <c r="AA23" s="278"/>
      <c r="AB23" s="279">
        <f>SUM(X23:AA23)</f>
        <v>0</v>
      </c>
      <c r="AC23" s="280"/>
      <c r="AD23" s="278"/>
      <c r="AE23" s="278"/>
      <c r="AF23" s="278"/>
      <c r="AG23" s="279">
        <f>SUM(AC23:AF23)</f>
        <v>0</v>
      </c>
      <c r="AH23" s="280"/>
      <c r="AI23" s="278"/>
      <c r="AJ23" s="278"/>
      <c r="AK23" s="278"/>
      <c r="AL23" s="279">
        <f>SUM(AH23:AK23)</f>
        <v>0</v>
      </c>
      <c r="AM23" s="280"/>
      <c r="AN23" s="278"/>
      <c r="AO23" s="278"/>
      <c r="AP23" s="278"/>
      <c r="AQ23" s="279"/>
      <c r="AR23" s="280"/>
      <c r="AS23" s="278"/>
      <c r="AT23" s="278"/>
      <c r="AU23" s="278"/>
      <c r="AV23" s="279"/>
    </row>
    <row r="24" spans="1:48" ht="15" customHeight="1">
      <c r="A24" s="272" t="s">
        <v>89</v>
      </c>
      <c r="B24" s="273" t="s">
        <v>90</v>
      </c>
      <c r="C24" s="262" t="s">
        <v>98</v>
      </c>
      <c r="D24" s="280"/>
      <c r="E24" s="278"/>
      <c r="F24" s="278"/>
      <c r="G24" s="278"/>
      <c r="H24" s="279">
        <f>SUM(D24:G24)</f>
        <v>0</v>
      </c>
      <c r="I24" s="280"/>
      <c r="J24" s="278"/>
      <c r="K24" s="278"/>
      <c r="L24" s="278"/>
      <c r="M24" s="279"/>
      <c r="N24" s="280"/>
      <c r="O24" s="278"/>
      <c r="P24" s="278"/>
      <c r="Q24" s="278"/>
      <c r="R24" s="279"/>
      <c r="S24" s="281"/>
      <c r="T24" s="278"/>
      <c r="U24" s="278"/>
      <c r="V24" s="278"/>
      <c r="W24" s="279">
        <f>SUM(S24:V24)</f>
        <v>0</v>
      </c>
      <c r="X24" s="280"/>
      <c r="Y24" s="278"/>
      <c r="Z24" s="278"/>
      <c r="AA24" s="278"/>
      <c r="AB24" s="279">
        <f>SUM(X24:AA24)</f>
        <v>0</v>
      </c>
      <c r="AC24" s="280"/>
      <c r="AD24" s="278"/>
      <c r="AE24" s="278"/>
      <c r="AF24" s="278"/>
      <c r="AG24" s="279">
        <f>SUM(AC24:AF24)</f>
        <v>0</v>
      </c>
      <c r="AH24" s="280"/>
      <c r="AI24" s="278"/>
      <c r="AJ24" s="278"/>
      <c r="AK24" s="278"/>
      <c r="AL24" s="279">
        <f>SUM(AH24:AK24)</f>
        <v>0</v>
      </c>
      <c r="AM24" s="280"/>
      <c r="AN24" s="278"/>
      <c r="AO24" s="278"/>
      <c r="AP24" s="278"/>
      <c r="AQ24" s="279"/>
      <c r="AR24" s="280"/>
      <c r="AS24" s="278"/>
      <c r="AT24" s="278"/>
      <c r="AU24" s="278"/>
      <c r="AV24" s="279"/>
    </row>
    <row r="25" spans="1:48" ht="15" customHeight="1">
      <c r="A25" s="272" t="s">
        <v>91</v>
      </c>
      <c r="B25" s="273" t="s">
        <v>99</v>
      </c>
      <c r="C25" s="262" t="s">
        <v>100</v>
      </c>
      <c r="D25" s="280"/>
      <c r="E25" s="278"/>
      <c r="F25" s="278"/>
      <c r="G25" s="278"/>
      <c r="H25" s="279">
        <f>SUM(D25:G25)</f>
        <v>0</v>
      </c>
      <c r="I25" s="280"/>
      <c r="J25" s="278"/>
      <c r="K25" s="278"/>
      <c r="L25" s="278"/>
      <c r="M25" s="279"/>
      <c r="N25" s="280"/>
      <c r="O25" s="278"/>
      <c r="P25" s="278"/>
      <c r="Q25" s="278"/>
      <c r="R25" s="279"/>
      <c r="S25" s="281"/>
      <c r="T25" s="278"/>
      <c r="U25" s="278"/>
      <c r="V25" s="278"/>
      <c r="W25" s="279">
        <f>SUM(S25:V25)</f>
        <v>0</v>
      </c>
      <c r="X25" s="280"/>
      <c r="Y25" s="278"/>
      <c r="Z25" s="278"/>
      <c r="AA25" s="278"/>
      <c r="AB25" s="279">
        <f>SUM(X25:AA25)</f>
        <v>0</v>
      </c>
      <c r="AC25" s="280"/>
      <c r="AD25" s="278"/>
      <c r="AE25" s="278"/>
      <c r="AF25" s="278"/>
      <c r="AG25" s="279">
        <f>SUM(AC25:AF25)</f>
        <v>0</v>
      </c>
      <c r="AH25" s="280"/>
      <c r="AI25" s="278"/>
      <c r="AJ25" s="278"/>
      <c r="AK25" s="278"/>
      <c r="AL25" s="279">
        <f>SUM(AH25:AK25)</f>
        <v>0</v>
      </c>
      <c r="AM25" s="280"/>
      <c r="AN25" s="278"/>
      <c r="AO25" s="278"/>
      <c r="AP25" s="278"/>
      <c r="AQ25" s="279"/>
      <c r="AR25" s="280"/>
      <c r="AS25" s="278"/>
      <c r="AT25" s="278"/>
      <c r="AU25" s="278"/>
      <c r="AV25" s="279"/>
    </row>
    <row r="26" spans="1:48" ht="15" customHeight="1">
      <c r="A26" s="272" t="s">
        <v>104</v>
      </c>
      <c r="B26" s="273" t="s">
        <v>105</v>
      </c>
      <c r="C26" s="262"/>
      <c r="D26" s="274"/>
      <c r="E26" s="275"/>
      <c r="F26" s="275"/>
      <c r="G26" s="275"/>
      <c r="H26" s="275"/>
      <c r="I26" s="274"/>
      <c r="J26" s="275"/>
      <c r="K26" s="275"/>
      <c r="L26" s="275"/>
      <c r="M26" s="275"/>
      <c r="N26" s="274"/>
      <c r="O26" s="275"/>
      <c r="P26" s="275"/>
      <c r="Q26" s="275"/>
      <c r="R26" s="275"/>
      <c r="S26" s="276"/>
      <c r="T26" s="275"/>
      <c r="U26" s="275"/>
      <c r="V26" s="275"/>
      <c r="W26" s="277"/>
      <c r="X26" s="274"/>
      <c r="Y26" s="275"/>
      <c r="Z26" s="275"/>
      <c r="AA26" s="275"/>
      <c r="AB26" s="275"/>
      <c r="AC26" s="274"/>
      <c r="AD26" s="275"/>
      <c r="AE26" s="275"/>
      <c r="AF26" s="275">
        <v>0.059</v>
      </c>
      <c r="AG26" s="277">
        <v>0.059</v>
      </c>
      <c r="AH26" s="274"/>
      <c r="AI26" s="275"/>
      <c r="AJ26" s="275"/>
      <c r="AK26" s="275">
        <v>0.059</v>
      </c>
      <c r="AL26" s="277">
        <v>0.059</v>
      </c>
      <c r="AM26" s="274"/>
      <c r="AN26" s="275"/>
      <c r="AO26" s="275"/>
      <c r="AP26" s="275"/>
      <c r="AQ26" s="275"/>
      <c r="AR26" s="274"/>
      <c r="AS26" s="275"/>
      <c r="AT26" s="275"/>
      <c r="AU26" s="275"/>
      <c r="AV26" s="275"/>
    </row>
    <row r="27" spans="1:48" ht="36.75" customHeight="1">
      <c r="A27" s="272" t="s">
        <v>106</v>
      </c>
      <c r="B27" s="273" t="s">
        <v>195</v>
      </c>
      <c r="C27" s="262"/>
      <c r="D27" s="274"/>
      <c r="E27" s="275"/>
      <c r="F27" s="275"/>
      <c r="G27" s="275"/>
      <c r="H27" s="279">
        <f>SUM(D27:G27)</f>
        <v>0</v>
      </c>
      <c r="I27" s="274"/>
      <c r="J27" s="275"/>
      <c r="K27" s="275"/>
      <c r="L27" s="275"/>
      <c r="M27" s="279"/>
      <c r="N27" s="274"/>
      <c r="O27" s="275"/>
      <c r="P27" s="275"/>
      <c r="Q27" s="275"/>
      <c r="R27" s="279"/>
      <c r="S27" s="276"/>
      <c r="T27" s="275"/>
      <c r="U27" s="275"/>
      <c r="V27" s="275"/>
      <c r="W27" s="279">
        <f>SUM(S27:V27)</f>
        <v>0</v>
      </c>
      <c r="X27" s="274"/>
      <c r="Y27" s="275"/>
      <c r="Z27" s="275"/>
      <c r="AA27" s="275"/>
      <c r="AB27" s="279">
        <f>SUM(X27:AA27)</f>
        <v>0</v>
      </c>
      <c r="AC27" s="274"/>
      <c r="AD27" s="275"/>
      <c r="AE27" s="275"/>
      <c r="AF27" s="275"/>
      <c r="AG27" s="279">
        <f>SUM(AC27:AF27)</f>
        <v>0</v>
      </c>
      <c r="AH27" s="274"/>
      <c r="AI27" s="275"/>
      <c r="AJ27" s="275"/>
      <c r="AK27" s="275"/>
      <c r="AL27" s="279">
        <f>SUM(AH27:AK27)</f>
        <v>0</v>
      </c>
      <c r="AM27" s="274"/>
      <c r="AN27" s="275"/>
      <c r="AO27" s="275"/>
      <c r="AP27" s="275"/>
      <c r="AQ27" s="279"/>
      <c r="AR27" s="274"/>
      <c r="AS27" s="275"/>
      <c r="AT27" s="275"/>
      <c r="AU27" s="275"/>
      <c r="AV27" s="279"/>
    </row>
    <row r="28" spans="1:48" ht="15" customHeight="1">
      <c r="A28" s="272" t="s">
        <v>89</v>
      </c>
      <c r="B28" s="273" t="s">
        <v>90</v>
      </c>
      <c r="C28" s="262" t="s">
        <v>107</v>
      </c>
      <c r="D28" s="274"/>
      <c r="E28" s="275"/>
      <c r="F28" s="275"/>
      <c r="G28" s="275"/>
      <c r="H28" s="277"/>
      <c r="I28" s="274"/>
      <c r="J28" s="275"/>
      <c r="K28" s="275"/>
      <c r="L28" s="275"/>
      <c r="M28" s="277"/>
      <c r="N28" s="274"/>
      <c r="O28" s="275"/>
      <c r="P28" s="275"/>
      <c r="Q28" s="275"/>
      <c r="R28" s="277"/>
      <c r="S28" s="276"/>
      <c r="T28" s="275"/>
      <c r="U28" s="275"/>
      <c r="V28" s="275"/>
      <c r="W28" s="277"/>
      <c r="X28" s="274"/>
      <c r="Y28" s="275"/>
      <c r="Z28" s="275"/>
      <c r="AA28" s="275"/>
      <c r="AB28" s="277"/>
      <c r="AC28" s="274"/>
      <c r="AD28" s="275"/>
      <c r="AE28" s="275"/>
      <c r="AF28" s="275"/>
      <c r="AG28" s="277"/>
      <c r="AH28" s="274"/>
      <c r="AI28" s="275"/>
      <c r="AJ28" s="275"/>
      <c r="AK28" s="275"/>
      <c r="AL28" s="277"/>
      <c r="AM28" s="274"/>
      <c r="AN28" s="275"/>
      <c r="AO28" s="275"/>
      <c r="AP28" s="275"/>
      <c r="AQ28" s="277"/>
      <c r="AR28" s="274"/>
      <c r="AS28" s="275"/>
      <c r="AT28" s="275"/>
      <c r="AU28" s="275"/>
      <c r="AV28" s="277"/>
    </row>
    <row r="29" spans="1:48" ht="15" customHeight="1">
      <c r="A29" s="272" t="s">
        <v>91</v>
      </c>
      <c r="B29" s="273" t="s">
        <v>196</v>
      </c>
      <c r="C29" s="262"/>
      <c r="D29" s="274"/>
      <c r="E29" s="275"/>
      <c r="F29" s="275"/>
      <c r="G29" s="275"/>
      <c r="H29" s="277"/>
      <c r="I29" s="274"/>
      <c r="J29" s="275"/>
      <c r="K29" s="275"/>
      <c r="L29" s="275"/>
      <c r="M29" s="277"/>
      <c r="N29" s="274"/>
      <c r="O29" s="275"/>
      <c r="P29" s="275"/>
      <c r="Q29" s="275"/>
      <c r="R29" s="277"/>
      <c r="S29" s="276"/>
      <c r="T29" s="275"/>
      <c r="U29" s="275"/>
      <c r="V29" s="275"/>
      <c r="W29" s="277"/>
      <c r="X29" s="274"/>
      <c r="Y29" s="275"/>
      <c r="Z29" s="275"/>
      <c r="AA29" s="275"/>
      <c r="AB29" s="277"/>
      <c r="AC29" s="274"/>
      <c r="AD29" s="275"/>
      <c r="AE29" s="275"/>
      <c r="AF29" s="275"/>
      <c r="AG29" s="277"/>
      <c r="AH29" s="274"/>
      <c r="AI29" s="275"/>
      <c r="AJ29" s="275"/>
      <c r="AK29" s="275"/>
      <c r="AL29" s="277"/>
      <c r="AM29" s="274"/>
      <c r="AN29" s="275"/>
      <c r="AO29" s="275"/>
      <c r="AP29" s="275"/>
      <c r="AQ29" s="277"/>
      <c r="AR29" s="274"/>
      <c r="AS29" s="275"/>
      <c r="AT29" s="275"/>
      <c r="AU29" s="275"/>
      <c r="AV29" s="277"/>
    </row>
    <row r="30" spans="1:48" ht="15" customHeight="1">
      <c r="A30" s="272" t="s">
        <v>93</v>
      </c>
      <c r="B30" s="273" t="s">
        <v>108</v>
      </c>
      <c r="C30" s="262" t="s">
        <v>203</v>
      </c>
      <c r="D30" s="274"/>
      <c r="E30" s="275"/>
      <c r="F30" s="687">
        <v>5.0416</v>
      </c>
      <c r="G30" s="687">
        <v>4.9947</v>
      </c>
      <c r="H30" s="275">
        <f>F30</f>
        <v>5.0416</v>
      </c>
      <c r="I30" s="274"/>
      <c r="J30" s="275"/>
      <c r="K30" s="687">
        <v>2.6211</v>
      </c>
      <c r="L30" s="687">
        <v>2.5966</v>
      </c>
      <c r="M30" s="687">
        <f>K30</f>
        <v>2.6211</v>
      </c>
      <c r="N30" s="274"/>
      <c r="O30" s="275"/>
      <c r="P30" s="687">
        <f>'4 '!P9</f>
        <v>2.4205</v>
      </c>
      <c r="Q30" s="687">
        <f>'4 '!Q9</f>
        <v>2.398</v>
      </c>
      <c r="R30" s="688">
        <f>'4 '!M9</f>
        <v>2.4205</v>
      </c>
      <c r="S30" s="276"/>
      <c r="T30" s="275"/>
      <c r="U30" s="275">
        <v>4.995</v>
      </c>
      <c r="V30" s="275">
        <v>4.929</v>
      </c>
      <c r="W30" s="277">
        <v>4.929</v>
      </c>
      <c r="X30" s="274"/>
      <c r="Y30" s="275"/>
      <c r="Z30" s="687">
        <v>4.88</v>
      </c>
      <c r="AA30" s="687">
        <f>Z30-AA8</f>
        <v>4.8184</v>
      </c>
      <c r="AB30" s="275">
        <f>Z30</f>
        <v>4.88</v>
      </c>
      <c r="AC30" s="274"/>
      <c r="AD30" s="275"/>
      <c r="AE30" s="275">
        <v>2.8155</v>
      </c>
      <c r="AF30" s="275">
        <v>2.7565</v>
      </c>
      <c r="AG30" s="277">
        <v>2.816</v>
      </c>
      <c r="AH30" s="274"/>
      <c r="AI30" s="275"/>
      <c r="AJ30" s="275">
        <v>2.8155</v>
      </c>
      <c r="AK30" s="275">
        <v>2.7565</v>
      </c>
      <c r="AL30" s="277">
        <v>2.816</v>
      </c>
      <c r="AM30" s="274"/>
      <c r="AN30" s="275"/>
      <c r="AO30" s="687">
        <v>2.44</v>
      </c>
      <c r="AP30" s="687">
        <v>2.4082</v>
      </c>
      <c r="AQ30" s="687">
        <f>AO30</f>
        <v>2.44</v>
      </c>
      <c r="AR30" s="274"/>
      <c r="AS30" s="275"/>
      <c r="AT30" s="687">
        <v>2.44</v>
      </c>
      <c r="AU30" s="687">
        <v>2.4102</v>
      </c>
      <c r="AV30" s="688">
        <v>0</v>
      </c>
    </row>
    <row r="31" spans="1:48" ht="15" customHeight="1">
      <c r="A31" s="272" t="s">
        <v>109</v>
      </c>
      <c r="B31" s="273" t="s">
        <v>110</v>
      </c>
      <c r="C31" s="262" t="s">
        <v>203</v>
      </c>
      <c r="D31" s="274"/>
      <c r="E31" s="275"/>
      <c r="F31" s="275"/>
      <c r="G31" s="275"/>
      <c r="H31" s="275"/>
      <c r="I31" s="274"/>
      <c r="J31" s="275"/>
      <c r="K31" s="275"/>
      <c r="L31" s="275"/>
      <c r="M31" s="275"/>
      <c r="N31" s="274"/>
      <c r="O31" s="275"/>
      <c r="P31" s="275"/>
      <c r="Q31" s="275"/>
      <c r="R31" s="275"/>
      <c r="S31" s="276"/>
      <c r="T31" s="275"/>
      <c r="U31" s="275"/>
      <c r="V31" s="275"/>
      <c r="W31" s="277"/>
      <c r="X31" s="274"/>
      <c r="Y31" s="275"/>
      <c r="Z31" s="275"/>
      <c r="AA31" s="275"/>
      <c r="AB31" s="275"/>
      <c r="AC31" s="274"/>
      <c r="AD31" s="275"/>
      <c r="AE31" s="275"/>
      <c r="AF31" s="275">
        <v>0.059</v>
      </c>
      <c r="AG31" s="275">
        <v>0.059</v>
      </c>
      <c r="AH31" s="274"/>
      <c r="AI31" s="275"/>
      <c r="AJ31" s="275"/>
      <c r="AK31" s="275">
        <v>0.059</v>
      </c>
      <c r="AL31" s="275">
        <v>0.059</v>
      </c>
      <c r="AM31" s="274"/>
      <c r="AN31" s="275"/>
      <c r="AO31" s="275"/>
      <c r="AP31" s="275"/>
      <c r="AQ31" s="275"/>
      <c r="AR31" s="274"/>
      <c r="AS31" s="275"/>
      <c r="AT31" s="275"/>
      <c r="AU31" s="275"/>
      <c r="AV31" s="275"/>
    </row>
    <row r="32" spans="1:48" ht="15" customHeight="1">
      <c r="A32" s="272" t="s">
        <v>89</v>
      </c>
      <c r="B32" s="273" t="s">
        <v>90</v>
      </c>
      <c r="C32" s="262" t="s">
        <v>98</v>
      </c>
      <c r="D32" s="274"/>
      <c r="E32" s="275"/>
      <c r="F32" s="275"/>
      <c r="G32" s="275"/>
      <c r="H32" s="277"/>
      <c r="I32" s="274"/>
      <c r="J32" s="275"/>
      <c r="K32" s="275"/>
      <c r="L32" s="275"/>
      <c r="M32" s="277"/>
      <c r="N32" s="274"/>
      <c r="O32" s="275"/>
      <c r="P32" s="275"/>
      <c r="Q32" s="275"/>
      <c r="R32" s="277"/>
      <c r="S32" s="276"/>
      <c r="T32" s="275"/>
      <c r="U32" s="275"/>
      <c r="V32" s="275"/>
      <c r="W32" s="277"/>
      <c r="X32" s="274"/>
      <c r="Y32" s="275"/>
      <c r="Z32" s="275"/>
      <c r="AA32" s="275"/>
      <c r="AB32" s="277"/>
      <c r="AC32" s="274"/>
      <c r="AD32" s="275"/>
      <c r="AE32" s="275"/>
      <c r="AF32" s="275"/>
      <c r="AG32" s="277"/>
      <c r="AH32" s="274"/>
      <c r="AI32" s="275"/>
      <c r="AJ32" s="275"/>
      <c r="AK32" s="275"/>
      <c r="AL32" s="277"/>
      <c r="AM32" s="274"/>
      <c r="AN32" s="275"/>
      <c r="AO32" s="275"/>
      <c r="AP32" s="275"/>
      <c r="AQ32" s="277"/>
      <c r="AR32" s="274"/>
      <c r="AS32" s="275"/>
      <c r="AT32" s="275"/>
      <c r="AU32" s="275"/>
      <c r="AV32" s="277"/>
    </row>
    <row r="33" spans="1:48" ht="15" customHeight="1">
      <c r="A33" s="272" t="s">
        <v>91</v>
      </c>
      <c r="B33" s="273" t="s">
        <v>111</v>
      </c>
      <c r="C33" s="262" t="s">
        <v>100</v>
      </c>
      <c r="D33" s="274"/>
      <c r="E33" s="275"/>
      <c r="F33" s="275"/>
      <c r="G33" s="275"/>
      <c r="H33" s="277"/>
      <c r="I33" s="274"/>
      <c r="J33" s="275"/>
      <c r="K33" s="275"/>
      <c r="L33" s="275"/>
      <c r="M33" s="277"/>
      <c r="N33" s="274"/>
      <c r="O33" s="275"/>
      <c r="P33" s="275"/>
      <c r="Q33" s="275"/>
      <c r="R33" s="277"/>
      <c r="S33" s="276"/>
      <c r="T33" s="275"/>
      <c r="U33" s="275"/>
      <c r="V33" s="275"/>
      <c r="W33" s="277"/>
      <c r="X33" s="274"/>
      <c r="Y33" s="275"/>
      <c r="Z33" s="275"/>
      <c r="AA33" s="275"/>
      <c r="AB33" s="277"/>
      <c r="AC33" s="274"/>
      <c r="AD33" s="275"/>
      <c r="AE33" s="275"/>
      <c r="AF33" s="275"/>
      <c r="AG33" s="277">
        <v>0.2</v>
      </c>
      <c r="AH33" s="274"/>
      <c r="AI33" s="275"/>
      <c r="AJ33" s="275"/>
      <c r="AK33" s="275"/>
      <c r="AL33" s="277">
        <v>0.2</v>
      </c>
      <c r="AM33" s="274"/>
      <c r="AN33" s="275"/>
      <c r="AO33" s="275"/>
      <c r="AP33" s="275"/>
      <c r="AQ33" s="277"/>
      <c r="AR33" s="274"/>
      <c r="AS33" s="275"/>
      <c r="AT33" s="275"/>
      <c r="AU33" s="275"/>
      <c r="AV33" s="277"/>
    </row>
    <row r="34" spans="1:48" ht="15" customHeight="1">
      <c r="A34" s="272" t="s">
        <v>12</v>
      </c>
      <c r="B34" s="273" t="s">
        <v>112</v>
      </c>
      <c r="C34" s="262" t="s">
        <v>203</v>
      </c>
      <c r="D34" s="274"/>
      <c r="E34" s="275"/>
      <c r="F34" s="275"/>
      <c r="G34" s="275">
        <v>0</v>
      </c>
      <c r="H34" s="277">
        <v>0</v>
      </c>
      <c r="I34" s="274"/>
      <c r="J34" s="275"/>
      <c r="K34" s="275"/>
      <c r="L34" s="275">
        <f>'4 '!L20</f>
        <v>0</v>
      </c>
      <c r="M34" s="277">
        <f>'4 '!H20</f>
        <v>0</v>
      </c>
      <c r="N34" s="274"/>
      <c r="O34" s="275"/>
      <c r="P34" s="275"/>
      <c r="Q34" s="275">
        <f>'4 '!Q20</f>
        <v>0</v>
      </c>
      <c r="R34" s="277">
        <f>P34+Q34</f>
        <v>0</v>
      </c>
      <c r="S34" s="276"/>
      <c r="T34" s="275"/>
      <c r="U34" s="275"/>
      <c r="V34" s="275">
        <v>0</v>
      </c>
      <c r="W34" s="277">
        <v>0</v>
      </c>
      <c r="X34" s="274"/>
      <c r="Y34" s="275"/>
      <c r="Z34" s="275"/>
      <c r="AA34" s="275">
        <v>0</v>
      </c>
      <c r="AB34" s="277">
        <v>0</v>
      </c>
      <c r="AC34" s="274"/>
      <c r="AD34" s="275"/>
      <c r="AE34" s="275"/>
      <c r="AF34" s="275"/>
      <c r="AG34" s="277"/>
      <c r="AH34" s="274"/>
      <c r="AI34" s="275"/>
      <c r="AJ34" s="275"/>
      <c r="AK34" s="275"/>
      <c r="AL34" s="277"/>
      <c r="AM34" s="274"/>
      <c r="AN34" s="275"/>
      <c r="AO34" s="275"/>
      <c r="AP34" s="275">
        <f>'4 '!AP20</f>
        <v>0</v>
      </c>
      <c r="AQ34" s="277">
        <f>'4 '!AL20</f>
        <v>0</v>
      </c>
      <c r="AR34" s="274"/>
      <c r="AS34" s="275"/>
      <c r="AT34" s="275"/>
      <c r="AU34" s="275">
        <f>'4 '!AU20</f>
        <v>0</v>
      </c>
      <c r="AV34" s="277">
        <f>AT34+AU34</f>
        <v>0</v>
      </c>
    </row>
    <row r="35" spans="1:48" ht="15" customHeight="1">
      <c r="A35" s="272" t="s">
        <v>14</v>
      </c>
      <c r="B35" s="273" t="s">
        <v>113</v>
      </c>
      <c r="C35" s="262" t="s">
        <v>203</v>
      </c>
      <c r="D35" s="280"/>
      <c r="E35" s="278"/>
      <c r="F35" s="278"/>
      <c r="G35" s="278">
        <v>0</v>
      </c>
      <c r="H35" s="279">
        <f>G35</f>
        <v>0</v>
      </c>
      <c r="I35" s="280"/>
      <c r="J35" s="278"/>
      <c r="K35" s="278"/>
      <c r="L35" s="278"/>
      <c r="M35" s="279"/>
      <c r="N35" s="280"/>
      <c r="O35" s="278"/>
      <c r="P35" s="278"/>
      <c r="Q35" s="278"/>
      <c r="R35" s="279"/>
      <c r="S35" s="281"/>
      <c r="T35" s="278"/>
      <c r="U35" s="278"/>
      <c r="V35" s="278">
        <v>0</v>
      </c>
      <c r="W35" s="279">
        <f>V35</f>
        <v>0</v>
      </c>
      <c r="X35" s="280"/>
      <c r="Y35" s="278"/>
      <c r="Z35" s="278"/>
      <c r="AA35" s="278">
        <v>0</v>
      </c>
      <c r="AB35" s="279">
        <f>AA35</f>
        <v>0</v>
      </c>
      <c r="AC35" s="280"/>
      <c r="AD35" s="278"/>
      <c r="AE35" s="278"/>
      <c r="AF35" s="278">
        <v>0</v>
      </c>
      <c r="AG35" s="279">
        <f>AF35</f>
        <v>0</v>
      </c>
      <c r="AH35" s="280"/>
      <c r="AI35" s="278"/>
      <c r="AJ35" s="278"/>
      <c r="AK35" s="278">
        <v>0</v>
      </c>
      <c r="AL35" s="279">
        <f>AK35</f>
        <v>0</v>
      </c>
      <c r="AM35" s="280"/>
      <c r="AN35" s="278"/>
      <c r="AO35" s="278"/>
      <c r="AP35" s="278"/>
      <c r="AQ35" s="279"/>
      <c r="AR35" s="280"/>
      <c r="AS35" s="278"/>
      <c r="AT35" s="278"/>
      <c r="AU35" s="278"/>
      <c r="AV35" s="279"/>
    </row>
    <row r="36" spans="1:48" ht="19.5" customHeight="1" thickBot="1">
      <c r="A36" s="282" t="s">
        <v>22</v>
      </c>
      <c r="B36" s="283" t="s">
        <v>114</v>
      </c>
      <c r="C36" s="284" t="s">
        <v>203</v>
      </c>
      <c r="D36" s="285"/>
      <c r="E36" s="286"/>
      <c r="F36" s="690">
        <f>F35+F34+F8</f>
        <v>0.0469</v>
      </c>
      <c r="G36" s="690">
        <f>G35+G34+G8</f>
        <v>0.0659</v>
      </c>
      <c r="H36" s="689">
        <f>H35+H34+H8</f>
        <v>0.1128</v>
      </c>
      <c r="I36" s="285"/>
      <c r="J36" s="286"/>
      <c r="K36" s="690">
        <f>K8+K34</f>
        <v>0.0245</v>
      </c>
      <c r="L36" s="690">
        <f>L8+L34</f>
        <v>0.0343</v>
      </c>
      <c r="M36" s="689">
        <f>L36+K36</f>
        <v>0.0588</v>
      </c>
      <c r="N36" s="285"/>
      <c r="O36" s="286"/>
      <c r="P36" s="690">
        <f>P8+P34</f>
        <v>0.0225</v>
      </c>
      <c r="Q36" s="690">
        <f>Q8+Q34</f>
        <v>0.0316</v>
      </c>
      <c r="R36" s="689">
        <f>P36+Q36</f>
        <v>0.0541</v>
      </c>
      <c r="S36" s="288"/>
      <c r="T36" s="286"/>
      <c r="U36" s="286">
        <f>U35+U34+U8</f>
        <v>0.047</v>
      </c>
      <c r="V36" s="286">
        <f>V35+V34+V8</f>
        <v>0.066</v>
      </c>
      <c r="W36" s="287">
        <f>W35+W34+W8</f>
        <v>0.113</v>
      </c>
      <c r="X36" s="285"/>
      <c r="Y36" s="286"/>
      <c r="Z36" s="690">
        <f>Z35+Z34+Z8</f>
        <v>0.0472</v>
      </c>
      <c r="AA36" s="690">
        <f>AA35+AA34+AA8</f>
        <v>0.0616</v>
      </c>
      <c r="AB36" s="689">
        <f>AB35+AB34+AB8</f>
        <v>0.1088</v>
      </c>
      <c r="AC36" s="285"/>
      <c r="AD36" s="286"/>
      <c r="AE36" s="286">
        <f>AE35+AE34+AE8</f>
        <v>0.0205</v>
      </c>
      <c r="AF36" s="286">
        <f>AF35+AF34+AF8</f>
        <v>0.059</v>
      </c>
      <c r="AG36" s="287">
        <f>AG35+AG34+AG8</f>
        <v>0.08</v>
      </c>
      <c r="AH36" s="285"/>
      <c r="AI36" s="286"/>
      <c r="AJ36" s="286">
        <f>AJ35+AJ34+AJ8</f>
        <v>0.0205</v>
      </c>
      <c r="AK36" s="286">
        <f>AK35+AK34+AK8</f>
        <v>0.059</v>
      </c>
      <c r="AL36" s="287">
        <f>AL35+AL34+AL8</f>
        <v>0.08</v>
      </c>
      <c r="AM36" s="285"/>
      <c r="AN36" s="286"/>
      <c r="AO36" s="690">
        <f>AO8+AO34</f>
        <v>0.0236</v>
      </c>
      <c r="AP36" s="690">
        <f>AP8+AP34</f>
        <v>0.0318</v>
      </c>
      <c r="AQ36" s="689">
        <f>AP36+AO36</f>
        <v>0.055400000000000005</v>
      </c>
      <c r="AR36" s="285"/>
      <c r="AS36" s="286"/>
      <c r="AT36" s="690">
        <f>AT8+AT34</f>
        <v>0.0236</v>
      </c>
      <c r="AU36" s="690">
        <f>AU8+AU34</f>
        <v>0.0298</v>
      </c>
      <c r="AV36" s="689">
        <f>AT36+AU36</f>
        <v>0.0534</v>
      </c>
    </row>
    <row r="37" spans="3:48" ht="24" customHeight="1">
      <c r="C37" s="260"/>
      <c r="AO37" s="289"/>
      <c r="AP37" s="289"/>
      <c r="AQ37" s="289"/>
      <c r="AT37" s="289"/>
      <c r="AU37" s="289"/>
      <c r="AV37" s="289"/>
    </row>
    <row r="38" spans="1:46" ht="29.25" customHeight="1">
      <c r="A38" s="902" t="s">
        <v>520</v>
      </c>
      <c r="B38" s="903"/>
      <c r="C38" s="902" t="s">
        <v>541</v>
      </c>
      <c r="D38" s="904"/>
      <c r="E38" s="904"/>
      <c r="F38" s="904"/>
      <c r="G38" s="904"/>
      <c r="H38" s="904"/>
      <c r="I38" s="904"/>
      <c r="J38" s="904"/>
      <c r="K38" s="904"/>
      <c r="L38" s="904"/>
      <c r="M38" s="904"/>
      <c r="N38" s="904"/>
      <c r="O38" s="904"/>
      <c r="P38" s="904"/>
      <c r="Q38" s="904"/>
      <c r="R38" s="904"/>
      <c r="S38" s="904"/>
      <c r="T38" s="904"/>
      <c r="U38" s="904"/>
      <c r="V38" s="904"/>
      <c r="W38" s="904"/>
      <c r="X38" s="904"/>
      <c r="Y38" s="904"/>
      <c r="Z38" s="904"/>
      <c r="AA38" s="904"/>
      <c r="AB38" s="904"/>
      <c r="AC38" s="904"/>
      <c r="AD38" s="904"/>
      <c r="AE38" s="904"/>
      <c r="AF38" s="904"/>
      <c r="AG38" s="904"/>
      <c r="AH38" s="904"/>
      <c r="AI38" s="904"/>
      <c r="AJ38" s="904"/>
      <c r="AK38" s="904"/>
      <c r="AL38" s="904"/>
      <c r="AM38" s="904"/>
      <c r="AN38" s="904"/>
      <c r="AO38" s="904"/>
      <c r="AP38" s="904"/>
      <c r="AQ38" s="904"/>
      <c r="AR38" s="904"/>
      <c r="AS38" s="904"/>
      <c r="AT38" s="904"/>
    </row>
    <row r="39" spans="1:48" s="216" customFormat="1" ht="15" customHeight="1">
      <c r="A39" s="856" t="s">
        <v>521</v>
      </c>
      <c r="B39" s="856"/>
      <c r="C39" s="856"/>
      <c r="D39" s="856"/>
      <c r="E39" s="856"/>
      <c r="F39" s="856"/>
      <c r="G39" s="856"/>
      <c r="H39" s="856"/>
      <c r="I39" s="856"/>
      <c r="J39" s="856"/>
      <c r="K39" s="856"/>
      <c r="L39" s="856"/>
      <c r="M39" s="856"/>
      <c r="N39" s="856"/>
      <c r="O39" s="856"/>
      <c r="P39" s="856"/>
      <c r="Q39" s="856"/>
      <c r="R39" s="856"/>
      <c r="S39" s="856"/>
      <c r="T39" s="856"/>
      <c r="U39" s="856"/>
      <c r="V39" s="856"/>
      <c r="W39" s="856"/>
      <c r="X39" s="856"/>
      <c r="Y39" s="856"/>
      <c r="Z39" s="856"/>
      <c r="AA39" s="856"/>
      <c r="AB39" s="856"/>
      <c r="AC39" s="856"/>
      <c r="AD39" s="856"/>
      <c r="AE39" s="856"/>
      <c r="AF39" s="856"/>
      <c r="AG39" s="856"/>
      <c r="AH39" s="856"/>
      <c r="AI39" s="856"/>
      <c r="AJ39" s="856"/>
      <c r="AK39" s="856"/>
      <c r="AL39" s="856"/>
      <c r="AM39" s="856"/>
      <c r="AN39" s="856"/>
      <c r="AO39" s="856"/>
      <c r="AP39" s="856"/>
      <c r="AQ39" s="856"/>
      <c r="AR39" s="856"/>
      <c r="AS39" s="856"/>
      <c r="AT39" s="856"/>
      <c r="AU39" s="856"/>
      <c r="AV39" s="856"/>
    </row>
    <row r="40" spans="1:48" ht="18.75" customHeight="1">
      <c r="A40" s="856"/>
      <c r="B40" s="856"/>
      <c r="C40" s="856"/>
      <c r="D40" s="856"/>
      <c r="E40" s="856"/>
      <c r="F40" s="856"/>
      <c r="G40" s="856"/>
      <c r="H40" s="856"/>
      <c r="I40" s="856"/>
      <c r="J40" s="856"/>
      <c r="K40" s="856"/>
      <c r="L40" s="856"/>
      <c r="M40" s="856"/>
      <c r="N40" s="856"/>
      <c r="O40" s="856"/>
      <c r="P40" s="856"/>
      <c r="Q40" s="856"/>
      <c r="R40" s="856"/>
      <c r="S40" s="856"/>
      <c r="T40" s="856"/>
      <c r="U40" s="856"/>
      <c r="V40" s="856"/>
      <c r="W40" s="856"/>
      <c r="X40" s="856"/>
      <c r="Y40" s="856"/>
      <c r="Z40" s="856"/>
      <c r="AA40" s="856"/>
      <c r="AB40" s="856"/>
      <c r="AC40" s="856"/>
      <c r="AD40" s="856"/>
      <c r="AE40" s="856"/>
      <c r="AF40" s="856"/>
      <c r="AG40" s="856"/>
      <c r="AH40" s="856"/>
      <c r="AI40" s="856"/>
      <c r="AJ40" s="856"/>
      <c r="AK40" s="856"/>
      <c r="AL40" s="856"/>
      <c r="AM40" s="856"/>
      <c r="AN40" s="856"/>
      <c r="AO40" s="856"/>
      <c r="AP40" s="856"/>
      <c r="AQ40" s="856"/>
      <c r="AR40" s="856"/>
      <c r="AS40" s="856"/>
      <c r="AT40" s="856"/>
      <c r="AU40" s="856"/>
      <c r="AV40" s="856"/>
    </row>
    <row r="41" ht="12.75">
      <c r="C41" s="260"/>
    </row>
    <row r="42" ht="12.75">
      <c r="C42" s="260"/>
    </row>
    <row r="43" ht="12.75">
      <c r="C43" s="260"/>
    </row>
    <row r="44" ht="12.75">
      <c r="C44" s="260"/>
    </row>
    <row r="45" ht="12.75">
      <c r="C45" s="260"/>
    </row>
    <row r="46" ht="12.75">
      <c r="C46" s="260"/>
    </row>
    <row r="47" ht="12.75">
      <c r="C47" s="260"/>
    </row>
    <row r="48" ht="12.75">
      <c r="C48" s="260"/>
    </row>
    <row r="49" ht="12.75">
      <c r="C49" s="260"/>
    </row>
    <row r="50" ht="12.75">
      <c r="C50" s="260"/>
    </row>
    <row r="51" ht="12.75">
      <c r="C51" s="260"/>
    </row>
    <row r="52" ht="12.75">
      <c r="C52" s="260"/>
    </row>
    <row r="53" ht="12.75">
      <c r="C53" s="260"/>
    </row>
    <row r="54" ht="12.75">
      <c r="C54" s="260"/>
    </row>
    <row r="55" ht="12.75">
      <c r="C55" s="260"/>
    </row>
    <row r="56" ht="12.75">
      <c r="C56" s="260"/>
    </row>
    <row r="57" ht="12.75">
      <c r="C57" s="260"/>
    </row>
    <row r="58" ht="12.75">
      <c r="C58" s="260"/>
    </row>
    <row r="59" ht="12.75">
      <c r="C59" s="260"/>
    </row>
    <row r="60" ht="12.75">
      <c r="C60" s="260"/>
    </row>
    <row r="61" ht="12.75">
      <c r="C61" s="260"/>
    </row>
    <row r="62" ht="12.75">
      <c r="C62" s="260"/>
    </row>
    <row r="63" ht="12.75">
      <c r="C63" s="260"/>
    </row>
    <row r="64" ht="12.75">
      <c r="C64" s="260"/>
    </row>
    <row r="65" ht="12.75">
      <c r="C65" s="260"/>
    </row>
    <row r="66" ht="12.75">
      <c r="C66" s="260"/>
    </row>
    <row r="67" ht="12.75">
      <c r="C67" s="260"/>
    </row>
    <row r="68" ht="12.75">
      <c r="C68" s="260"/>
    </row>
    <row r="69" ht="12.75">
      <c r="C69" s="260"/>
    </row>
    <row r="70" ht="12.75">
      <c r="C70" s="260"/>
    </row>
    <row r="71" ht="12.75">
      <c r="C71" s="260"/>
    </row>
    <row r="72" ht="12.75">
      <c r="C72" s="260"/>
    </row>
    <row r="73" ht="12.75">
      <c r="C73" s="260"/>
    </row>
    <row r="74" ht="12.75">
      <c r="C74" s="260"/>
    </row>
    <row r="75" ht="12.75">
      <c r="C75" s="260"/>
    </row>
    <row r="76" ht="12.75">
      <c r="C76" s="260"/>
    </row>
    <row r="77" ht="12.75">
      <c r="C77" s="260"/>
    </row>
    <row r="78" ht="12.75">
      <c r="C78" s="260"/>
    </row>
    <row r="79" ht="12.75">
      <c r="C79" s="260"/>
    </row>
    <row r="80" ht="12.75">
      <c r="C80" s="260"/>
    </row>
    <row r="81" ht="12.75">
      <c r="C81" s="260"/>
    </row>
    <row r="82" ht="12.75">
      <c r="C82" s="260"/>
    </row>
    <row r="83" ht="12.75">
      <c r="C83" s="260"/>
    </row>
    <row r="84" ht="12.75">
      <c r="C84" s="260"/>
    </row>
    <row r="85" ht="12.75">
      <c r="C85" s="260"/>
    </row>
    <row r="86" ht="12.75">
      <c r="C86" s="260"/>
    </row>
    <row r="87" ht="12.75">
      <c r="C87" s="260"/>
    </row>
    <row r="88" ht="12.75">
      <c r="C88" s="260"/>
    </row>
    <row r="89" ht="12.75">
      <c r="C89" s="260"/>
    </row>
    <row r="90" ht="12.75">
      <c r="C90" s="260"/>
    </row>
    <row r="91" ht="12.75">
      <c r="C91" s="260"/>
    </row>
    <row r="92" ht="12.75">
      <c r="C92" s="260"/>
    </row>
    <row r="93" ht="12.75">
      <c r="C93" s="260"/>
    </row>
    <row r="94" ht="12.75">
      <c r="C94" s="260"/>
    </row>
    <row r="95" ht="12.75">
      <c r="C95" s="260"/>
    </row>
    <row r="96" ht="12.75">
      <c r="C96" s="260"/>
    </row>
    <row r="97" ht="12.75">
      <c r="C97" s="260"/>
    </row>
    <row r="98" ht="12.75">
      <c r="C98" s="260"/>
    </row>
    <row r="99" ht="12.75">
      <c r="C99" s="260"/>
    </row>
    <row r="100" ht="12.75">
      <c r="C100" s="260"/>
    </row>
    <row r="101" ht="12.75">
      <c r="C101" s="260"/>
    </row>
    <row r="102" ht="12.75">
      <c r="C102" s="260"/>
    </row>
    <row r="103" ht="12.75">
      <c r="C103" s="260"/>
    </row>
    <row r="104" ht="12.75">
      <c r="C104" s="260"/>
    </row>
    <row r="105" ht="12.75">
      <c r="C105" s="260"/>
    </row>
    <row r="106" ht="12.75">
      <c r="C106" s="260"/>
    </row>
    <row r="107" ht="12.75">
      <c r="C107" s="260"/>
    </row>
    <row r="108" ht="12.75">
      <c r="C108" s="260"/>
    </row>
    <row r="109" ht="12.75">
      <c r="C109" s="260"/>
    </row>
    <row r="110" ht="12.75">
      <c r="C110" s="260"/>
    </row>
    <row r="111" ht="12.75">
      <c r="C111" s="260"/>
    </row>
    <row r="112" ht="12.75">
      <c r="C112" s="260"/>
    </row>
  </sheetData>
  <sheetProtection/>
  <mergeCells count="20">
    <mergeCell ref="D4:H5"/>
    <mergeCell ref="I4:R4"/>
    <mergeCell ref="A39:AV40"/>
    <mergeCell ref="AM4:AV4"/>
    <mergeCell ref="X4:AB5"/>
    <mergeCell ref="AC4:AL4"/>
    <mergeCell ref="AC5:AG5"/>
    <mergeCell ref="AH5:AL5"/>
    <mergeCell ref="A38:B38"/>
    <mergeCell ref="C38:AT38"/>
    <mergeCell ref="I5:M5"/>
    <mergeCell ref="N5:R5"/>
    <mergeCell ref="A1:AL1"/>
    <mergeCell ref="A2:AL2"/>
    <mergeCell ref="S4:W5"/>
    <mergeCell ref="AR5:AV5"/>
    <mergeCell ref="AM5:AQ5"/>
    <mergeCell ref="A4:A5"/>
    <mergeCell ref="B4:B5"/>
    <mergeCell ref="C4:C5"/>
  </mergeCells>
  <printOptions horizontalCentered="1"/>
  <pageMargins left="0.1968503937007874" right="0.1968503937007874" top="0.4330708661417323" bottom="0" header="0.3937007874015748" footer="0"/>
  <pageSetup blackAndWhite="1" fitToWidth="2" fitToHeight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W41"/>
  <sheetViews>
    <sheetView showGridLines="0" view="pageBreakPreview" zoomScaleSheetLayoutView="100" zoomScalePageLayoutView="0" workbookViewId="0" topLeftCell="A1">
      <pane xSplit="2" topLeftCell="K1" activePane="topRight" state="frozen"/>
      <selection pane="topLeft" activeCell="A1" sqref="A1"/>
      <selection pane="topRight" activeCell="H9" sqref="H9"/>
    </sheetView>
  </sheetViews>
  <sheetFormatPr defaultColWidth="9.00390625" defaultRowHeight="12.75"/>
  <cols>
    <col min="1" max="1" width="5.50390625" style="258" customWidth="1"/>
    <col min="2" max="2" width="61.875" style="338" customWidth="1"/>
    <col min="3" max="3" width="7.00390625" style="258" customWidth="1"/>
    <col min="4" max="4" width="8.125" style="258" customWidth="1"/>
    <col min="5" max="5" width="5.125" style="258" customWidth="1"/>
    <col min="6" max="6" width="8.375" style="258" customWidth="1"/>
    <col min="7" max="7" width="7.00390625" style="258" customWidth="1"/>
    <col min="8" max="8" width="8.00390625" style="258" customWidth="1"/>
    <col min="9" max="9" width="6.00390625" style="258" customWidth="1"/>
    <col min="10" max="10" width="5.125" style="258" customWidth="1"/>
    <col min="11" max="11" width="7.00390625" style="258" customWidth="1"/>
    <col min="12" max="12" width="11.375" style="258" customWidth="1"/>
    <col min="13" max="13" width="9.375" style="258" customWidth="1"/>
    <col min="14" max="14" width="7.125" style="258" customWidth="1"/>
    <col min="15" max="15" width="6.375" style="258" customWidth="1"/>
    <col min="16" max="16" width="7.625" style="258" customWidth="1"/>
    <col min="17" max="17" width="10.625" style="258" customWidth="1"/>
    <col min="18" max="18" width="6.375" style="258" customWidth="1"/>
    <col min="19" max="20" width="5.375" style="258" customWidth="1"/>
    <col min="21" max="21" width="6.125" style="258" customWidth="1"/>
    <col min="22" max="22" width="5.625" style="258" customWidth="1"/>
    <col min="23" max="23" width="7.00390625" style="258" customWidth="1"/>
    <col min="24" max="25" width="5.375" style="258" customWidth="1"/>
    <col min="26" max="26" width="6.375" style="258" customWidth="1"/>
    <col min="27" max="27" width="7.125" style="258" customWidth="1"/>
    <col min="28" max="28" width="6.125" style="258" hidden="1" customWidth="1"/>
    <col min="29" max="30" width="5.375" style="258" hidden="1" customWidth="1"/>
    <col min="31" max="31" width="6.625" style="258" hidden="1" customWidth="1"/>
    <col min="32" max="32" width="5.375" style="258" hidden="1" customWidth="1"/>
    <col min="33" max="33" width="6.875" style="258" hidden="1" customWidth="1"/>
    <col min="34" max="35" width="5.375" style="258" hidden="1" customWidth="1"/>
    <col min="36" max="36" width="6.375" style="258" hidden="1" customWidth="1"/>
    <col min="37" max="37" width="5.375" style="258" hidden="1" customWidth="1"/>
    <col min="38" max="38" width="7.375" style="258" customWidth="1"/>
    <col min="39" max="39" width="5.375" style="258" customWidth="1"/>
    <col min="40" max="40" width="7.625" style="258" customWidth="1"/>
    <col min="41" max="41" width="8.375" style="258" customWidth="1"/>
    <col min="42" max="42" width="10.00390625" style="258" customWidth="1"/>
    <col min="43" max="43" width="10.875" style="258" customWidth="1"/>
    <col min="44" max="45" width="5.375" style="258" customWidth="1"/>
    <col min="46" max="46" width="9.00390625" style="258" customWidth="1"/>
    <col min="47" max="47" width="9.875" style="258" customWidth="1"/>
    <col min="48" max="48" width="9.375" style="258" customWidth="1"/>
    <col min="49" max="49" width="9.625" style="258" bestFit="1" customWidth="1"/>
    <col min="50" max="16384" width="9.375" style="258" customWidth="1"/>
  </cols>
  <sheetData>
    <row r="1" spans="1:47" ht="27" customHeight="1">
      <c r="A1" s="849" t="s">
        <v>537</v>
      </c>
      <c r="B1" s="849"/>
      <c r="C1" s="290"/>
      <c r="D1" s="290"/>
      <c r="E1" s="290"/>
      <c r="F1" s="290"/>
      <c r="G1" s="290"/>
      <c r="H1" s="290"/>
      <c r="I1" s="290"/>
      <c r="J1" s="290"/>
      <c r="K1" s="290"/>
      <c r="L1" s="925" t="s">
        <v>115</v>
      </c>
      <c r="M1" s="925"/>
      <c r="N1" s="925"/>
      <c r="O1" s="925"/>
      <c r="P1" s="925"/>
      <c r="Q1" s="925"/>
      <c r="R1" s="925"/>
      <c r="S1" s="925"/>
      <c r="T1" s="925"/>
      <c r="U1" s="925"/>
      <c r="V1" s="925"/>
      <c r="W1" s="925"/>
      <c r="X1" s="925"/>
      <c r="Y1" s="925"/>
      <c r="Z1" s="925"/>
      <c r="AA1" s="925"/>
      <c r="AB1" s="925"/>
      <c r="AC1" s="925"/>
      <c r="AD1" s="925"/>
      <c r="AE1" s="925"/>
      <c r="AF1" s="925"/>
      <c r="AG1" s="925"/>
      <c r="AH1" s="925"/>
      <c r="AI1" s="925"/>
      <c r="AJ1" s="925"/>
      <c r="AK1" s="925"/>
      <c r="AL1" s="925"/>
      <c r="AM1" s="925"/>
      <c r="AN1" s="925"/>
      <c r="AO1" s="925"/>
      <c r="AP1" s="925"/>
      <c r="AQ1" s="925"/>
      <c r="AR1" s="925"/>
      <c r="AS1" s="925"/>
      <c r="AT1" s="925"/>
      <c r="AU1" s="925"/>
    </row>
    <row r="2" spans="1:16" ht="12.75">
      <c r="A2" s="290"/>
      <c r="B2" s="291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2"/>
      <c r="N2" s="293"/>
      <c r="O2" s="293"/>
      <c r="P2" s="293"/>
    </row>
    <row r="3" spans="1:47" ht="20.25" customHeight="1">
      <c r="A3" s="914" t="s">
        <v>116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  <c r="P3" s="914"/>
      <c r="Q3" s="914"/>
      <c r="R3" s="914"/>
      <c r="S3" s="914"/>
      <c r="T3" s="914"/>
      <c r="U3" s="914"/>
      <c r="V3" s="914"/>
      <c r="W3" s="914"/>
      <c r="X3" s="914"/>
      <c r="Y3" s="914"/>
      <c r="Z3" s="914"/>
      <c r="AA3" s="914"/>
      <c r="AB3" s="914"/>
      <c r="AC3" s="914"/>
      <c r="AD3" s="914"/>
      <c r="AE3" s="914"/>
      <c r="AF3" s="914"/>
      <c r="AG3" s="914"/>
      <c r="AH3" s="914"/>
      <c r="AI3" s="914"/>
      <c r="AJ3" s="914"/>
      <c r="AK3" s="914"/>
      <c r="AL3" s="914"/>
      <c r="AM3" s="914"/>
      <c r="AN3" s="914"/>
      <c r="AO3" s="914"/>
      <c r="AP3" s="914"/>
      <c r="AQ3" s="914"/>
      <c r="AR3" s="914"/>
      <c r="AS3" s="914"/>
      <c r="AT3" s="914"/>
      <c r="AU3" s="914"/>
    </row>
    <row r="4" spans="1:14" ht="25.5" customHeight="1" thickBot="1">
      <c r="A4" s="294" t="s">
        <v>117</v>
      </c>
      <c r="B4" s="219"/>
      <c r="C4" s="294"/>
      <c r="D4" s="294"/>
      <c r="E4" s="294"/>
      <c r="F4" s="294"/>
      <c r="G4" s="294"/>
      <c r="H4" s="294"/>
      <c r="I4" s="294"/>
      <c r="J4" s="294"/>
      <c r="K4" s="294"/>
      <c r="L4" s="294"/>
      <c r="N4" s="293"/>
    </row>
    <row r="5" spans="1:47" ht="25.5" customHeight="1" thickBot="1">
      <c r="A5" s="919" t="s">
        <v>3</v>
      </c>
      <c r="B5" s="922" t="s">
        <v>4</v>
      </c>
      <c r="C5" s="898" t="s">
        <v>608</v>
      </c>
      <c r="D5" s="890"/>
      <c r="E5" s="890"/>
      <c r="F5" s="890"/>
      <c r="G5" s="891"/>
      <c r="H5" s="905" t="s">
        <v>311</v>
      </c>
      <c r="I5" s="906"/>
      <c r="J5" s="906"/>
      <c r="K5" s="906"/>
      <c r="L5" s="906"/>
      <c r="M5" s="906"/>
      <c r="N5" s="906"/>
      <c r="O5" s="906"/>
      <c r="P5" s="906"/>
      <c r="Q5" s="907"/>
      <c r="R5" s="898" t="s">
        <v>609</v>
      </c>
      <c r="S5" s="890"/>
      <c r="T5" s="890"/>
      <c r="U5" s="890"/>
      <c r="V5" s="891"/>
      <c r="W5" s="898" t="s">
        <v>547</v>
      </c>
      <c r="X5" s="890"/>
      <c r="Y5" s="890"/>
      <c r="Z5" s="890"/>
      <c r="AA5" s="891"/>
      <c r="AB5" s="905" t="s">
        <v>311</v>
      </c>
      <c r="AC5" s="926"/>
      <c r="AD5" s="926"/>
      <c r="AE5" s="926"/>
      <c r="AF5" s="926"/>
      <c r="AG5" s="926"/>
      <c r="AH5" s="926"/>
      <c r="AI5" s="926"/>
      <c r="AJ5" s="926"/>
      <c r="AK5" s="927"/>
      <c r="AL5" s="905" t="s">
        <v>311</v>
      </c>
      <c r="AM5" s="906"/>
      <c r="AN5" s="906"/>
      <c r="AO5" s="906"/>
      <c r="AP5" s="906"/>
      <c r="AQ5" s="906"/>
      <c r="AR5" s="906"/>
      <c r="AS5" s="906"/>
      <c r="AT5" s="906"/>
      <c r="AU5" s="907"/>
    </row>
    <row r="6" spans="1:47" ht="59.25" customHeight="1" thickBot="1">
      <c r="A6" s="920"/>
      <c r="B6" s="923"/>
      <c r="C6" s="915"/>
      <c r="D6" s="916"/>
      <c r="E6" s="916"/>
      <c r="F6" s="916"/>
      <c r="G6" s="917"/>
      <c r="H6" s="908" t="s">
        <v>526</v>
      </c>
      <c r="I6" s="909"/>
      <c r="J6" s="909"/>
      <c r="K6" s="909"/>
      <c r="L6" s="910"/>
      <c r="M6" s="908" t="s">
        <v>527</v>
      </c>
      <c r="N6" s="909"/>
      <c r="O6" s="909"/>
      <c r="P6" s="909"/>
      <c r="Q6" s="910"/>
      <c r="R6" s="915"/>
      <c r="S6" s="916"/>
      <c r="T6" s="916"/>
      <c r="U6" s="916"/>
      <c r="V6" s="917"/>
      <c r="W6" s="915"/>
      <c r="X6" s="916"/>
      <c r="Y6" s="916"/>
      <c r="Z6" s="916"/>
      <c r="AA6" s="917"/>
      <c r="AB6" s="908" t="s">
        <v>480</v>
      </c>
      <c r="AC6" s="928"/>
      <c r="AD6" s="928"/>
      <c r="AE6" s="928"/>
      <c r="AF6" s="929"/>
      <c r="AG6" s="908" t="s">
        <v>481</v>
      </c>
      <c r="AH6" s="909"/>
      <c r="AI6" s="909"/>
      <c r="AJ6" s="909"/>
      <c r="AK6" s="910"/>
      <c r="AL6" s="908" t="s">
        <v>548</v>
      </c>
      <c r="AM6" s="909"/>
      <c r="AN6" s="909"/>
      <c r="AO6" s="909"/>
      <c r="AP6" s="910"/>
      <c r="AQ6" s="908" t="s">
        <v>549</v>
      </c>
      <c r="AR6" s="909"/>
      <c r="AS6" s="909"/>
      <c r="AT6" s="909"/>
      <c r="AU6" s="910"/>
    </row>
    <row r="7" spans="1:47" ht="16.5" customHeight="1">
      <c r="A7" s="921"/>
      <c r="B7" s="924"/>
      <c r="C7" s="295" t="s">
        <v>86</v>
      </c>
      <c r="D7" s="296" t="s">
        <v>82</v>
      </c>
      <c r="E7" s="296" t="s">
        <v>83</v>
      </c>
      <c r="F7" s="296" t="s">
        <v>84</v>
      </c>
      <c r="G7" s="297" t="s">
        <v>85</v>
      </c>
      <c r="H7" s="295" t="s">
        <v>86</v>
      </c>
      <c r="I7" s="296" t="s">
        <v>82</v>
      </c>
      <c r="J7" s="296" t="s">
        <v>83</v>
      </c>
      <c r="K7" s="296" t="s">
        <v>84</v>
      </c>
      <c r="L7" s="297" t="s">
        <v>85</v>
      </c>
      <c r="M7" s="295" t="s">
        <v>86</v>
      </c>
      <c r="N7" s="296" t="s">
        <v>82</v>
      </c>
      <c r="O7" s="296" t="s">
        <v>83</v>
      </c>
      <c r="P7" s="296" t="s">
        <v>84</v>
      </c>
      <c r="Q7" s="297" t="s">
        <v>85</v>
      </c>
      <c r="R7" s="295" t="s">
        <v>86</v>
      </c>
      <c r="S7" s="296" t="s">
        <v>82</v>
      </c>
      <c r="T7" s="296" t="s">
        <v>83</v>
      </c>
      <c r="U7" s="296" t="s">
        <v>84</v>
      </c>
      <c r="V7" s="297" t="s">
        <v>85</v>
      </c>
      <c r="W7" s="295" t="s">
        <v>86</v>
      </c>
      <c r="X7" s="296" t="s">
        <v>82</v>
      </c>
      <c r="Y7" s="296" t="s">
        <v>83</v>
      </c>
      <c r="Z7" s="296" t="s">
        <v>84</v>
      </c>
      <c r="AA7" s="297" t="s">
        <v>85</v>
      </c>
      <c r="AB7" s="295" t="s">
        <v>86</v>
      </c>
      <c r="AC7" s="296" t="s">
        <v>82</v>
      </c>
      <c r="AD7" s="296" t="s">
        <v>83</v>
      </c>
      <c r="AE7" s="296" t="s">
        <v>84</v>
      </c>
      <c r="AF7" s="297" t="s">
        <v>85</v>
      </c>
      <c r="AG7" s="295" t="s">
        <v>86</v>
      </c>
      <c r="AH7" s="296" t="s">
        <v>82</v>
      </c>
      <c r="AI7" s="296" t="s">
        <v>83</v>
      </c>
      <c r="AJ7" s="296" t="s">
        <v>84</v>
      </c>
      <c r="AK7" s="297" t="s">
        <v>85</v>
      </c>
      <c r="AL7" s="295" t="s">
        <v>86</v>
      </c>
      <c r="AM7" s="296" t="s">
        <v>82</v>
      </c>
      <c r="AN7" s="296" t="s">
        <v>83</v>
      </c>
      <c r="AO7" s="296" t="s">
        <v>84</v>
      </c>
      <c r="AP7" s="297" t="s">
        <v>85</v>
      </c>
      <c r="AQ7" s="295" t="s">
        <v>86</v>
      </c>
      <c r="AR7" s="296" t="s">
        <v>82</v>
      </c>
      <c r="AS7" s="296" t="s">
        <v>83</v>
      </c>
      <c r="AT7" s="296" t="s">
        <v>84</v>
      </c>
      <c r="AU7" s="297" t="s">
        <v>85</v>
      </c>
    </row>
    <row r="8" spans="1:47" s="268" customFormat="1" ht="18.75" customHeight="1">
      <c r="A8" s="298">
        <v>1</v>
      </c>
      <c r="B8" s="299">
        <v>2</v>
      </c>
      <c r="C8" s="298">
        <v>23</v>
      </c>
      <c r="D8" s="300">
        <v>24</v>
      </c>
      <c r="E8" s="300">
        <f>D8+1</f>
        <v>25</v>
      </c>
      <c r="F8" s="300">
        <f>E8+1</f>
        <v>26</v>
      </c>
      <c r="G8" s="301">
        <f>F8+1</f>
        <v>27</v>
      </c>
      <c r="H8" s="298">
        <v>33</v>
      </c>
      <c r="I8" s="300">
        <f aca="true" t="shared" si="0" ref="I8:Q8">H8+1</f>
        <v>34</v>
      </c>
      <c r="J8" s="300">
        <f t="shared" si="0"/>
        <v>35</v>
      </c>
      <c r="K8" s="300">
        <f t="shared" si="0"/>
        <v>36</v>
      </c>
      <c r="L8" s="301">
        <f t="shared" si="0"/>
        <v>37</v>
      </c>
      <c r="M8" s="298">
        <f t="shared" si="0"/>
        <v>38</v>
      </c>
      <c r="N8" s="300">
        <f t="shared" si="0"/>
        <v>39</v>
      </c>
      <c r="O8" s="300">
        <f t="shared" si="0"/>
        <v>40</v>
      </c>
      <c r="P8" s="300">
        <f t="shared" si="0"/>
        <v>41</v>
      </c>
      <c r="Q8" s="301">
        <f t="shared" si="0"/>
        <v>42</v>
      </c>
      <c r="R8" s="298">
        <v>18</v>
      </c>
      <c r="S8" s="300">
        <v>19</v>
      </c>
      <c r="T8" s="300">
        <v>20</v>
      </c>
      <c r="U8" s="300">
        <v>21</v>
      </c>
      <c r="V8" s="301">
        <v>22</v>
      </c>
      <c r="W8" s="298">
        <v>23</v>
      </c>
      <c r="X8" s="300">
        <v>24</v>
      </c>
      <c r="Y8" s="300">
        <f>X8+1</f>
        <v>25</v>
      </c>
      <c r="Z8" s="300">
        <f>Y8+1</f>
        <v>26</v>
      </c>
      <c r="AA8" s="301">
        <f>Z8+1</f>
        <v>27</v>
      </c>
      <c r="AB8" s="298">
        <v>28</v>
      </c>
      <c r="AC8" s="300">
        <v>29</v>
      </c>
      <c r="AD8" s="300">
        <v>30</v>
      </c>
      <c r="AE8" s="300">
        <v>31</v>
      </c>
      <c r="AF8" s="301">
        <v>32</v>
      </c>
      <c r="AG8" s="298">
        <v>33</v>
      </c>
      <c r="AH8" s="300">
        <v>34</v>
      </c>
      <c r="AI8" s="300">
        <v>35</v>
      </c>
      <c r="AJ8" s="300">
        <v>36</v>
      </c>
      <c r="AK8" s="301">
        <v>37</v>
      </c>
      <c r="AL8" s="298">
        <v>33</v>
      </c>
      <c r="AM8" s="300">
        <f aca="true" t="shared" si="1" ref="AM8:AU8">AL8+1</f>
        <v>34</v>
      </c>
      <c r="AN8" s="300">
        <f t="shared" si="1"/>
        <v>35</v>
      </c>
      <c r="AO8" s="300">
        <f t="shared" si="1"/>
        <v>36</v>
      </c>
      <c r="AP8" s="301">
        <f t="shared" si="1"/>
        <v>37</v>
      </c>
      <c r="AQ8" s="298">
        <f t="shared" si="1"/>
        <v>38</v>
      </c>
      <c r="AR8" s="300">
        <f t="shared" si="1"/>
        <v>39</v>
      </c>
      <c r="AS8" s="300">
        <f t="shared" si="1"/>
        <v>40</v>
      </c>
      <c r="AT8" s="300">
        <f t="shared" si="1"/>
        <v>41</v>
      </c>
      <c r="AU8" s="301">
        <f t="shared" si="1"/>
        <v>42</v>
      </c>
    </row>
    <row r="9" spans="1:47" ht="12.75">
      <c r="A9" s="80" t="s">
        <v>8</v>
      </c>
      <c r="B9" s="81" t="s">
        <v>118</v>
      </c>
      <c r="C9" s="673">
        <v>5.0416</v>
      </c>
      <c r="D9" s="303"/>
      <c r="E9" s="303"/>
      <c r="F9" s="674">
        <f>C9</f>
        <v>5.0416</v>
      </c>
      <c r="G9" s="678">
        <v>4.9947</v>
      </c>
      <c r="H9" s="673">
        <v>2.6211</v>
      </c>
      <c r="I9" s="303"/>
      <c r="J9" s="303"/>
      <c r="K9" s="679">
        <f>H9</f>
        <v>2.6211</v>
      </c>
      <c r="L9" s="678">
        <f>L14</f>
        <v>2.5966</v>
      </c>
      <c r="M9" s="673">
        <v>2.4205</v>
      </c>
      <c r="N9" s="303"/>
      <c r="O9" s="303"/>
      <c r="P9" s="679">
        <f>M9</f>
        <v>2.4205</v>
      </c>
      <c r="Q9" s="304">
        <f>Q14</f>
        <v>2.398</v>
      </c>
      <c r="R9" s="302">
        <v>5.042</v>
      </c>
      <c r="S9" s="303"/>
      <c r="T9" s="303"/>
      <c r="U9" s="665">
        <v>5.042</v>
      </c>
      <c r="V9" s="304">
        <v>4.995</v>
      </c>
      <c r="W9" s="673">
        <v>4.88</v>
      </c>
      <c r="X9" s="303"/>
      <c r="Y9" s="303"/>
      <c r="Z9" s="674">
        <f>W9</f>
        <v>4.88</v>
      </c>
      <c r="AA9" s="678">
        <v>4.8328</v>
      </c>
      <c r="AB9" s="302">
        <v>2.8155</v>
      </c>
      <c r="AC9" s="303"/>
      <c r="AD9" s="303"/>
      <c r="AE9" s="303">
        <f>SUM(AB9)</f>
        <v>2.8155</v>
      </c>
      <c r="AF9" s="304">
        <f>AE9-AE18</f>
        <v>2.795</v>
      </c>
      <c r="AG9" s="302">
        <v>2.8155</v>
      </c>
      <c r="AH9" s="303"/>
      <c r="AI9" s="303"/>
      <c r="AJ9" s="303">
        <f>SUM(AG9)</f>
        <v>2.8155</v>
      </c>
      <c r="AK9" s="304">
        <f>AJ9-AJ18</f>
        <v>2.795</v>
      </c>
      <c r="AL9" s="673">
        <v>2.44</v>
      </c>
      <c r="AM9" s="303"/>
      <c r="AN9" s="303"/>
      <c r="AO9" s="679">
        <f>AL9</f>
        <v>2.44</v>
      </c>
      <c r="AP9" s="678">
        <v>2.4164</v>
      </c>
      <c r="AQ9" s="673">
        <f>W9-AL9</f>
        <v>2.44</v>
      </c>
      <c r="AR9" s="303"/>
      <c r="AS9" s="303"/>
      <c r="AT9" s="679">
        <f>AQ9</f>
        <v>2.44</v>
      </c>
      <c r="AU9" s="678">
        <f>AU14</f>
        <v>2.4164</v>
      </c>
    </row>
    <row r="10" spans="1:47" ht="12.75">
      <c r="A10" s="80" t="s">
        <v>67</v>
      </c>
      <c r="B10" s="81" t="s">
        <v>119</v>
      </c>
      <c r="C10" s="673">
        <v>5.0416</v>
      </c>
      <c r="D10" s="303"/>
      <c r="E10" s="303"/>
      <c r="F10" s="674">
        <f>F9</f>
        <v>5.0416</v>
      </c>
      <c r="G10" s="678">
        <f>G9</f>
        <v>4.9947</v>
      </c>
      <c r="H10" s="302"/>
      <c r="I10" s="303"/>
      <c r="J10" s="303"/>
      <c r="K10" s="303"/>
      <c r="L10" s="304"/>
      <c r="M10" s="302"/>
      <c r="N10" s="303"/>
      <c r="O10" s="303"/>
      <c r="P10" s="303"/>
      <c r="Q10" s="304"/>
      <c r="R10" s="302">
        <f>R9</f>
        <v>5.042</v>
      </c>
      <c r="S10" s="303"/>
      <c r="T10" s="303"/>
      <c r="U10" s="665">
        <f>U9</f>
        <v>5.042</v>
      </c>
      <c r="V10" s="304">
        <f>V9</f>
        <v>4.995</v>
      </c>
      <c r="W10" s="673">
        <f>W9</f>
        <v>4.88</v>
      </c>
      <c r="X10" s="303"/>
      <c r="Y10" s="303"/>
      <c r="Z10" s="674">
        <f>Z9</f>
        <v>4.88</v>
      </c>
      <c r="AA10" s="678">
        <f>AA9</f>
        <v>4.8328</v>
      </c>
      <c r="AB10" s="302">
        <f>SUM(AB9)</f>
        <v>2.8155</v>
      </c>
      <c r="AC10" s="303"/>
      <c r="AD10" s="303"/>
      <c r="AE10" s="303">
        <f>SUM(AE9)</f>
        <v>2.8155</v>
      </c>
      <c r="AF10" s="304">
        <f>AF9</f>
        <v>2.795</v>
      </c>
      <c r="AG10" s="302">
        <f>SUM(AG9)</f>
        <v>2.8155</v>
      </c>
      <c r="AH10" s="303"/>
      <c r="AI10" s="303"/>
      <c r="AJ10" s="303">
        <f>SUM(AJ9)</f>
        <v>2.8155</v>
      </c>
      <c r="AK10" s="304">
        <f>AK9</f>
        <v>2.795</v>
      </c>
      <c r="AL10" s="302">
        <f>AL9</f>
        <v>2.44</v>
      </c>
      <c r="AM10" s="303"/>
      <c r="AN10" s="303"/>
      <c r="AO10" s="679">
        <f>AO9</f>
        <v>2.44</v>
      </c>
      <c r="AP10" s="678">
        <f>AP9</f>
        <v>2.4164</v>
      </c>
      <c r="AQ10" s="302"/>
      <c r="AR10" s="303"/>
      <c r="AS10" s="303"/>
      <c r="AT10" s="303"/>
      <c r="AU10" s="304"/>
    </row>
    <row r="11" spans="1:47" ht="12.75">
      <c r="A11" s="80"/>
      <c r="B11" s="81" t="s">
        <v>120</v>
      </c>
      <c r="C11" s="302"/>
      <c r="D11" s="303"/>
      <c r="E11" s="303"/>
      <c r="F11" s="665"/>
      <c r="G11" s="304"/>
      <c r="H11" s="302"/>
      <c r="I11" s="303"/>
      <c r="J11" s="303"/>
      <c r="K11" s="303"/>
      <c r="L11" s="304"/>
      <c r="M11" s="302"/>
      <c r="N11" s="303"/>
      <c r="O11" s="303"/>
      <c r="P11" s="303"/>
      <c r="Q11" s="304"/>
      <c r="R11" s="302"/>
      <c r="S11" s="303"/>
      <c r="T11" s="303"/>
      <c r="U11" s="665"/>
      <c r="V11" s="304"/>
      <c r="W11" s="302"/>
      <c r="X11" s="303"/>
      <c r="Y11" s="303"/>
      <c r="Z11" s="665"/>
      <c r="AA11" s="304"/>
      <c r="AB11" s="302"/>
      <c r="AC11" s="303"/>
      <c r="AD11" s="303"/>
      <c r="AE11" s="303"/>
      <c r="AF11" s="304"/>
      <c r="AG11" s="302"/>
      <c r="AH11" s="303"/>
      <c r="AI11" s="303"/>
      <c r="AJ11" s="303"/>
      <c r="AK11" s="304"/>
      <c r="AL11" s="302"/>
      <c r="AM11" s="303"/>
      <c r="AN11" s="303"/>
      <c r="AO11" s="303"/>
      <c r="AP11" s="304"/>
      <c r="AQ11" s="302"/>
      <c r="AR11" s="303"/>
      <c r="AS11" s="303"/>
      <c r="AT11" s="303"/>
      <c r="AU11" s="304"/>
    </row>
    <row r="12" spans="1:47" ht="12.75">
      <c r="A12" s="80"/>
      <c r="B12" s="81" t="s">
        <v>82</v>
      </c>
      <c r="C12" s="305"/>
      <c r="D12" s="306"/>
      <c r="E12" s="306"/>
      <c r="F12" s="666"/>
      <c r="G12" s="307"/>
      <c r="H12" s="305"/>
      <c r="I12" s="306"/>
      <c r="J12" s="306"/>
      <c r="K12" s="306"/>
      <c r="L12" s="307"/>
      <c r="M12" s="305"/>
      <c r="N12" s="306"/>
      <c r="O12" s="306"/>
      <c r="P12" s="306"/>
      <c r="Q12" s="307"/>
      <c r="R12" s="305"/>
      <c r="S12" s="306"/>
      <c r="T12" s="306"/>
      <c r="U12" s="666"/>
      <c r="V12" s="307"/>
      <c r="W12" s="305"/>
      <c r="X12" s="306"/>
      <c r="Y12" s="306"/>
      <c r="Z12" s="666"/>
      <c r="AA12" s="307"/>
      <c r="AB12" s="305"/>
      <c r="AC12" s="306"/>
      <c r="AD12" s="306"/>
      <c r="AE12" s="306"/>
      <c r="AF12" s="307"/>
      <c r="AG12" s="305"/>
      <c r="AH12" s="306"/>
      <c r="AI12" s="306"/>
      <c r="AJ12" s="306"/>
      <c r="AK12" s="307"/>
      <c r="AL12" s="305"/>
      <c r="AM12" s="306"/>
      <c r="AN12" s="306"/>
      <c r="AO12" s="306"/>
      <c r="AP12" s="307"/>
      <c r="AQ12" s="305"/>
      <c r="AR12" s="306"/>
      <c r="AS12" s="306"/>
      <c r="AT12" s="306"/>
      <c r="AU12" s="307"/>
    </row>
    <row r="13" spans="1:47" ht="12.75">
      <c r="A13" s="80"/>
      <c r="B13" s="81" t="s">
        <v>83</v>
      </c>
      <c r="C13" s="302"/>
      <c r="D13" s="303"/>
      <c r="E13" s="303"/>
      <c r="F13" s="665"/>
      <c r="G13" s="304"/>
      <c r="H13" s="302"/>
      <c r="I13" s="303"/>
      <c r="J13" s="303"/>
      <c r="K13" s="303"/>
      <c r="L13" s="304"/>
      <c r="M13" s="302"/>
      <c r="N13" s="303"/>
      <c r="O13" s="303"/>
      <c r="P13" s="303"/>
      <c r="Q13" s="304"/>
      <c r="R13" s="302"/>
      <c r="S13" s="303"/>
      <c r="T13" s="303"/>
      <c r="U13" s="665"/>
      <c r="V13" s="304"/>
      <c r="W13" s="302"/>
      <c r="X13" s="303"/>
      <c r="Y13" s="303"/>
      <c r="Z13" s="665"/>
      <c r="AA13" s="304"/>
      <c r="AB13" s="302"/>
      <c r="AC13" s="303"/>
      <c r="AD13" s="303"/>
      <c r="AE13" s="303"/>
      <c r="AF13" s="304"/>
      <c r="AG13" s="302"/>
      <c r="AH13" s="303"/>
      <c r="AI13" s="303"/>
      <c r="AJ13" s="303"/>
      <c r="AK13" s="304"/>
      <c r="AL13" s="302"/>
      <c r="AM13" s="303"/>
      <c r="AN13" s="303"/>
      <c r="AO13" s="303"/>
      <c r="AP13" s="304"/>
      <c r="AQ13" s="302"/>
      <c r="AR13" s="303"/>
      <c r="AS13" s="303"/>
      <c r="AT13" s="303"/>
      <c r="AU13" s="304"/>
    </row>
    <row r="14" spans="1:47" ht="12.75">
      <c r="A14" s="80"/>
      <c r="B14" s="81" t="s">
        <v>121</v>
      </c>
      <c r="C14" s="673">
        <v>4.9947</v>
      </c>
      <c r="D14" s="303"/>
      <c r="E14" s="303"/>
      <c r="F14" s="665">
        <v>5.27</v>
      </c>
      <c r="G14" s="678">
        <f>G10</f>
        <v>4.9947</v>
      </c>
      <c r="H14" s="673">
        <v>2.5966</v>
      </c>
      <c r="I14" s="303"/>
      <c r="J14" s="303"/>
      <c r="K14" s="303"/>
      <c r="L14" s="678">
        <f>K23</f>
        <v>2.5966</v>
      </c>
      <c r="M14" s="302">
        <f>M9-P18</f>
        <v>2.398</v>
      </c>
      <c r="N14" s="303"/>
      <c r="O14" s="303"/>
      <c r="P14" s="303"/>
      <c r="Q14" s="304">
        <f>P23</f>
        <v>2.398</v>
      </c>
      <c r="R14" s="302">
        <v>4.995</v>
      </c>
      <c r="S14" s="303"/>
      <c r="T14" s="303"/>
      <c r="U14" s="665"/>
      <c r="V14" s="304">
        <f>R14</f>
        <v>4.995</v>
      </c>
      <c r="W14" s="673">
        <v>4.8328</v>
      </c>
      <c r="X14" s="303"/>
      <c r="Y14" s="303"/>
      <c r="Z14" s="665">
        <v>0</v>
      </c>
      <c r="AA14" s="678">
        <f>AA10</f>
        <v>4.8328</v>
      </c>
      <c r="AB14" s="302">
        <f>SUM(AB10)</f>
        <v>2.8155</v>
      </c>
      <c r="AC14" s="303"/>
      <c r="AD14" s="303"/>
      <c r="AE14" s="303">
        <f>SUM(AE10)</f>
        <v>2.8155</v>
      </c>
      <c r="AF14" s="304">
        <v>2.795</v>
      </c>
      <c r="AG14" s="302">
        <f>SUM(AG10)</f>
        <v>2.8155</v>
      </c>
      <c r="AH14" s="303"/>
      <c r="AI14" s="303"/>
      <c r="AJ14" s="303">
        <f>SUM(AJ10)</f>
        <v>2.8155</v>
      </c>
      <c r="AK14" s="304">
        <v>2.795</v>
      </c>
      <c r="AL14" s="673">
        <v>2.4164</v>
      </c>
      <c r="AM14" s="303"/>
      <c r="AN14" s="303"/>
      <c r="AO14" s="303"/>
      <c r="AP14" s="678">
        <f>AO23</f>
        <v>2.4164</v>
      </c>
      <c r="AQ14" s="673">
        <f>AQ9-AT18</f>
        <v>2.4164</v>
      </c>
      <c r="AR14" s="303"/>
      <c r="AS14" s="303"/>
      <c r="AT14" s="303"/>
      <c r="AU14" s="678">
        <f>AT23</f>
        <v>2.4164</v>
      </c>
    </row>
    <row r="15" spans="1:47" ht="12.75">
      <c r="A15" s="80" t="s">
        <v>69</v>
      </c>
      <c r="B15" s="81" t="s">
        <v>122</v>
      </c>
      <c r="C15" s="302"/>
      <c r="D15" s="303"/>
      <c r="E15" s="303"/>
      <c r="F15" s="303"/>
      <c r="G15" s="304"/>
      <c r="H15" s="302"/>
      <c r="I15" s="303"/>
      <c r="J15" s="303"/>
      <c r="K15" s="303"/>
      <c r="L15" s="304"/>
      <c r="M15" s="302"/>
      <c r="N15" s="303"/>
      <c r="O15" s="303"/>
      <c r="P15" s="303"/>
      <c r="Q15" s="304"/>
      <c r="R15" s="302"/>
      <c r="S15" s="303"/>
      <c r="T15" s="303"/>
      <c r="U15" s="665"/>
      <c r="V15" s="304"/>
      <c r="W15" s="302"/>
      <c r="X15" s="303"/>
      <c r="Y15" s="303"/>
      <c r="Z15" s="303"/>
      <c r="AA15" s="304"/>
      <c r="AB15" s="302"/>
      <c r="AC15" s="303"/>
      <c r="AD15" s="303"/>
      <c r="AE15" s="303"/>
      <c r="AF15" s="304"/>
      <c r="AG15" s="302"/>
      <c r="AH15" s="303"/>
      <c r="AI15" s="303"/>
      <c r="AJ15" s="303"/>
      <c r="AK15" s="304"/>
      <c r="AL15" s="302"/>
      <c r="AM15" s="303"/>
      <c r="AN15" s="303"/>
      <c r="AO15" s="303"/>
      <c r="AP15" s="304"/>
      <c r="AQ15" s="302"/>
      <c r="AR15" s="303"/>
      <c r="AS15" s="303"/>
      <c r="AT15" s="303"/>
      <c r="AU15" s="304"/>
    </row>
    <row r="16" spans="1:47" ht="12.75">
      <c r="A16" s="80" t="s">
        <v>71</v>
      </c>
      <c r="B16" s="81" t="s">
        <v>298</v>
      </c>
      <c r="C16" s="302"/>
      <c r="D16" s="306">
        <f>D9</f>
        <v>0</v>
      </c>
      <c r="E16" s="306"/>
      <c r="F16" s="303"/>
      <c r="G16" s="307"/>
      <c r="H16" s="673">
        <f>H9</f>
        <v>2.6211</v>
      </c>
      <c r="I16" s="303"/>
      <c r="J16" s="303"/>
      <c r="K16" s="679">
        <f>K9</f>
        <v>2.6211</v>
      </c>
      <c r="L16" s="304"/>
      <c r="M16" s="673">
        <f>M9</f>
        <v>2.4205</v>
      </c>
      <c r="N16" s="303"/>
      <c r="O16" s="303"/>
      <c r="P16" s="679">
        <f>P9</f>
        <v>2.4205</v>
      </c>
      <c r="Q16" s="304"/>
      <c r="R16" s="302">
        <f>R10</f>
        <v>5.042</v>
      </c>
      <c r="S16" s="306">
        <f>S9</f>
        <v>0</v>
      </c>
      <c r="T16" s="306"/>
      <c r="U16" s="665">
        <f>U10</f>
        <v>5.042</v>
      </c>
      <c r="V16" s="307"/>
      <c r="W16" s="302"/>
      <c r="X16" s="306">
        <f>X9</f>
        <v>0</v>
      </c>
      <c r="Y16" s="306"/>
      <c r="Z16" s="303">
        <f>Z10</f>
        <v>4.88</v>
      </c>
      <c r="AA16" s="307"/>
      <c r="AB16" s="302"/>
      <c r="AC16" s="306"/>
      <c r="AD16" s="306"/>
      <c r="AE16" s="303"/>
      <c r="AF16" s="307"/>
      <c r="AG16" s="302"/>
      <c r="AH16" s="306"/>
      <c r="AI16" s="306"/>
      <c r="AJ16" s="303"/>
      <c r="AK16" s="307"/>
      <c r="AL16" s="673">
        <f>AL9</f>
        <v>2.44</v>
      </c>
      <c r="AM16" s="303"/>
      <c r="AN16" s="303"/>
      <c r="AO16" s="679">
        <f>AO9</f>
        <v>2.44</v>
      </c>
      <c r="AP16" s="304"/>
      <c r="AQ16" s="673">
        <f>AQ9</f>
        <v>2.44</v>
      </c>
      <c r="AR16" s="303"/>
      <c r="AS16" s="303"/>
      <c r="AT16" s="679">
        <f>AT9</f>
        <v>2.44</v>
      </c>
      <c r="AU16" s="304"/>
    </row>
    <row r="17" spans="1:47" ht="12.75">
      <c r="A17" s="80" t="s">
        <v>73</v>
      </c>
      <c r="B17" s="81" t="s">
        <v>123</v>
      </c>
      <c r="C17" s="302"/>
      <c r="D17" s="303"/>
      <c r="E17" s="303"/>
      <c r="F17" s="303"/>
      <c r="G17" s="304"/>
      <c r="H17" s="302"/>
      <c r="I17" s="303"/>
      <c r="J17" s="303"/>
      <c r="K17" s="303"/>
      <c r="L17" s="308"/>
      <c r="M17" s="302"/>
      <c r="N17" s="303"/>
      <c r="O17" s="303"/>
      <c r="P17" s="303"/>
      <c r="Q17" s="304"/>
      <c r="R17" s="302"/>
      <c r="S17" s="303"/>
      <c r="T17" s="303"/>
      <c r="U17" s="665"/>
      <c r="V17" s="304"/>
      <c r="W17" s="302"/>
      <c r="X17" s="303"/>
      <c r="Y17" s="303"/>
      <c r="Z17" s="303"/>
      <c r="AA17" s="304"/>
      <c r="AB17" s="302"/>
      <c r="AC17" s="303"/>
      <c r="AD17" s="303"/>
      <c r="AE17" s="303"/>
      <c r="AF17" s="304"/>
      <c r="AG17" s="302"/>
      <c r="AH17" s="303"/>
      <c r="AI17" s="303"/>
      <c r="AJ17" s="303"/>
      <c r="AK17" s="304"/>
      <c r="AL17" s="302"/>
      <c r="AM17" s="303"/>
      <c r="AN17" s="303"/>
      <c r="AO17" s="303"/>
      <c r="AP17" s="308"/>
      <c r="AQ17" s="302"/>
      <c r="AR17" s="303"/>
      <c r="AS17" s="303"/>
      <c r="AT17" s="303"/>
      <c r="AU17" s="304"/>
    </row>
    <row r="18" spans="1:49" ht="12.75">
      <c r="A18" s="80" t="s">
        <v>12</v>
      </c>
      <c r="B18" s="81" t="s">
        <v>124</v>
      </c>
      <c r="C18" s="675">
        <v>0.1128</v>
      </c>
      <c r="D18" s="310">
        <v>0</v>
      </c>
      <c r="E18" s="311"/>
      <c r="F18" s="677">
        <v>0.0469</v>
      </c>
      <c r="G18" s="676">
        <v>0.0659</v>
      </c>
      <c r="H18" s="675">
        <v>0.0585</v>
      </c>
      <c r="I18" s="310"/>
      <c r="J18" s="311"/>
      <c r="K18" s="677">
        <v>0.0245</v>
      </c>
      <c r="L18" s="676">
        <v>0.0343</v>
      </c>
      <c r="M18" s="675">
        <v>0.0543</v>
      </c>
      <c r="N18" s="311"/>
      <c r="O18" s="311"/>
      <c r="P18" s="677">
        <v>0.0225</v>
      </c>
      <c r="Q18" s="676">
        <v>0.0316</v>
      </c>
      <c r="R18" s="309">
        <v>0.113</v>
      </c>
      <c r="S18" s="310"/>
      <c r="T18" s="311"/>
      <c r="U18" s="670">
        <v>0.047</v>
      </c>
      <c r="V18" s="312">
        <v>0.066</v>
      </c>
      <c r="W18" s="675">
        <v>0.1088</v>
      </c>
      <c r="X18" s="310">
        <f>'П1.3 2017г.'!I36</f>
        <v>0</v>
      </c>
      <c r="Y18" s="311"/>
      <c r="Z18" s="677">
        <v>0.0472</v>
      </c>
      <c r="AA18" s="676">
        <v>0.0616</v>
      </c>
      <c r="AB18" s="309">
        <v>0.0795</v>
      </c>
      <c r="AC18" s="310"/>
      <c r="AD18" s="311"/>
      <c r="AE18" s="311">
        <v>0.0205</v>
      </c>
      <c r="AF18" s="312">
        <v>0.059</v>
      </c>
      <c r="AG18" s="309">
        <v>0.0795</v>
      </c>
      <c r="AH18" s="310"/>
      <c r="AI18" s="311"/>
      <c r="AJ18" s="311">
        <v>0.0205</v>
      </c>
      <c r="AK18" s="312">
        <v>0.059</v>
      </c>
      <c r="AL18" s="675">
        <v>0.0562</v>
      </c>
      <c r="AM18" s="310"/>
      <c r="AN18" s="311"/>
      <c r="AO18" s="677">
        <v>0.0236</v>
      </c>
      <c r="AP18" s="676">
        <v>0.0318</v>
      </c>
      <c r="AQ18" s="675">
        <f>W18-AL18</f>
        <v>0.052599999999999994</v>
      </c>
      <c r="AR18" s="311"/>
      <c r="AS18" s="311"/>
      <c r="AT18" s="677">
        <v>0.0236</v>
      </c>
      <c r="AU18" s="676">
        <v>0.0298</v>
      </c>
      <c r="AW18" s="313"/>
    </row>
    <row r="19" spans="1:47" ht="12.75">
      <c r="A19" s="80"/>
      <c r="B19" s="81" t="s">
        <v>125</v>
      </c>
      <c r="C19" s="673">
        <f>C18/C9*100</f>
        <v>2.237384957156458</v>
      </c>
      <c r="D19" s="315"/>
      <c r="E19" s="315"/>
      <c r="F19" s="303">
        <f>F18/F9*100</f>
        <v>0.9302602348460806</v>
      </c>
      <c r="G19" s="304">
        <f>G18/(G9+G15)*100</f>
        <v>1.319398562476225</v>
      </c>
      <c r="H19" s="681">
        <f>H18/H9</f>
        <v>0.022318873755293577</v>
      </c>
      <c r="I19" s="315"/>
      <c r="J19" s="315"/>
      <c r="K19" s="317">
        <f>K18/K9</f>
        <v>0.009347220632558849</v>
      </c>
      <c r="L19" s="680">
        <f>L18/L9</f>
        <v>0.013209581760764075</v>
      </c>
      <c r="M19" s="681">
        <f>M18/M9</f>
        <v>0.02243338153274117</v>
      </c>
      <c r="N19" s="315"/>
      <c r="O19" s="315"/>
      <c r="P19" s="317">
        <f>P18/P9</f>
        <v>0.009295600082627555</v>
      </c>
      <c r="Q19" s="680">
        <f>Q18/Q9</f>
        <v>0.013177648040033362</v>
      </c>
      <c r="R19" s="314">
        <f>R18/R9*100</f>
        <v>2.2411741372471243</v>
      </c>
      <c r="S19" s="315"/>
      <c r="T19" s="315"/>
      <c r="U19" s="671">
        <f>U18/U9*100</f>
        <v>0.9321697738992463</v>
      </c>
      <c r="V19" s="316">
        <f>V18/(V9+V15)*100</f>
        <v>1.3213213213213215</v>
      </c>
      <c r="W19" s="673">
        <f>W18/W9*100</f>
        <v>2.2295081967213113</v>
      </c>
      <c r="X19" s="315"/>
      <c r="Y19" s="315"/>
      <c r="Z19" s="303">
        <f>Z18/Z9*100</f>
        <v>0.9672131147540983</v>
      </c>
      <c r="AA19" s="304">
        <f>AA18/(AA9+AA15)*100</f>
        <v>1.2746234067207418</v>
      </c>
      <c r="AB19" s="314">
        <f>AB18/AB9*100</f>
        <v>2.8236547682472026</v>
      </c>
      <c r="AC19" s="315"/>
      <c r="AD19" s="315"/>
      <c r="AE19" s="315">
        <f>AE18/AE9*100</f>
        <v>0.7281122358373291</v>
      </c>
      <c r="AF19" s="316">
        <f>AF18/(AF9+AF15)*100</f>
        <v>2.1109123434704826</v>
      </c>
      <c r="AG19" s="314">
        <f>AG18/AG9*100</f>
        <v>2.8236547682472026</v>
      </c>
      <c r="AH19" s="315"/>
      <c r="AI19" s="315"/>
      <c r="AJ19" s="315">
        <f>AJ18/AJ9*100</f>
        <v>0.7281122358373291</v>
      </c>
      <c r="AK19" s="316">
        <f>AK18/(AK9+AK15)*100</f>
        <v>2.1109123434704826</v>
      </c>
      <c r="AL19" s="681">
        <f>AL18/AL9</f>
        <v>0.0230327868852459</v>
      </c>
      <c r="AM19" s="315"/>
      <c r="AN19" s="315"/>
      <c r="AO19" s="317">
        <f>AO18/AO9</f>
        <v>0.009672131147540983</v>
      </c>
      <c r="AP19" s="680">
        <v>0.01316</v>
      </c>
      <c r="AQ19" s="681">
        <f>AQ18/AQ9</f>
        <v>0.021557377049180326</v>
      </c>
      <c r="AR19" s="315"/>
      <c r="AS19" s="315"/>
      <c r="AT19" s="317">
        <f>AT18/AT9</f>
        <v>0.009672131147540983</v>
      </c>
      <c r="AU19" s="680">
        <f>AU18/AU9</f>
        <v>0.012332395298791592</v>
      </c>
    </row>
    <row r="20" spans="1:47" ht="24.75" customHeight="1">
      <c r="A20" s="80" t="s">
        <v>14</v>
      </c>
      <c r="B20" s="82" t="s">
        <v>41</v>
      </c>
      <c r="C20" s="302"/>
      <c r="D20" s="306"/>
      <c r="E20" s="303"/>
      <c r="F20" s="303"/>
      <c r="G20" s="304"/>
      <c r="H20" s="302"/>
      <c r="I20" s="306"/>
      <c r="J20" s="303"/>
      <c r="K20" s="303"/>
      <c r="L20" s="304"/>
      <c r="M20" s="302"/>
      <c r="N20" s="306"/>
      <c r="O20" s="303"/>
      <c r="P20" s="303"/>
      <c r="Q20" s="304"/>
      <c r="R20" s="302">
        <v>0</v>
      </c>
      <c r="S20" s="306"/>
      <c r="T20" s="303"/>
      <c r="U20" s="303"/>
      <c r="V20" s="304">
        <v>0</v>
      </c>
      <c r="W20" s="302"/>
      <c r="X20" s="306"/>
      <c r="Y20" s="303"/>
      <c r="Z20" s="303"/>
      <c r="AA20" s="304"/>
      <c r="AB20" s="302">
        <v>0.0785</v>
      </c>
      <c r="AC20" s="306"/>
      <c r="AD20" s="303"/>
      <c r="AE20" s="303"/>
      <c r="AF20" s="304">
        <v>0.0785</v>
      </c>
      <c r="AG20" s="302">
        <v>0.0785</v>
      </c>
      <c r="AH20" s="306"/>
      <c r="AI20" s="303"/>
      <c r="AJ20" s="303"/>
      <c r="AK20" s="304">
        <v>0.0785</v>
      </c>
      <c r="AL20" s="302"/>
      <c r="AM20" s="306"/>
      <c r="AN20" s="303"/>
      <c r="AO20" s="303"/>
      <c r="AP20" s="304"/>
      <c r="AQ20" s="302"/>
      <c r="AR20" s="306"/>
      <c r="AS20" s="303"/>
      <c r="AT20" s="303"/>
      <c r="AU20" s="304"/>
    </row>
    <row r="21" spans="1:47" s="318" customFormat="1" ht="12.75">
      <c r="A21" s="80"/>
      <c r="B21" s="82" t="s">
        <v>126</v>
      </c>
      <c r="C21" s="302">
        <v>0</v>
      </c>
      <c r="D21" s="306"/>
      <c r="E21" s="303"/>
      <c r="F21" s="303"/>
      <c r="G21" s="304">
        <v>0</v>
      </c>
      <c r="H21" s="302"/>
      <c r="I21" s="306"/>
      <c r="J21" s="303"/>
      <c r="K21" s="303"/>
      <c r="L21" s="308"/>
      <c r="M21" s="302"/>
      <c r="N21" s="306"/>
      <c r="O21" s="303"/>
      <c r="P21" s="303"/>
      <c r="Q21" s="304"/>
      <c r="R21" s="302">
        <v>0</v>
      </c>
      <c r="S21" s="306"/>
      <c r="T21" s="303"/>
      <c r="U21" s="303"/>
      <c r="V21" s="667">
        <v>0</v>
      </c>
      <c r="W21" s="302">
        <v>0</v>
      </c>
      <c r="X21" s="306"/>
      <c r="Y21" s="303"/>
      <c r="Z21" s="303"/>
      <c r="AA21" s="304">
        <v>0</v>
      </c>
      <c r="AB21" s="302">
        <v>0</v>
      </c>
      <c r="AC21" s="306"/>
      <c r="AD21" s="303"/>
      <c r="AE21" s="303"/>
      <c r="AF21" s="304">
        <v>0</v>
      </c>
      <c r="AG21" s="302">
        <v>0</v>
      </c>
      <c r="AH21" s="306"/>
      <c r="AI21" s="303"/>
      <c r="AJ21" s="303"/>
      <c r="AK21" s="304">
        <v>0</v>
      </c>
      <c r="AL21" s="302"/>
      <c r="AM21" s="306"/>
      <c r="AN21" s="303"/>
      <c r="AO21" s="303"/>
      <c r="AP21" s="308"/>
      <c r="AQ21" s="302"/>
      <c r="AR21" s="306"/>
      <c r="AS21" s="303"/>
      <c r="AT21" s="303"/>
      <c r="AU21" s="304"/>
    </row>
    <row r="22" spans="1:47" ht="12.75">
      <c r="A22" s="80"/>
      <c r="B22" s="82"/>
      <c r="C22" s="319"/>
      <c r="D22" s="320"/>
      <c r="E22" s="321"/>
      <c r="F22" s="321"/>
      <c r="G22" s="672"/>
      <c r="H22" s="319"/>
      <c r="I22" s="320"/>
      <c r="J22" s="321"/>
      <c r="K22" s="321"/>
      <c r="L22" s="308"/>
      <c r="M22" s="302"/>
      <c r="N22" s="306"/>
      <c r="O22" s="303"/>
      <c r="P22" s="303"/>
      <c r="Q22" s="304"/>
      <c r="R22" s="319"/>
      <c r="S22" s="320"/>
      <c r="T22" s="321"/>
      <c r="U22" s="321"/>
      <c r="V22" s="672"/>
      <c r="W22" s="319"/>
      <c r="X22" s="320"/>
      <c r="Y22" s="321"/>
      <c r="Z22" s="321"/>
      <c r="AA22" s="672"/>
      <c r="AB22" s="319"/>
      <c r="AC22" s="320"/>
      <c r="AD22" s="321"/>
      <c r="AE22" s="321"/>
      <c r="AF22" s="322"/>
      <c r="AG22" s="319"/>
      <c r="AH22" s="320"/>
      <c r="AI22" s="321"/>
      <c r="AJ22" s="321"/>
      <c r="AK22" s="322"/>
      <c r="AL22" s="319"/>
      <c r="AM22" s="320"/>
      <c r="AN22" s="321"/>
      <c r="AO22" s="321"/>
      <c r="AP22" s="308"/>
      <c r="AQ22" s="302"/>
      <c r="AR22" s="306"/>
      <c r="AS22" s="303"/>
      <c r="AT22" s="303"/>
      <c r="AU22" s="304"/>
    </row>
    <row r="23" spans="1:47" ht="12.75">
      <c r="A23" s="80" t="s">
        <v>22</v>
      </c>
      <c r="B23" s="81" t="s">
        <v>127</v>
      </c>
      <c r="C23" s="673">
        <v>4.9288</v>
      </c>
      <c r="D23" s="306"/>
      <c r="E23" s="303"/>
      <c r="F23" s="303"/>
      <c r="G23" s="674">
        <f>G9-G18</f>
        <v>4.9288</v>
      </c>
      <c r="H23" s="302">
        <v>2.563</v>
      </c>
      <c r="I23" s="306"/>
      <c r="J23" s="303"/>
      <c r="K23" s="679">
        <f>K9-K18</f>
        <v>2.5966</v>
      </c>
      <c r="L23" s="678">
        <f>L9-L18</f>
        <v>2.5623</v>
      </c>
      <c r="M23" s="673">
        <f>M9-M18-M20</f>
        <v>2.3662</v>
      </c>
      <c r="N23" s="306"/>
      <c r="O23" s="303"/>
      <c r="P23" s="303">
        <f>P9-P18</f>
        <v>2.398</v>
      </c>
      <c r="Q23" s="678">
        <f>Q9-Q18-Q20</f>
        <v>2.3664</v>
      </c>
      <c r="R23" s="302">
        <v>4.929</v>
      </c>
      <c r="S23" s="306"/>
      <c r="T23" s="303"/>
      <c r="U23" s="303">
        <v>4.995</v>
      </c>
      <c r="V23" s="665">
        <v>4.929</v>
      </c>
      <c r="W23" s="673">
        <v>4.7712</v>
      </c>
      <c r="X23" s="306"/>
      <c r="Y23" s="303"/>
      <c r="Z23" s="679">
        <v>4.8328</v>
      </c>
      <c r="AA23" s="674">
        <f>W23</f>
        <v>4.7712</v>
      </c>
      <c r="AB23" s="302">
        <f>SUM(AB9-AB18-AB20)</f>
        <v>2.6575</v>
      </c>
      <c r="AC23" s="306"/>
      <c r="AD23" s="303"/>
      <c r="AE23" s="303"/>
      <c r="AF23" s="304">
        <v>2.736</v>
      </c>
      <c r="AG23" s="302">
        <f>SUM(AG9-AG18-AG20)</f>
        <v>2.6575</v>
      </c>
      <c r="AH23" s="306"/>
      <c r="AI23" s="303"/>
      <c r="AJ23" s="303"/>
      <c r="AK23" s="304">
        <v>2.736</v>
      </c>
      <c r="AL23" s="673">
        <v>2.3838</v>
      </c>
      <c r="AM23" s="306"/>
      <c r="AN23" s="303"/>
      <c r="AO23" s="679">
        <f>AO9-AO18</f>
        <v>2.4164</v>
      </c>
      <c r="AP23" s="678">
        <v>2.3838</v>
      </c>
      <c r="AQ23" s="673">
        <f>AQ9-AQ18-AQ20</f>
        <v>2.3874</v>
      </c>
      <c r="AR23" s="306"/>
      <c r="AS23" s="303"/>
      <c r="AT23" s="679">
        <f>AT9-AT18</f>
        <v>2.4164</v>
      </c>
      <c r="AU23" s="678">
        <f>AU9-AU18-AU20</f>
        <v>2.3866</v>
      </c>
    </row>
    <row r="24" spans="1:47" ht="12.75" customHeight="1" hidden="1">
      <c r="A24" s="80"/>
      <c r="B24" s="83" t="s">
        <v>128</v>
      </c>
      <c r="C24" s="302"/>
      <c r="D24" s="303"/>
      <c r="E24" s="303"/>
      <c r="F24" s="303"/>
      <c r="G24" s="667"/>
      <c r="H24" s="302"/>
      <c r="I24" s="303"/>
      <c r="J24" s="303"/>
      <c r="K24" s="303"/>
      <c r="L24" s="308"/>
      <c r="M24" s="302"/>
      <c r="N24" s="303"/>
      <c r="O24" s="303"/>
      <c r="P24" s="303"/>
      <c r="Q24" s="304"/>
      <c r="R24" s="302"/>
      <c r="S24" s="303"/>
      <c r="T24" s="303"/>
      <c r="U24" s="303"/>
      <c r="V24" s="667"/>
      <c r="W24" s="302"/>
      <c r="X24" s="303"/>
      <c r="Y24" s="303"/>
      <c r="Z24" s="303"/>
      <c r="AA24" s="667"/>
      <c r="AB24" s="302"/>
      <c r="AC24" s="303"/>
      <c r="AD24" s="303"/>
      <c r="AE24" s="303"/>
      <c r="AF24" s="304"/>
      <c r="AG24" s="302"/>
      <c r="AH24" s="303"/>
      <c r="AI24" s="303"/>
      <c r="AJ24" s="303"/>
      <c r="AK24" s="304"/>
      <c r="AL24" s="302"/>
      <c r="AM24" s="303"/>
      <c r="AN24" s="303"/>
      <c r="AO24" s="303"/>
      <c r="AP24" s="308"/>
      <c r="AQ24" s="302"/>
      <c r="AR24" s="303"/>
      <c r="AS24" s="303"/>
      <c r="AT24" s="303"/>
      <c r="AU24" s="304"/>
    </row>
    <row r="25" spans="1:47" ht="12.75">
      <c r="A25" s="80" t="s">
        <v>129</v>
      </c>
      <c r="B25" s="81" t="s">
        <v>493</v>
      </c>
      <c r="C25" s="675">
        <f>C23</f>
        <v>4.9288</v>
      </c>
      <c r="D25" s="311"/>
      <c r="E25" s="311"/>
      <c r="F25" s="311"/>
      <c r="G25" s="674">
        <f>G23</f>
        <v>4.9288</v>
      </c>
      <c r="H25" s="302">
        <v>2.563</v>
      </c>
      <c r="I25" s="311"/>
      <c r="J25" s="311"/>
      <c r="K25" s="311"/>
      <c r="L25" s="676">
        <f>L23</f>
        <v>2.5623</v>
      </c>
      <c r="M25" s="675">
        <f>M23</f>
        <v>2.3662</v>
      </c>
      <c r="N25" s="311"/>
      <c r="O25" s="311"/>
      <c r="P25" s="311"/>
      <c r="Q25" s="676">
        <f>Q23</f>
        <v>2.3664</v>
      </c>
      <c r="R25" s="309">
        <f>R23</f>
        <v>4.929</v>
      </c>
      <c r="S25" s="311"/>
      <c r="T25" s="311"/>
      <c r="U25" s="311"/>
      <c r="V25" s="665">
        <f>V23</f>
        <v>4.929</v>
      </c>
      <c r="W25" s="675">
        <f>W23</f>
        <v>4.7712</v>
      </c>
      <c r="X25" s="311"/>
      <c r="Y25" s="311"/>
      <c r="Z25" s="311"/>
      <c r="AA25" s="674">
        <f>AA23</f>
        <v>4.7712</v>
      </c>
      <c r="AB25" s="309">
        <f>AB23</f>
        <v>2.6575</v>
      </c>
      <c r="AC25" s="311"/>
      <c r="AD25" s="311"/>
      <c r="AE25" s="311"/>
      <c r="AF25" s="312">
        <v>2.736</v>
      </c>
      <c r="AG25" s="309">
        <f>AG23</f>
        <v>2.6575</v>
      </c>
      <c r="AH25" s="311"/>
      <c r="AI25" s="311"/>
      <c r="AJ25" s="311"/>
      <c r="AK25" s="312">
        <v>2.736</v>
      </c>
      <c r="AL25" s="673">
        <f>AL23</f>
        <v>2.3838</v>
      </c>
      <c r="AM25" s="311"/>
      <c r="AN25" s="311"/>
      <c r="AO25" s="311"/>
      <c r="AP25" s="676">
        <f>AP23</f>
        <v>2.3838</v>
      </c>
      <c r="AQ25" s="675">
        <f>AQ23</f>
        <v>2.3874</v>
      </c>
      <c r="AR25" s="311"/>
      <c r="AS25" s="311"/>
      <c r="AT25" s="311"/>
      <c r="AU25" s="676">
        <f>AU23</f>
        <v>2.3866</v>
      </c>
    </row>
    <row r="26" spans="1:47" ht="12.75" customHeight="1" hidden="1">
      <c r="A26" s="80"/>
      <c r="B26" s="83" t="s">
        <v>128</v>
      </c>
      <c r="C26" s="323"/>
      <c r="D26" s="324"/>
      <c r="E26" s="324"/>
      <c r="F26" s="324"/>
      <c r="G26" s="668"/>
      <c r="H26" s="323"/>
      <c r="I26" s="324"/>
      <c r="J26" s="324"/>
      <c r="K26" s="324"/>
      <c r="L26" s="325"/>
      <c r="M26" s="323"/>
      <c r="N26" s="324"/>
      <c r="O26" s="324"/>
      <c r="P26" s="324"/>
      <c r="Q26" s="325"/>
      <c r="R26" s="323"/>
      <c r="S26" s="324"/>
      <c r="T26" s="324"/>
      <c r="U26" s="324"/>
      <c r="V26" s="668"/>
      <c r="W26" s="323"/>
      <c r="X26" s="324"/>
      <c r="Y26" s="324"/>
      <c r="Z26" s="324"/>
      <c r="AA26" s="668"/>
      <c r="AB26" s="323"/>
      <c r="AC26" s="324"/>
      <c r="AD26" s="324"/>
      <c r="AE26" s="324"/>
      <c r="AF26" s="325"/>
      <c r="AG26" s="323"/>
      <c r="AH26" s="324"/>
      <c r="AI26" s="324"/>
      <c r="AJ26" s="324"/>
      <c r="AK26" s="325"/>
      <c r="AL26" s="323"/>
      <c r="AM26" s="324"/>
      <c r="AN26" s="324"/>
      <c r="AO26" s="324"/>
      <c r="AP26" s="325"/>
      <c r="AQ26" s="323"/>
      <c r="AR26" s="324"/>
      <c r="AS26" s="324"/>
      <c r="AT26" s="324"/>
      <c r="AU26" s="325"/>
    </row>
    <row r="27" spans="1:47" ht="12.75">
      <c r="A27" s="80"/>
      <c r="B27" s="81" t="s">
        <v>130</v>
      </c>
      <c r="C27" s="326"/>
      <c r="D27" s="327"/>
      <c r="E27" s="327"/>
      <c r="F27" s="327"/>
      <c r="G27" s="669"/>
      <c r="H27" s="326"/>
      <c r="I27" s="327"/>
      <c r="J27" s="327"/>
      <c r="K27" s="327"/>
      <c r="L27" s="328"/>
      <c r="M27" s="326"/>
      <c r="N27" s="327"/>
      <c r="O27" s="327"/>
      <c r="P27" s="327"/>
      <c r="Q27" s="328"/>
      <c r="R27" s="326"/>
      <c r="S27" s="327"/>
      <c r="T27" s="327"/>
      <c r="U27" s="327"/>
      <c r="V27" s="669"/>
      <c r="W27" s="326"/>
      <c r="X27" s="327"/>
      <c r="Y27" s="327"/>
      <c r="Z27" s="327"/>
      <c r="AA27" s="669"/>
      <c r="AB27" s="326"/>
      <c r="AC27" s="327"/>
      <c r="AD27" s="327"/>
      <c r="AE27" s="327"/>
      <c r="AF27" s="328"/>
      <c r="AG27" s="326"/>
      <c r="AH27" s="327"/>
      <c r="AI27" s="327"/>
      <c r="AJ27" s="327"/>
      <c r="AK27" s="328"/>
      <c r="AL27" s="326"/>
      <c r="AM27" s="327"/>
      <c r="AN27" s="327"/>
      <c r="AO27" s="327"/>
      <c r="AP27" s="328"/>
      <c r="AQ27" s="326"/>
      <c r="AR27" s="327"/>
      <c r="AS27" s="327"/>
      <c r="AT27" s="327"/>
      <c r="AU27" s="328"/>
    </row>
    <row r="28" spans="1:47" ht="25.5" customHeight="1">
      <c r="A28" s="80"/>
      <c r="B28" s="81" t="s">
        <v>131</v>
      </c>
      <c r="C28" s="309"/>
      <c r="D28" s="327"/>
      <c r="E28" s="327"/>
      <c r="F28" s="327"/>
      <c r="G28" s="665"/>
      <c r="H28" s="326"/>
      <c r="I28" s="327"/>
      <c r="J28" s="327"/>
      <c r="K28" s="327"/>
      <c r="L28" s="328"/>
      <c r="M28" s="326"/>
      <c r="N28" s="327"/>
      <c r="O28" s="327"/>
      <c r="P28" s="327"/>
      <c r="Q28" s="328"/>
      <c r="R28" s="309"/>
      <c r="S28" s="327"/>
      <c r="T28" s="327"/>
      <c r="U28" s="327"/>
      <c r="V28" s="665"/>
      <c r="W28" s="309"/>
      <c r="X28" s="327"/>
      <c r="Y28" s="327"/>
      <c r="Z28" s="327"/>
      <c r="AA28" s="665"/>
      <c r="AB28" s="326">
        <v>2.441</v>
      </c>
      <c r="AC28" s="327"/>
      <c r="AD28" s="327"/>
      <c r="AE28" s="327"/>
      <c r="AF28" s="328">
        <v>2.441</v>
      </c>
      <c r="AG28" s="326">
        <v>2.441</v>
      </c>
      <c r="AH28" s="327"/>
      <c r="AI28" s="327"/>
      <c r="AJ28" s="327"/>
      <c r="AK28" s="328">
        <v>2.441</v>
      </c>
      <c r="AL28" s="326"/>
      <c r="AM28" s="327"/>
      <c r="AN28" s="327"/>
      <c r="AO28" s="327"/>
      <c r="AP28" s="328"/>
      <c r="AQ28" s="326"/>
      <c r="AR28" s="327"/>
      <c r="AS28" s="327"/>
      <c r="AT28" s="327"/>
      <c r="AU28" s="328"/>
    </row>
    <row r="29" spans="1:47" ht="12.75">
      <c r="A29" s="80"/>
      <c r="B29" s="81" t="s">
        <v>132</v>
      </c>
      <c r="C29" s="326"/>
      <c r="D29" s="327"/>
      <c r="E29" s="327"/>
      <c r="F29" s="327"/>
      <c r="G29" s="328"/>
      <c r="H29" s="326"/>
      <c r="I29" s="327"/>
      <c r="J29" s="327"/>
      <c r="K29" s="327"/>
      <c r="L29" s="328"/>
      <c r="M29" s="326"/>
      <c r="N29" s="327"/>
      <c r="O29" s="327"/>
      <c r="P29" s="327"/>
      <c r="Q29" s="328"/>
      <c r="R29" s="326"/>
      <c r="S29" s="327"/>
      <c r="T29" s="327"/>
      <c r="U29" s="327"/>
      <c r="V29" s="328"/>
      <c r="W29" s="326"/>
      <c r="X29" s="327"/>
      <c r="Y29" s="327"/>
      <c r="Z29" s="327"/>
      <c r="AA29" s="328"/>
      <c r="AB29" s="326"/>
      <c r="AC29" s="327"/>
      <c r="AD29" s="327"/>
      <c r="AE29" s="327"/>
      <c r="AF29" s="328"/>
      <c r="AG29" s="326"/>
      <c r="AH29" s="327"/>
      <c r="AI29" s="327"/>
      <c r="AJ29" s="327"/>
      <c r="AK29" s="328"/>
      <c r="AL29" s="326"/>
      <c r="AM29" s="327"/>
      <c r="AN29" s="327"/>
      <c r="AO29" s="327"/>
      <c r="AP29" s="328"/>
      <c r="AQ29" s="326"/>
      <c r="AR29" s="327"/>
      <c r="AS29" s="327"/>
      <c r="AT29" s="327"/>
      <c r="AU29" s="328"/>
    </row>
    <row r="30" spans="1:47" ht="12.75">
      <c r="A30" s="80" t="s">
        <v>133</v>
      </c>
      <c r="B30" s="81" t="s">
        <v>494</v>
      </c>
      <c r="C30" s="326"/>
      <c r="D30" s="327"/>
      <c r="E30" s="327"/>
      <c r="F30" s="327"/>
      <c r="G30" s="328"/>
      <c r="H30" s="326">
        <v>0</v>
      </c>
      <c r="I30" s="327"/>
      <c r="J30" s="327"/>
      <c r="K30" s="327"/>
      <c r="L30" s="304">
        <v>0</v>
      </c>
      <c r="M30" s="326">
        <v>0</v>
      </c>
      <c r="N30" s="327"/>
      <c r="O30" s="327"/>
      <c r="P30" s="327"/>
      <c r="Q30" s="328">
        <v>0</v>
      </c>
      <c r="R30" s="326"/>
      <c r="S30" s="327"/>
      <c r="T30" s="327"/>
      <c r="U30" s="327"/>
      <c r="V30" s="328"/>
      <c r="W30" s="326"/>
      <c r="X30" s="327"/>
      <c r="Y30" s="327"/>
      <c r="Z30" s="327"/>
      <c r="AA30" s="328"/>
      <c r="AB30" s="326"/>
      <c r="AC30" s="327"/>
      <c r="AD30" s="327"/>
      <c r="AE30" s="327"/>
      <c r="AF30" s="328"/>
      <c r="AG30" s="326"/>
      <c r="AH30" s="327"/>
      <c r="AI30" s="327"/>
      <c r="AJ30" s="327"/>
      <c r="AK30" s="328"/>
      <c r="AL30" s="326">
        <f>AP30</f>
        <v>0</v>
      </c>
      <c r="AM30" s="327"/>
      <c r="AN30" s="327"/>
      <c r="AO30" s="327"/>
      <c r="AP30" s="304">
        <f>2!N49</f>
        <v>0</v>
      </c>
      <c r="AQ30" s="326">
        <f>AU30</f>
        <v>0</v>
      </c>
      <c r="AR30" s="327"/>
      <c r="AS30" s="327"/>
      <c r="AT30" s="327"/>
      <c r="AU30" s="328">
        <f>2!O49</f>
        <v>0</v>
      </c>
    </row>
    <row r="31" spans="1:47" ht="13.5" thickBot="1">
      <c r="A31" s="80" t="s">
        <v>134</v>
      </c>
      <c r="B31" s="81" t="s">
        <v>135</v>
      </c>
      <c r="C31" s="329">
        <v>0</v>
      </c>
      <c r="D31" s="330"/>
      <c r="E31" s="330"/>
      <c r="F31" s="330"/>
      <c r="G31" s="331">
        <v>0</v>
      </c>
      <c r="H31" s="329"/>
      <c r="I31" s="330"/>
      <c r="J31" s="330"/>
      <c r="K31" s="330"/>
      <c r="L31" s="332"/>
      <c r="M31" s="329"/>
      <c r="N31" s="330"/>
      <c r="O31" s="330"/>
      <c r="P31" s="330"/>
      <c r="Q31" s="331"/>
      <c r="R31" s="329">
        <v>0</v>
      </c>
      <c r="S31" s="330"/>
      <c r="T31" s="330"/>
      <c r="U31" s="330"/>
      <c r="V31" s="331">
        <v>0</v>
      </c>
      <c r="W31" s="329">
        <v>0</v>
      </c>
      <c r="X31" s="330"/>
      <c r="Y31" s="330"/>
      <c r="Z31" s="330"/>
      <c r="AA31" s="331">
        <v>0</v>
      </c>
      <c r="AB31" s="329">
        <v>0.295</v>
      </c>
      <c r="AC31" s="330"/>
      <c r="AD31" s="330"/>
      <c r="AE31" s="330"/>
      <c r="AF31" s="331">
        <v>0.295</v>
      </c>
      <c r="AG31" s="329">
        <v>0.295</v>
      </c>
      <c r="AH31" s="330"/>
      <c r="AI31" s="330"/>
      <c r="AJ31" s="330"/>
      <c r="AK31" s="331">
        <v>0.295</v>
      </c>
      <c r="AL31" s="329"/>
      <c r="AM31" s="330"/>
      <c r="AN31" s="330"/>
      <c r="AO31" s="330"/>
      <c r="AP31" s="332"/>
      <c r="AQ31" s="329"/>
      <c r="AR31" s="330"/>
      <c r="AS31" s="330"/>
      <c r="AT31" s="330"/>
      <c r="AU31" s="331"/>
    </row>
    <row r="32" spans="1:16" ht="12.75">
      <c r="A32" s="290"/>
      <c r="B32" s="291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3"/>
      <c r="O32" s="293"/>
      <c r="P32" s="293"/>
    </row>
    <row r="33" spans="1:16" s="216" customFormat="1" ht="15">
      <c r="A33" s="913"/>
      <c r="B33" s="913"/>
      <c r="C33" s="913"/>
      <c r="D33" s="913"/>
      <c r="E33" s="913"/>
      <c r="F33" s="913"/>
      <c r="G33" s="913"/>
      <c r="H33" s="913"/>
      <c r="I33" s="913"/>
      <c r="J33" s="913"/>
      <c r="K33" s="913"/>
      <c r="L33" s="913"/>
      <c r="M33" s="913"/>
      <c r="N33" s="913"/>
      <c r="O33" s="913"/>
      <c r="P33" s="913"/>
    </row>
    <row r="34" spans="1:47" s="333" customFormat="1" ht="18.75" customHeight="1">
      <c r="A34" s="706" t="s">
        <v>579</v>
      </c>
      <c r="B34" s="706"/>
      <c r="C34" s="918" t="s">
        <v>580</v>
      </c>
      <c r="D34" s="918"/>
      <c r="E34" s="918"/>
      <c r="F34" s="918"/>
      <c r="G34" s="918"/>
      <c r="H34" s="918"/>
      <c r="I34" s="918"/>
      <c r="J34" s="918"/>
      <c r="K34" s="918"/>
      <c r="L34" s="918"/>
      <c r="M34" s="918"/>
      <c r="N34" s="918"/>
      <c r="O34" s="918"/>
      <c r="P34" s="918"/>
      <c r="Q34" s="918"/>
      <c r="R34" s="918"/>
      <c r="S34" s="918"/>
      <c r="T34" s="918"/>
      <c r="U34" s="918"/>
      <c r="V34" s="918"/>
      <c r="W34" s="918"/>
      <c r="X34" s="918"/>
      <c r="Y34" s="918"/>
      <c r="Z34" s="918"/>
      <c r="AA34" s="918"/>
      <c r="AB34" s="918"/>
      <c r="AC34" s="918"/>
      <c r="AD34" s="918"/>
      <c r="AE34" s="918"/>
      <c r="AF34" s="918"/>
      <c r="AG34" s="918"/>
      <c r="AH34" s="918"/>
      <c r="AI34" s="918"/>
      <c r="AJ34" s="918"/>
      <c r="AK34" s="918"/>
      <c r="AL34" s="918"/>
      <c r="AM34" s="706"/>
      <c r="AN34" s="706"/>
      <c r="AO34" s="706"/>
      <c r="AP34" s="706"/>
      <c r="AQ34" s="706"/>
      <c r="AR34" s="706"/>
      <c r="AS34" s="706"/>
      <c r="AT34" s="706"/>
      <c r="AU34" s="706"/>
    </row>
    <row r="35" spans="1:16" ht="12.75">
      <c r="A35" s="293"/>
      <c r="B35" s="33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</row>
    <row r="36" spans="1:16" ht="12.75">
      <c r="A36" s="293"/>
      <c r="B36" s="335"/>
      <c r="C36" s="293"/>
      <c r="D36" s="293"/>
      <c r="E36" s="336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</row>
    <row r="37" spans="1:38" ht="12.75">
      <c r="A37" s="293"/>
      <c r="B37" s="66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U37" s="911"/>
      <c r="V37" s="912"/>
      <c r="W37" s="912"/>
      <c r="X37" s="912"/>
      <c r="Y37" s="912"/>
      <c r="Z37" s="912"/>
      <c r="AA37" s="912"/>
      <c r="AB37" s="912"/>
      <c r="AC37" s="912"/>
      <c r="AD37" s="912"/>
      <c r="AE37" s="912"/>
      <c r="AF37" s="912"/>
      <c r="AG37" s="912"/>
      <c r="AH37" s="912"/>
      <c r="AI37" s="912"/>
      <c r="AJ37" s="912"/>
      <c r="AK37" s="912"/>
      <c r="AL37" s="912"/>
    </row>
    <row r="38" spans="1:16" ht="12.75">
      <c r="A38" s="293"/>
      <c r="B38" s="33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</row>
    <row r="39" spans="1:16" ht="12.75">
      <c r="A39" s="293"/>
      <c r="B39" s="334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</row>
    <row r="40" spans="1:46" ht="12.75">
      <c r="A40" s="293"/>
      <c r="B40" s="33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AT40" s="337"/>
    </row>
    <row r="41" spans="1:16" ht="12.75">
      <c r="A41" s="293"/>
      <c r="B41" s="334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</row>
  </sheetData>
  <sheetProtection/>
  <mergeCells count="20">
    <mergeCell ref="C34:AL34"/>
    <mergeCell ref="AQ6:AU6"/>
    <mergeCell ref="A5:A7"/>
    <mergeCell ref="B5:B7"/>
    <mergeCell ref="R5:V6"/>
    <mergeCell ref="L1:AU1"/>
    <mergeCell ref="W5:AA6"/>
    <mergeCell ref="AB5:AK5"/>
    <mergeCell ref="AB6:AF6"/>
    <mergeCell ref="AG6:AK6"/>
    <mergeCell ref="H5:Q5"/>
    <mergeCell ref="H6:L6"/>
    <mergeCell ref="M6:Q6"/>
    <mergeCell ref="U37:AL37"/>
    <mergeCell ref="A33:P33"/>
    <mergeCell ref="A1:B1"/>
    <mergeCell ref="AL5:AU5"/>
    <mergeCell ref="A3:AU3"/>
    <mergeCell ref="AL6:AP6"/>
    <mergeCell ref="C5:G6"/>
  </mergeCells>
  <printOptions horizontalCentered="1"/>
  <pageMargins left="0.3937007874015748" right="0.2755905511811024" top="0.3937007874015748" bottom="0" header="0" footer="0"/>
  <pageSetup blackAndWhite="1" fitToHeight="1" fitToWidth="1" horizontalDpi="600" verticalDpi="600" orientation="landscape" paperSize="9" scale="49" r:id="rId1"/>
  <headerFooter alignWithMargins="0">
    <oddHeader>&amp;R59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U32"/>
  <sheetViews>
    <sheetView showGridLines="0" view="pageBreakPreview" zoomScaleSheetLayoutView="100" zoomScalePageLayoutView="0" workbookViewId="0" topLeftCell="A1">
      <selection activeCell="R7" sqref="R7"/>
    </sheetView>
  </sheetViews>
  <sheetFormatPr defaultColWidth="9.00390625" defaultRowHeight="12.75"/>
  <cols>
    <col min="1" max="1" width="4.50390625" style="258" customWidth="1"/>
    <col min="2" max="2" width="45.375" style="338" customWidth="1"/>
    <col min="3" max="3" width="7.625" style="258" customWidth="1"/>
    <col min="4" max="4" width="6.875" style="258" customWidth="1"/>
    <col min="5" max="5" width="4.375" style="258" customWidth="1"/>
    <col min="6" max="6" width="7.125" style="258" customWidth="1"/>
    <col min="7" max="7" width="10.125" style="258" customWidth="1"/>
    <col min="8" max="8" width="10.00390625" style="258" customWidth="1"/>
    <col min="9" max="9" width="5.625" style="258" customWidth="1"/>
    <col min="10" max="10" width="7.125" style="258" customWidth="1"/>
    <col min="11" max="11" width="7.50390625" style="258" customWidth="1"/>
    <col min="12" max="12" width="10.375" style="258" customWidth="1"/>
    <col min="13" max="13" width="8.125" style="258" customWidth="1"/>
    <col min="14" max="14" width="5.00390625" style="258" customWidth="1"/>
    <col min="15" max="15" width="5.50390625" style="258" customWidth="1"/>
    <col min="16" max="16" width="7.50390625" style="258" customWidth="1"/>
    <col min="17" max="17" width="10.50390625" style="258" customWidth="1"/>
    <col min="18" max="18" width="9.375" style="258" customWidth="1"/>
    <col min="19" max="19" width="6.125" style="258" customWidth="1"/>
    <col min="20" max="20" width="6.375" style="258" customWidth="1"/>
    <col min="21" max="21" width="9.625" style="258" customWidth="1"/>
    <col min="22" max="22" width="8.625" style="258" customWidth="1"/>
    <col min="23" max="23" width="7.375" style="258" customWidth="1"/>
    <col min="24" max="24" width="6.125" style="258" customWidth="1"/>
    <col min="25" max="25" width="4.875" style="258" customWidth="1"/>
    <col min="26" max="26" width="7.50390625" style="258" customWidth="1"/>
    <col min="27" max="27" width="10.375" style="258" customWidth="1"/>
    <col min="28" max="37" width="6.125" style="258" hidden="1" customWidth="1"/>
    <col min="38" max="38" width="9.50390625" style="258" customWidth="1"/>
    <col min="39" max="39" width="6.625" style="258" customWidth="1"/>
    <col min="40" max="40" width="7.00390625" style="258" customWidth="1"/>
    <col min="41" max="41" width="7.50390625" style="258" customWidth="1"/>
    <col min="42" max="42" width="7.875" style="258" customWidth="1"/>
    <col min="43" max="43" width="9.375" style="258" customWidth="1"/>
    <col min="44" max="44" width="7.125" style="258" customWidth="1"/>
    <col min="45" max="45" width="6.50390625" style="258" customWidth="1"/>
    <col min="46" max="46" width="8.00390625" style="258" customWidth="1"/>
    <col min="47" max="47" width="7.50390625" style="258" customWidth="1"/>
    <col min="48" max="16384" width="9.375" style="258" customWidth="1"/>
  </cols>
  <sheetData>
    <row r="1" spans="1:47" ht="18.75" customHeight="1">
      <c r="A1" s="290"/>
      <c r="B1" s="291"/>
      <c r="C1" s="339"/>
      <c r="G1" s="339"/>
      <c r="H1" s="339"/>
      <c r="I1" s="339"/>
      <c r="J1" s="339"/>
      <c r="K1" s="339"/>
      <c r="L1" s="339"/>
      <c r="M1" s="943" t="s">
        <v>183</v>
      </c>
      <c r="N1" s="943"/>
      <c r="O1" s="943"/>
      <c r="P1" s="943"/>
      <c r="Q1" s="943"/>
      <c r="R1" s="943"/>
      <c r="S1" s="943"/>
      <c r="T1" s="943"/>
      <c r="U1" s="943"/>
      <c r="V1" s="943"/>
      <c r="W1" s="943"/>
      <c r="X1" s="943"/>
      <c r="Y1" s="943"/>
      <c r="Z1" s="943"/>
      <c r="AA1" s="943"/>
      <c r="AB1" s="943"/>
      <c r="AC1" s="943"/>
      <c r="AD1" s="943"/>
      <c r="AE1" s="943"/>
      <c r="AF1" s="943"/>
      <c r="AG1" s="943"/>
      <c r="AH1" s="943"/>
      <c r="AI1" s="943"/>
      <c r="AJ1" s="943"/>
      <c r="AK1" s="943"/>
      <c r="AL1" s="943"/>
      <c r="AM1" s="943"/>
      <c r="AN1" s="943"/>
      <c r="AO1" s="943"/>
      <c r="AP1" s="943"/>
      <c r="AQ1" s="943"/>
      <c r="AR1" s="943"/>
      <c r="AS1" s="943"/>
      <c r="AT1" s="943"/>
      <c r="AU1" s="943"/>
    </row>
    <row r="2" spans="1:12" ht="21.75" customHeight="1">
      <c r="A2" s="933" t="s">
        <v>553</v>
      </c>
      <c r="B2" s="933"/>
      <c r="C2" s="933"/>
      <c r="D2" s="933"/>
      <c r="E2" s="933"/>
      <c r="F2" s="933"/>
      <c r="G2" s="933"/>
      <c r="H2" s="339"/>
      <c r="I2" s="339"/>
      <c r="J2" s="339"/>
      <c r="K2" s="339"/>
      <c r="L2" s="339"/>
    </row>
    <row r="3" spans="1:47" ht="20.25" customHeight="1">
      <c r="A3" s="944" t="s">
        <v>305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944"/>
      <c r="AG3" s="944"/>
      <c r="AH3" s="944"/>
      <c r="AI3" s="944"/>
      <c r="AJ3" s="944"/>
      <c r="AK3" s="944"/>
      <c r="AL3" s="944"/>
      <c r="AM3" s="944"/>
      <c r="AN3" s="944"/>
      <c r="AO3" s="944"/>
      <c r="AP3" s="944"/>
      <c r="AQ3" s="944"/>
      <c r="AR3" s="944"/>
      <c r="AS3" s="944"/>
      <c r="AT3" s="944"/>
      <c r="AU3" s="944"/>
    </row>
    <row r="4" spans="1:47" ht="22.5" customHeight="1" thickBot="1">
      <c r="A4" s="294" t="s">
        <v>117</v>
      </c>
      <c r="B4" s="340"/>
      <c r="C4" s="339"/>
      <c r="D4" s="336"/>
      <c r="E4" s="336"/>
      <c r="G4" s="339"/>
      <c r="H4" s="339"/>
      <c r="I4" s="339"/>
      <c r="J4" s="339"/>
      <c r="K4" s="339"/>
      <c r="L4" s="339"/>
      <c r="AO4" s="945" t="s">
        <v>296</v>
      </c>
      <c r="AP4" s="945"/>
      <c r="AQ4" s="945"/>
      <c r="AR4" s="945"/>
      <c r="AS4" s="945"/>
      <c r="AT4" s="945"/>
      <c r="AU4" s="945"/>
    </row>
    <row r="5" spans="1:47" ht="22.5" customHeight="1" thickBot="1">
      <c r="A5" s="937" t="s">
        <v>308</v>
      </c>
      <c r="B5" s="940" t="s">
        <v>4</v>
      </c>
      <c r="C5" s="898" t="s">
        <v>610</v>
      </c>
      <c r="D5" s="890"/>
      <c r="E5" s="890"/>
      <c r="F5" s="890"/>
      <c r="G5" s="891"/>
      <c r="H5" s="905" t="s">
        <v>312</v>
      </c>
      <c r="I5" s="926"/>
      <c r="J5" s="926"/>
      <c r="K5" s="926"/>
      <c r="L5" s="926"/>
      <c r="M5" s="926"/>
      <c r="N5" s="926"/>
      <c r="O5" s="926"/>
      <c r="P5" s="926"/>
      <c r="Q5" s="927"/>
      <c r="R5" s="898" t="s">
        <v>607</v>
      </c>
      <c r="S5" s="890"/>
      <c r="T5" s="890"/>
      <c r="U5" s="890"/>
      <c r="V5" s="891"/>
      <c r="W5" s="898" t="s">
        <v>543</v>
      </c>
      <c r="X5" s="890"/>
      <c r="Y5" s="890"/>
      <c r="Z5" s="890"/>
      <c r="AA5" s="891"/>
      <c r="AB5" s="905" t="s">
        <v>312</v>
      </c>
      <c r="AC5" s="926"/>
      <c r="AD5" s="926"/>
      <c r="AE5" s="926"/>
      <c r="AF5" s="926"/>
      <c r="AG5" s="926"/>
      <c r="AH5" s="926"/>
      <c r="AI5" s="926"/>
      <c r="AJ5" s="926"/>
      <c r="AK5" s="927"/>
      <c r="AL5" s="905" t="s">
        <v>312</v>
      </c>
      <c r="AM5" s="926"/>
      <c r="AN5" s="926"/>
      <c r="AO5" s="926"/>
      <c r="AP5" s="926"/>
      <c r="AQ5" s="926"/>
      <c r="AR5" s="926"/>
      <c r="AS5" s="926"/>
      <c r="AT5" s="926"/>
      <c r="AU5" s="927"/>
    </row>
    <row r="6" spans="1:47" ht="61.5" customHeight="1" thickBot="1">
      <c r="A6" s="938"/>
      <c r="B6" s="941"/>
      <c r="C6" s="930"/>
      <c r="D6" s="931"/>
      <c r="E6" s="931"/>
      <c r="F6" s="931"/>
      <c r="G6" s="932"/>
      <c r="H6" s="934" t="s">
        <v>528</v>
      </c>
      <c r="I6" s="935"/>
      <c r="J6" s="935"/>
      <c r="K6" s="935"/>
      <c r="L6" s="936"/>
      <c r="M6" s="934" t="s">
        <v>531</v>
      </c>
      <c r="N6" s="935"/>
      <c r="O6" s="935"/>
      <c r="P6" s="935"/>
      <c r="Q6" s="936"/>
      <c r="R6" s="915"/>
      <c r="S6" s="916"/>
      <c r="T6" s="916"/>
      <c r="U6" s="916"/>
      <c r="V6" s="917"/>
      <c r="W6" s="930"/>
      <c r="X6" s="931"/>
      <c r="Y6" s="931"/>
      <c r="Z6" s="931"/>
      <c r="AA6" s="932"/>
      <c r="AB6" s="934" t="s">
        <v>480</v>
      </c>
      <c r="AC6" s="935"/>
      <c r="AD6" s="935"/>
      <c r="AE6" s="935"/>
      <c r="AF6" s="936"/>
      <c r="AG6" s="934" t="s">
        <v>481</v>
      </c>
      <c r="AH6" s="935"/>
      <c r="AI6" s="935"/>
      <c r="AJ6" s="935"/>
      <c r="AK6" s="936"/>
      <c r="AL6" s="934" t="s">
        <v>572</v>
      </c>
      <c r="AM6" s="935"/>
      <c r="AN6" s="935"/>
      <c r="AO6" s="935"/>
      <c r="AP6" s="936"/>
      <c r="AQ6" s="934" t="s">
        <v>581</v>
      </c>
      <c r="AR6" s="935"/>
      <c r="AS6" s="935"/>
      <c r="AT6" s="935"/>
      <c r="AU6" s="936"/>
    </row>
    <row r="7" spans="1:47" ht="33.75" customHeight="1" thickBot="1">
      <c r="A7" s="939"/>
      <c r="B7" s="942"/>
      <c r="C7" s="341" t="s">
        <v>86</v>
      </c>
      <c r="D7" s="342" t="s">
        <v>82</v>
      </c>
      <c r="E7" s="342" t="s">
        <v>83</v>
      </c>
      <c r="F7" s="342" t="s">
        <v>84</v>
      </c>
      <c r="G7" s="343" t="s">
        <v>85</v>
      </c>
      <c r="H7" s="341" t="s">
        <v>86</v>
      </c>
      <c r="I7" s="342" t="s">
        <v>82</v>
      </c>
      <c r="J7" s="342" t="s">
        <v>83</v>
      </c>
      <c r="K7" s="342" t="s">
        <v>84</v>
      </c>
      <c r="L7" s="343" t="s">
        <v>85</v>
      </c>
      <c r="M7" s="341" t="s">
        <v>86</v>
      </c>
      <c r="N7" s="342" t="s">
        <v>82</v>
      </c>
      <c r="O7" s="342" t="s">
        <v>83</v>
      </c>
      <c r="P7" s="342" t="s">
        <v>84</v>
      </c>
      <c r="Q7" s="343" t="s">
        <v>85</v>
      </c>
      <c r="R7" s="341" t="s">
        <v>86</v>
      </c>
      <c r="S7" s="342" t="s">
        <v>82</v>
      </c>
      <c r="T7" s="342" t="s">
        <v>83</v>
      </c>
      <c r="U7" s="342" t="s">
        <v>84</v>
      </c>
      <c r="V7" s="343" t="s">
        <v>85</v>
      </c>
      <c r="W7" s="341" t="s">
        <v>86</v>
      </c>
      <c r="X7" s="342" t="s">
        <v>82</v>
      </c>
      <c r="Y7" s="342" t="s">
        <v>83</v>
      </c>
      <c r="Z7" s="342" t="s">
        <v>84</v>
      </c>
      <c r="AA7" s="343" t="s">
        <v>85</v>
      </c>
      <c r="AB7" s="341" t="s">
        <v>86</v>
      </c>
      <c r="AC7" s="342" t="s">
        <v>82</v>
      </c>
      <c r="AD7" s="342" t="s">
        <v>83</v>
      </c>
      <c r="AE7" s="342" t="s">
        <v>84</v>
      </c>
      <c r="AF7" s="343" t="s">
        <v>85</v>
      </c>
      <c r="AG7" s="341" t="s">
        <v>86</v>
      </c>
      <c r="AH7" s="342" t="s">
        <v>82</v>
      </c>
      <c r="AI7" s="342" t="s">
        <v>83</v>
      </c>
      <c r="AJ7" s="342" t="s">
        <v>84</v>
      </c>
      <c r="AK7" s="343" t="s">
        <v>85</v>
      </c>
      <c r="AL7" s="341" t="s">
        <v>86</v>
      </c>
      <c r="AM7" s="342" t="s">
        <v>82</v>
      </c>
      <c r="AN7" s="342" t="s">
        <v>83</v>
      </c>
      <c r="AO7" s="342" t="s">
        <v>84</v>
      </c>
      <c r="AP7" s="343" t="s">
        <v>85</v>
      </c>
      <c r="AQ7" s="341" t="s">
        <v>86</v>
      </c>
      <c r="AR7" s="342" t="s">
        <v>82</v>
      </c>
      <c r="AS7" s="342" t="s">
        <v>83</v>
      </c>
      <c r="AT7" s="342" t="s">
        <v>84</v>
      </c>
      <c r="AU7" s="343" t="s">
        <v>85</v>
      </c>
    </row>
    <row r="8" spans="1:47" ht="12.75">
      <c r="A8" s="344">
        <v>1</v>
      </c>
      <c r="B8" s="345">
        <v>2</v>
      </c>
      <c r="C8" s="346">
        <v>23</v>
      </c>
      <c r="D8" s="347">
        <v>24</v>
      </c>
      <c r="E8" s="348">
        <v>25</v>
      </c>
      <c r="F8" s="347">
        <v>26</v>
      </c>
      <c r="G8" s="349">
        <v>27</v>
      </c>
      <c r="H8" s="346">
        <v>33</v>
      </c>
      <c r="I8" s="347">
        <v>34</v>
      </c>
      <c r="J8" s="348">
        <v>35</v>
      </c>
      <c r="K8" s="347">
        <v>36</v>
      </c>
      <c r="L8" s="349">
        <v>37</v>
      </c>
      <c r="M8" s="346">
        <v>38</v>
      </c>
      <c r="N8" s="347">
        <v>39</v>
      </c>
      <c r="O8" s="348">
        <v>40</v>
      </c>
      <c r="P8" s="347">
        <v>41</v>
      </c>
      <c r="Q8" s="349">
        <v>42</v>
      </c>
      <c r="R8" s="346">
        <v>18</v>
      </c>
      <c r="S8" s="347">
        <v>19</v>
      </c>
      <c r="T8" s="348">
        <v>20</v>
      </c>
      <c r="U8" s="347">
        <v>21</v>
      </c>
      <c r="V8" s="349">
        <v>22</v>
      </c>
      <c r="W8" s="346">
        <v>23</v>
      </c>
      <c r="X8" s="347">
        <v>24</v>
      </c>
      <c r="Y8" s="348">
        <v>25</v>
      </c>
      <c r="Z8" s="347">
        <v>26</v>
      </c>
      <c r="AA8" s="349">
        <v>27</v>
      </c>
      <c r="AB8" s="346">
        <v>28</v>
      </c>
      <c r="AC8" s="347">
        <v>29</v>
      </c>
      <c r="AD8" s="348">
        <v>30</v>
      </c>
      <c r="AE8" s="347">
        <v>31</v>
      </c>
      <c r="AF8" s="349">
        <v>32</v>
      </c>
      <c r="AG8" s="346">
        <v>33</v>
      </c>
      <c r="AH8" s="347">
        <v>34</v>
      </c>
      <c r="AI8" s="348">
        <v>35</v>
      </c>
      <c r="AJ8" s="347">
        <v>36</v>
      </c>
      <c r="AK8" s="349">
        <v>37</v>
      </c>
      <c r="AL8" s="346">
        <v>33</v>
      </c>
      <c r="AM8" s="347">
        <v>34</v>
      </c>
      <c r="AN8" s="348">
        <v>35</v>
      </c>
      <c r="AO8" s="347">
        <v>36</v>
      </c>
      <c r="AP8" s="349">
        <v>37</v>
      </c>
      <c r="AQ8" s="346">
        <v>38</v>
      </c>
      <c r="AR8" s="347">
        <v>39</v>
      </c>
      <c r="AS8" s="348">
        <v>40</v>
      </c>
      <c r="AT8" s="347">
        <v>41</v>
      </c>
      <c r="AU8" s="349">
        <v>42</v>
      </c>
    </row>
    <row r="9" spans="1:47" ht="15">
      <c r="A9" s="80" t="s">
        <v>8</v>
      </c>
      <c r="B9" s="84" t="s">
        <v>184</v>
      </c>
      <c r="C9" s="683">
        <v>0.8768</v>
      </c>
      <c r="D9" s="351"/>
      <c r="E9" s="351"/>
      <c r="F9" s="683">
        <f>C9</f>
        <v>0.8768</v>
      </c>
      <c r="G9" s="685">
        <v>0.8686</v>
      </c>
      <c r="H9" s="683">
        <v>0.4558</v>
      </c>
      <c r="I9" s="351"/>
      <c r="J9" s="351"/>
      <c r="K9" s="683">
        <f>H9</f>
        <v>0.4558</v>
      </c>
      <c r="L9" s="684">
        <f>K23</f>
        <v>0.45149999999999996</v>
      </c>
      <c r="M9" s="683">
        <v>0.421</v>
      </c>
      <c r="N9" s="351"/>
      <c r="O9" s="351"/>
      <c r="P9" s="683">
        <f>M9</f>
        <v>0.421</v>
      </c>
      <c r="Q9" s="684">
        <f>P23</f>
        <v>0.41709999999999997</v>
      </c>
      <c r="R9" s="683">
        <v>0.877</v>
      </c>
      <c r="S9" s="351"/>
      <c r="T9" s="351"/>
      <c r="U9" s="685">
        <f>R9</f>
        <v>0.877</v>
      </c>
      <c r="V9" s="684">
        <v>0.869</v>
      </c>
      <c r="W9" s="683">
        <v>0.8487</v>
      </c>
      <c r="X9" s="351"/>
      <c r="Y9" s="351"/>
      <c r="Z9" s="683">
        <f>W9</f>
        <v>0.8487</v>
      </c>
      <c r="AA9" s="685">
        <v>0.8405</v>
      </c>
      <c r="AB9" s="350">
        <v>1.641</v>
      </c>
      <c r="AC9" s="351"/>
      <c r="AD9" s="351"/>
      <c r="AE9" s="351">
        <v>1.641</v>
      </c>
      <c r="AF9" s="352">
        <v>1.629</v>
      </c>
      <c r="AG9" s="350">
        <v>1.641</v>
      </c>
      <c r="AH9" s="351"/>
      <c r="AI9" s="351"/>
      <c r="AJ9" s="351">
        <v>1.641</v>
      </c>
      <c r="AK9" s="352">
        <v>1.629</v>
      </c>
      <c r="AL9" s="683">
        <v>0.4243</v>
      </c>
      <c r="AM9" s="351"/>
      <c r="AN9" s="351"/>
      <c r="AO9" s="683">
        <f>AL9</f>
        <v>0.4243</v>
      </c>
      <c r="AP9" s="684">
        <f>AO23</f>
        <v>0.4202</v>
      </c>
      <c r="AQ9" s="683">
        <v>0.4243</v>
      </c>
      <c r="AR9" s="351"/>
      <c r="AS9" s="351"/>
      <c r="AT9" s="683">
        <f>AQ9</f>
        <v>0.4243</v>
      </c>
      <c r="AU9" s="684">
        <f>AT23</f>
        <v>0.4202</v>
      </c>
    </row>
    <row r="10" spans="1:47" ht="15">
      <c r="A10" s="80" t="s">
        <v>67</v>
      </c>
      <c r="B10" s="84" t="s">
        <v>119</v>
      </c>
      <c r="C10" s="683">
        <f>C9</f>
        <v>0.8768</v>
      </c>
      <c r="D10" s="351"/>
      <c r="E10" s="351"/>
      <c r="F10" s="683">
        <f>F9</f>
        <v>0.8768</v>
      </c>
      <c r="G10" s="685">
        <f>G9</f>
        <v>0.8686</v>
      </c>
      <c r="H10" s="683">
        <f>H9</f>
        <v>0.4558</v>
      </c>
      <c r="I10" s="351"/>
      <c r="J10" s="351"/>
      <c r="K10" s="685">
        <f>K9</f>
        <v>0.4558</v>
      </c>
      <c r="L10" s="354"/>
      <c r="M10" s="683">
        <f>M9</f>
        <v>0.421</v>
      </c>
      <c r="N10" s="351"/>
      <c r="O10" s="351"/>
      <c r="P10" s="685">
        <f>P9</f>
        <v>0.421</v>
      </c>
      <c r="Q10" s="354"/>
      <c r="R10" s="683">
        <f>R9</f>
        <v>0.877</v>
      </c>
      <c r="S10" s="351"/>
      <c r="T10" s="351"/>
      <c r="U10" s="685">
        <f>U9</f>
        <v>0.877</v>
      </c>
      <c r="V10" s="684">
        <f>V9</f>
        <v>0.869</v>
      </c>
      <c r="W10" s="683">
        <f>W9</f>
        <v>0.8487</v>
      </c>
      <c r="X10" s="351"/>
      <c r="Y10" s="351"/>
      <c r="Z10" s="683">
        <f>Z9</f>
        <v>0.8487</v>
      </c>
      <c r="AA10" s="685">
        <f>AA9</f>
        <v>0.8405</v>
      </c>
      <c r="AB10" s="350">
        <v>1.641</v>
      </c>
      <c r="AC10" s="351"/>
      <c r="AD10" s="351"/>
      <c r="AE10" s="351">
        <v>1.641</v>
      </c>
      <c r="AF10" s="352">
        <v>1.629</v>
      </c>
      <c r="AG10" s="350">
        <v>1.641</v>
      </c>
      <c r="AH10" s="351"/>
      <c r="AI10" s="351"/>
      <c r="AJ10" s="351">
        <v>1.641</v>
      </c>
      <c r="AK10" s="352">
        <v>1.629</v>
      </c>
      <c r="AL10" s="683">
        <f>AL9</f>
        <v>0.4243</v>
      </c>
      <c r="AM10" s="351"/>
      <c r="AN10" s="351"/>
      <c r="AO10" s="685">
        <f>AO9</f>
        <v>0.4243</v>
      </c>
      <c r="AP10" s="354"/>
      <c r="AQ10" s="683">
        <f>AQ9</f>
        <v>0.4243</v>
      </c>
      <c r="AR10" s="351"/>
      <c r="AS10" s="351"/>
      <c r="AT10" s="685">
        <f>AT9</f>
        <v>0.4243</v>
      </c>
      <c r="AU10" s="354"/>
    </row>
    <row r="11" spans="1:47" ht="15">
      <c r="A11" s="80"/>
      <c r="B11" s="84" t="s">
        <v>120</v>
      </c>
      <c r="C11" s="350"/>
      <c r="D11" s="351"/>
      <c r="E11" s="351"/>
      <c r="F11" s="351"/>
      <c r="G11" s="352"/>
      <c r="H11" s="353"/>
      <c r="I11" s="351"/>
      <c r="J11" s="351"/>
      <c r="K11" s="351"/>
      <c r="L11" s="354"/>
      <c r="M11" s="353"/>
      <c r="N11" s="351"/>
      <c r="O11" s="351"/>
      <c r="P11" s="351"/>
      <c r="Q11" s="354"/>
      <c r="R11" s="350"/>
      <c r="S11" s="351"/>
      <c r="T11" s="351"/>
      <c r="U11" s="351"/>
      <c r="V11" s="352"/>
      <c r="W11" s="350"/>
      <c r="X11" s="351"/>
      <c r="Y11" s="351"/>
      <c r="Z11" s="351"/>
      <c r="AA11" s="352"/>
      <c r="AB11" s="350"/>
      <c r="AC11" s="351"/>
      <c r="AD11" s="351"/>
      <c r="AE11" s="351"/>
      <c r="AF11" s="352"/>
      <c r="AG11" s="350"/>
      <c r="AH11" s="351"/>
      <c r="AI11" s="351"/>
      <c r="AJ11" s="351"/>
      <c r="AK11" s="352"/>
      <c r="AL11" s="353"/>
      <c r="AM11" s="351"/>
      <c r="AN11" s="351"/>
      <c r="AO11" s="351"/>
      <c r="AP11" s="354"/>
      <c r="AQ11" s="353"/>
      <c r="AR11" s="351"/>
      <c r="AS11" s="351"/>
      <c r="AT11" s="351"/>
      <c r="AU11" s="354"/>
    </row>
    <row r="12" spans="1:47" ht="15">
      <c r="A12" s="80"/>
      <c r="B12" s="84" t="s">
        <v>82</v>
      </c>
      <c r="C12" s="350"/>
      <c r="D12" s="351"/>
      <c r="E12" s="351"/>
      <c r="F12" s="351"/>
      <c r="G12" s="352"/>
      <c r="H12" s="353"/>
      <c r="I12" s="351"/>
      <c r="J12" s="351"/>
      <c r="K12" s="351"/>
      <c r="L12" s="354"/>
      <c r="M12" s="353"/>
      <c r="N12" s="351"/>
      <c r="O12" s="351"/>
      <c r="P12" s="351"/>
      <c r="Q12" s="354"/>
      <c r="R12" s="350"/>
      <c r="S12" s="351"/>
      <c r="T12" s="351"/>
      <c r="U12" s="351"/>
      <c r="V12" s="352"/>
      <c r="W12" s="350"/>
      <c r="X12" s="351"/>
      <c r="Y12" s="351"/>
      <c r="Z12" s="351"/>
      <c r="AA12" s="352"/>
      <c r="AB12" s="350"/>
      <c r="AC12" s="351"/>
      <c r="AD12" s="351"/>
      <c r="AE12" s="351"/>
      <c r="AF12" s="352"/>
      <c r="AG12" s="350"/>
      <c r="AH12" s="351"/>
      <c r="AI12" s="351"/>
      <c r="AJ12" s="351"/>
      <c r="AK12" s="352"/>
      <c r="AL12" s="353"/>
      <c r="AM12" s="351"/>
      <c r="AN12" s="351"/>
      <c r="AO12" s="351"/>
      <c r="AP12" s="354"/>
      <c r="AQ12" s="353"/>
      <c r="AR12" s="351"/>
      <c r="AS12" s="351"/>
      <c r="AT12" s="351"/>
      <c r="AU12" s="354"/>
    </row>
    <row r="13" spans="1:47" ht="15">
      <c r="A13" s="80"/>
      <c r="B13" s="84" t="s">
        <v>83</v>
      </c>
      <c r="C13" s="350"/>
      <c r="D13" s="351"/>
      <c r="E13" s="351"/>
      <c r="F13" s="351"/>
      <c r="G13" s="352"/>
      <c r="H13" s="353"/>
      <c r="I13" s="351"/>
      <c r="J13" s="351"/>
      <c r="K13" s="351"/>
      <c r="L13" s="352"/>
      <c r="M13" s="353"/>
      <c r="N13" s="351"/>
      <c r="O13" s="351"/>
      <c r="P13" s="351"/>
      <c r="Q13" s="352"/>
      <c r="R13" s="350"/>
      <c r="S13" s="351"/>
      <c r="T13" s="351"/>
      <c r="U13" s="351"/>
      <c r="V13" s="352"/>
      <c r="W13" s="350"/>
      <c r="X13" s="351"/>
      <c r="Y13" s="351"/>
      <c r="Z13" s="351"/>
      <c r="AA13" s="352"/>
      <c r="AB13" s="350"/>
      <c r="AC13" s="351"/>
      <c r="AD13" s="351"/>
      <c r="AE13" s="351"/>
      <c r="AF13" s="352"/>
      <c r="AG13" s="350"/>
      <c r="AH13" s="351"/>
      <c r="AI13" s="351"/>
      <c r="AJ13" s="351"/>
      <c r="AK13" s="352"/>
      <c r="AL13" s="353"/>
      <c r="AM13" s="351"/>
      <c r="AN13" s="351"/>
      <c r="AO13" s="351"/>
      <c r="AP13" s="352"/>
      <c r="AQ13" s="353"/>
      <c r="AR13" s="351"/>
      <c r="AS13" s="351"/>
      <c r="AT13" s="351"/>
      <c r="AU13" s="352"/>
    </row>
    <row r="14" spans="1:47" ht="15">
      <c r="A14" s="80"/>
      <c r="B14" s="84" t="s">
        <v>121</v>
      </c>
      <c r="C14" s="350">
        <v>0.8487</v>
      </c>
      <c r="D14" s="351"/>
      <c r="E14" s="351"/>
      <c r="F14" s="683">
        <f>F10</f>
        <v>0.8768</v>
      </c>
      <c r="G14" s="351">
        <v>0.842</v>
      </c>
      <c r="H14" s="683">
        <f>H10</f>
        <v>0.4558</v>
      </c>
      <c r="I14" s="351"/>
      <c r="J14" s="351"/>
      <c r="K14" s="685">
        <f>K10</f>
        <v>0.4558</v>
      </c>
      <c r="L14" s="354"/>
      <c r="M14" s="683">
        <f>M10</f>
        <v>0.421</v>
      </c>
      <c r="N14" s="351"/>
      <c r="O14" s="351"/>
      <c r="P14" s="351"/>
      <c r="Q14" s="354"/>
      <c r="R14" s="683">
        <v>0.869</v>
      </c>
      <c r="S14" s="351"/>
      <c r="T14" s="351"/>
      <c r="U14" s="685">
        <f>U10</f>
        <v>0.877</v>
      </c>
      <c r="V14" s="352">
        <v>0.869</v>
      </c>
      <c r="W14" s="683">
        <v>0.8405</v>
      </c>
      <c r="X14" s="351"/>
      <c r="Y14" s="351"/>
      <c r="Z14" s="683">
        <f>Z10</f>
        <v>0.8487</v>
      </c>
      <c r="AA14" s="351">
        <v>0</v>
      </c>
      <c r="AB14" s="350">
        <v>1.641</v>
      </c>
      <c r="AC14" s="351"/>
      <c r="AD14" s="351"/>
      <c r="AE14" s="351">
        <v>1.641</v>
      </c>
      <c r="AF14" s="352">
        <v>1.629</v>
      </c>
      <c r="AG14" s="350">
        <v>1.641</v>
      </c>
      <c r="AH14" s="351"/>
      <c r="AI14" s="351"/>
      <c r="AJ14" s="351">
        <v>1.641</v>
      </c>
      <c r="AK14" s="352">
        <v>1.629</v>
      </c>
      <c r="AL14" s="683">
        <v>0.4202</v>
      </c>
      <c r="AM14" s="351"/>
      <c r="AN14" s="351"/>
      <c r="AO14" s="685">
        <f>AO10</f>
        <v>0.4243</v>
      </c>
      <c r="AP14" s="354"/>
      <c r="AQ14" s="683">
        <v>0.4202</v>
      </c>
      <c r="AR14" s="351"/>
      <c r="AS14" s="351"/>
      <c r="AT14" s="351"/>
      <c r="AU14" s="354"/>
    </row>
    <row r="15" spans="1:47" ht="15">
      <c r="A15" s="80" t="s">
        <v>69</v>
      </c>
      <c r="B15" s="84" t="s">
        <v>185</v>
      </c>
      <c r="C15" s="350"/>
      <c r="D15" s="351"/>
      <c r="E15" s="351"/>
      <c r="F15" s="351"/>
      <c r="G15" s="352"/>
      <c r="H15" s="353"/>
      <c r="I15" s="351"/>
      <c r="J15" s="351"/>
      <c r="K15" s="351"/>
      <c r="L15" s="354"/>
      <c r="M15" s="353"/>
      <c r="N15" s="351"/>
      <c r="O15" s="351"/>
      <c r="P15" s="351"/>
      <c r="Q15" s="354"/>
      <c r="R15" s="350"/>
      <c r="S15" s="351"/>
      <c r="T15" s="351"/>
      <c r="U15" s="351"/>
      <c r="V15" s="352"/>
      <c r="W15" s="350"/>
      <c r="X15" s="351"/>
      <c r="Y15" s="351"/>
      <c r="Z15" s="351"/>
      <c r="AA15" s="352"/>
      <c r="AB15" s="350"/>
      <c r="AC15" s="351"/>
      <c r="AD15" s="351"/>
      <c r="AE15" s="351"/>
      <c r="AF15" s="352"/>
      <c r="AG15" s="350"/>
      <c r="AH15" s="351"/>
      <c r="AI15" s="351"/>
      <c r="AJ15" s="351"/>
      <c r="AK15" s="352"/>
      <c r="AL15" s="353"/>
      <c r="AM15" s="351"/>
      <c r="AN15" s="351"/>
      <c r="AO15" s="351"/>
      <c r="AP15" s="354"/>
      <c r="AQ15" s="353"/>
      <c r="AR15" s="351"/>
      <c r="AS15" s="351"/>
      <c r="AT15" s="351"/>
      <c r="AU15" s="354"/>
    </row>
    <row r="16" spans="1:47" ht="25.5">
      <c r="A16" s="80" t="s">
        <v>71</v>
      </c>
      <c r="B16" s="84" t="s">
        <v>298</v>
      </c>
      <c r="C16" s="350"/>
      <c r="D16" s="351"/>
      <c r="E16" s="351"/>
      <c r="F16" s="351"/>
      <c r="G16" s="352"/>
      <c r="H16" s="350"/>
      <c r="I16" s="351"/>
      <c r="J16" s="351"/>
      <c r="K16" s="351"/>
      <c r="L16" s="352"/>
      <c r="M16" s="350"/>
      <c r="N16" s="351"/>
      <c r="O16" s="351"/>
      <c r="P16" s="351"/>
      <c r="Q16" s="354"/>
      <c r="R16" s="350">
        <v>0.877</v>
      </c>
      <c r="S16" s="351"/>
      <c r="T16" s="351"/>
      <c r="U16" s="351">
        <f>U14</f>
        <v>0.877</v>
      </c>
      <c r="V16" s="352"/>
      <c r="W16" s="350"/>
      <c r="X16" s="351"/>
      <c r="Y16" s="351"/>
      <c r="Z16" s="351"/>
      <c r="AA16" s="352"/>
      <c r="AB16" s="350"/>
      <c r="AC16" s="351"/>
      <c r="AD16" s="351"/>
      <c r="AE16" s="351"/>
      <c r="AF16" s="352"/>
      <c r="AG16" s="350"/>
      <c r="AH16" s="351"/>
      <c r="AI16" s="351"/>
      <c r="AJ16" s="351"/>
      <c r="AK16" s="352"/>
      <c r="AL16" s="350"/>
      <c r="AM16" s="351"/>
      <c r="AN16" s="351"/>
      <c r="AO16" s="351"/>
      <c r="AP16" s="352"/>
      <c r="AQ16" s="350"/>
      <c r="AR16" s="351"/>
      <c r="AS16" s="351"/>
      <c r="AT16" s="351"/>
      <c r="AU16" s="354"/>
    </row>
    <row r="17" spans="1:47" ht="15">
      <c r="A17" s="80" t="s">
        <v>73</v>
      </c>
      <c r="B17" s="84" t="s">
        <v>186</v>
      </c>
      <c r="C17" s="350"/>
      <c r="D17" s="351"/>
      <c r="E17" s="351"/>
      <c r="F17" s="351"/>
      <c r="G17" s="352"/>
      <c r="H17" s="353"/>
      <c r="I17" s="351"/>
      <c r="J17" s="351"/>
      <c r="K17" s="351"/>
      <c r="L17" s="354"/>
      <c r="M17" s="353"/>
      <c r="N17" s="351"/>
      <c r="O17" s="351"/>
      <c r="P17" s="351"/>
      <c r="Q17" s="354"/>
      <c r="R17" s="350"/>
      <c r="S17" s="351"/>
      <c r="T17" s="351"/>
      <c r="U17" s="351"/>
      <c r="V17" s="352"/>
      <c r="W17" s="350"/>
      <c r="X17" s="351"/>
      <c r="Y17" s="351"/>
      <c r="Z17" s="351"/>
      <c r="AA17" s="352"/>
      <c r="AB17" s="350"/>
      <c r="AC17" s="351"/>
      <c r="AD17" s="351"/>
      <c r="AE17" s="351"/>
      <c r="AF17" s="352"/>
      <c r="AG17" s="350"/>
      <c r="AH17" s="351"/>
      <c r="AI17" s="351"/>
      <c r="AJ17" s="351"/>
      <c r="AK17" s="352"/>
      <c r="AL17" s="353"/>
      <c r="AM17" s="351"/>
      <c r="AN17" s="351"/>
      <c r="AO17" s="351"/>
      <c r="AP17" s="354"/>
      <c r="AQ17" s="353"/>
      <c r="AR17" s="351"/>
      <c r="AS17" s="351"/>
      <c r="AT17" s="351"/>
      <c r="AU17" s="354"/>
    </row>
    <row r="18" spans="1:47" ht="15">
      <c r="A18" s="80" t="s">
        <v>12</v>
      </c>
      <c r="B18" s="84" t="s">
        <v>74</v>
      </c>
      <c r="C18" s="683">
        <v>0.0196</v>
      </c>
      <c r="D18" s="351"/>
      <c r="E18" s="351"/>
      <c r="F18" s="685">
        <v>0.0082</v>
      </c>
      <c r="G18" s="684">
        <v>0.01145</v>
      </c>
      <c r="H18" s="686">
        <v>0.0102</v>
      </c>
      <c r="I18" s="351"/>
      <c r="J18" s="351"/>
      <c r="K18" s="685">
        <v>0.0043</v>
      </c>
      <c r="L18" s="684">
        <v>0.0059</v>
      </c>
      <c r="M18" s="683">
        <v>0.0094</v>
      </c>
      <c r="N18" s="351"/>
      <c r="O18" s="351"/>
      <c r="P18" s="685">
        <v>0.0039</v>
      </c>
      <c r="Q18" s="684">
        <v>0.0055</v>
      </c>
      <c r="R18" s="683">
        <v>0.02</v>
      </c>
      <c r="S18" s="351"/>
      <c r="T18" s="351"/>
      <c r="U18" s="685">
        <v>0.008</v>
      </c>
      <c r="V18" s="684">
        <v>0.011</v>
      </c>
      <c r="W18" s="683">
        <v>0.0189</v>
      </c>
      <c r="X18" s="351"/>
      <c r="Y18" s="351"/>
      <c r="Z18" s="685">
        <v>0.0082</v>
      </c>
      <c r="AA18" s="684">
        <v>0.0107</v>
      </c>
      <c r="AB18" s="350">
        <v>0.0465</v>
      </c>
      <c r="AC18" s="351"/>
      <c r="AD18" s="351"/>
      <c r="AE18" s="351">
        <v>0.012</v>
      </c>
      <c r="AF18" s="352">
        <f>SUM(AB18-AE18)</f>
        <v>0.0345</v>
      </c>
      <c r="AG18" s="350">
        <v>0.0465</v>
      </c>
      <c r="AH18" s="351"/>
      <c r="AI18" s="351"/>
      <c r="AJ18" s="351">
        <v>0.012</v>
      </c>
      <c r="AK18" s="352">
        <f>SUM(AG18-AJ18)</f>
        <v>0.0345</v>
      </c>
      <c r="AL18" s="686">
        <v>0.0098</v>
      </c>
      <c r="AM18" s="351"/>
      <c r="AN18" s="351"/>
      <c r="AO18" s="685">
        <v>0.0041</v>
      </c>
      <c r="AP18" s="684">
        <v>0.00553</v>
      </c>
      <c r="AQ18" s="683">
        <v>0.0091</v>
      </c>
      <c r="AR18" s="351"/>
      <c r="AS18" s="351"/>
      <c r="AT18" s="685">
        <v>0.0041</v>
      </c>
      <c r="AU18" s="684">
        <v>0.0052</v>
      </c>
    </row>
    <row r="19" spans="1:47" ht="15">
      <c r="A19" s="80"/>
      <c r="B19" s="84" t="s">
        <v>18</v>
      </c>
      <c r="C19" s="350">
        <f>C18/C9*100</f>
        <v>2.2354014598540144</v>
      </c>
      <c r="D19" s="351"/>
      <c r="E19" s="351"/>
      <c r="F19" s="351">
        <f>F18/F9*100</f>
        <v>0.9352189781021899</v>
      </c>
      <c r="G19" s="352">
        <f>G18/G9*100</f>
        <v>1.318213216670504</v>
      </c>
      <c r="H19" s="355">
        <f>H18/H9</f>
        <v>0.022378236068451077</v>
      </c>
      <c r="I19" s="351"/>
      <c r="J19" s="351"/>
      <c r="K19" s="356">
        <f>K18/K9</f>
        <v>0.009433962264150943</v>
      </c>
      <c r="L19" s="357">
        <f>L18/L9</f>
        <v>0.013067552602436324</v>
      </c>
      <c r="M19" s="355">
        <f>M18/M9</f>
        <v>0.022327790973871737</v>
      </c>
      <c r="N19" s="351"/>
      <c r="O19" s="351"/>
      <c r="P19" s="356">
        <f>P18/P9</f>
        <v>0.009263657957244655</v>
      </c>
      <c r="Q19" s="357">
        <f>Q18/Q9</f>
        <v>0.013186286262287222</v>
      </c>
      <c r="R19" s="350">
        <f>R18/R9*100</f>
        <v>2.280501710376283</v>
      </c>
      <c r="S19" s="351"/>
      <c r="T19" s="351"/>
      <c r="U19" s="351">
        <f>U18/U9*100</f>
        <v>0.9122006841505131</v>
      </c>
      <c r="V19" s="352">
        <f>V18/V9*100</f>
        <v>1.2658227848101267</v>
      </c>
      <c r="W19" s="350">
        <f>W18/W9*100</f>
        <v>2.2269353128313893</v>
      </c>
      <c r="X19" s="351"/>
      <c r="Y19" s="351"/>
      <c r="Z19" s="351">
        <f>Z18/Z9*100</f>
        <v>0.9661835748792271</v>
      </c>
      <c r="AA19" s="352">
        <v>1.273</v>
      </c>
      <c r="AB19" s="350">
        <v>1.4175</v>
      </c>
      <c r="AC19" s="351"/>
      <c r="AD19" s="351"/>
      <c r="AE19" s="351">
        <v>0.365</v>
      </c>
      <c r="AF19" s="352">
        <v>1.053</v>
      </c>
      <c r="AG19" s="350">
        <v>1.4175</v>
      </c>
      <c r="AH19" s="351"/>
      <c r="AI19" s="351"/>
      <c r="AJ19" s="351">
        <v>0.365</v>
      </c>
      <c r="AK19" s="352">
        <v>1.053</v>
      </c>
      <c r="AL19" s="355">
        <f>AL18/AL9</f>
        <v>0.02309686542540655</v>
      </c>
      <c r="AM19" s="351"/>
      <c r="AN19" s="351"/>
      <c r="AO19" s="356">
        <f>AO18/AO9</f>
        <v>0.009662974310629272</v>
      </c>
      <c r="AP19" s="357">
        <f>AP18/AP9</f>
        <v>0.013160399809614469</v>
      </c>
      <c r="AQ19" s="355">
        <f>AQ18/AQ9</f>
        <v>0.021447089323591798</v>
      </c>
      <c r="AR19" s="351"/>
      <c r="AS19" s="351"/>
      <c r="AT19" s="356">
        <f>AT18/AT9</f>
        <v>0.009662974310629272</v>
      </c>
      <c r="AU19" s="357">
        <f>AU18/AU9</f>
        <v>0.012375059495478343</v>
      </c>
    </row>
    <row r="20" spans="1:47" ht="25.5">
      <c r="A20" s="80" t="s">
        <v>14</v>
      </c>
      <c r="B20" s="84" t="s">
        <v>156</v>
      </c>
      <c r="C20" s="350">
        <v>0</v>
      </c>
      <c r="D20" s="351"/>
      <c r="E20" s="351"/>
      <c r="F20" s="351"/>
      <c r="G20" s="352">
        <v>0</v>
      </c>
      <c r="H20" s="350"/>
      <c r="I20" s="351"/>
      <c r="J20" s="351"/>
      <c r="K20" s="351"/>
      <c r="L20" s="352"/>
      <c r="M20" s="350">
        <v>0</v>
      </c>
      <c r="N20" s="351"/>
      <c r="O20" s="351"/>
      <c r="P20" s="351"/>
      <c r="Q20" s="352">
        <v>0</v>
      </c>
      <c r="R20" s="350">
        <v>0</v>
      </c>
      <c r="S20" s="351"/>
      <c r="T20" s="351"/>
      <c r="U20" s="351"/>
      <c r="V20" s="352">
        <f>R20</f>
        <v>0</v>
      </c>
      <c r="W20" s="350">
        <v>0</v>
      </c>
      <c r="X20" s="351"/>
      <c r="Y20" s="351"/>
      <c r="Z20" s="351"/>
      <c r="AA20" s="352">
        <v>0</v>
      </c>
      <c r="AB20" s="350">
        <v>0.0455</v>
      </c>
      <c r="AC20" s="351"/>
      <c r="AD20" s="351"/>
      <c r="AE20" s="351"/>
      <c r="AF20" s="352">
        <v>0.046</v>
      </c>
      <c r="AG20" s="350">
        <v>0.0455</v>
      </c>
      <c r="AH20" s="351"/>
      <c r="AI20" s="351"/>
      <c r="AJ20" s="351"/>
      <c r="AK20" s="352">
        <v>0.046</v>
      </c>
      <c r="AL20" s="350"/>
      <c r="AM20" s="351"/>
      <c r="AN20" s="351"/>
      <c r="AO20" s="351"/>
      <c r="AP20" s="352"/>
      <c r="AQ20" s="350">
        <v>0</v>
      </c>
      <c r="AR20" s="351"/>
      <c r="AS20" s="351"/>
      <c r="AT20" s="351"/>
      <c r="AU20" s="352">
        <v>0</v>
      </c>
    </row>
    <row r="21" spans="1:47" ht="12.75" customHeight="1" hidden="1">
      <c r="A21" s="80"/>
      <c r="B21" s="84" t="s">
        <v>187</v>
      </c>
      <c r="C21" s="350"/>
      <c r="D21" s="358"/>
      <c r="E21" s="358"/>
      <c r="F21" s="351"/>
      <c r="G21" s="352"/>
      <c r="H21" s="353"/>
      <c r="I21" s="358"/>
      <c r="J21" s="358"/>
      <c r="K21" s="351"/>
      <c r="L21" s="354"/>
      <c r="M21" s="353"/>
      <c r="N21" s="358"/>
      <c r="O21" s="358"/>
      <c r="P21" s="351"/>
      <c r="Q21" s="354"/>
      <c r="R21" s="350"/>
      <c r="S21" s="358"/>
      <c r="T21" s="358"/>
      <c r="U21" s="351"/>
      <c r="V21" s="352"/>
      <c r="W21" s="350"/>
      <c r="X21" s="358"/>
      <c r="Y21" s="358"/>
      <c r="Z21" s="351"/>
      <c r="AA21" s="352"/>
      <c r="AB21" s="350"/>
      <c r="AC21" s="358"/>
      <c r="AD21" s="358">
        <f>AD9-AD18</f>
        <v>0</v>
      </c>
      <c r="AE21" s="351"/>
      <c r="AF21" s="352"/>
      <c r="AG21" s="350"/>
      <c r="AH21" s="358"/>
      <c r="AI21" s="358">
        <f>AI9-AI18</f>
        <v>0</v>
      </c>
      <c r="AJ21" s="351"/>
      <c r="AK21" s="352"/>
      <c r="AL21" s="353"/>
      <c r="AM21" s="358"/>
      <c r="AN21" s="358"/>
      <c r="AO21" s="351"/>
      <c r="AP21" s="354"/>
      <c r="AQ21" s="353"/>
      <c r="AR21" s="358"/>
      <c r="AS21" s="358"/>
      <c r="AT21" s="351"/>
      <c r="AU21" s="354"/>
    </row>
    <row r="22" spans="1:47" ht="12.75" customHeight="1" hidden="1">
      <c r="A22" s="80"/>
      <c r="B22" s="84" t="s">
        <v>188</v>
      </c>
      <c r="C22" s="359"/>
      <c r="D22" s="358"/>
      <c r="E22" s="358"/>
      <c r="F22" s="351"/>
      <c r="G22" s="352"/>
      <c r="H22" s="353"/>
      <c r="I22" s="358"/>
      <c r="J22" s="358"/>
      <c r="K22" s="351"/>
      <c r="L22" s="354"/>
      <c r="M22" s="353"/>
      <c r="N22" s="358"/>
      <c r="O22" s="358"/>
      <c r="P22" s="351"/>
      <c r="Q22" s="354"/>
      <c r="R22" s="359"/>
      <c r="S22" s="358"/>
      <c r="T22" s="358"/>
      <c r="U22" s="351"/>
      <c r="V22" s="352"/>
      <c r="W22" s="359"/>
      <c r="X22" s="358"/>
      <c r="Y22" s="358"/>
      <c r="Z22" s="351"/>
      <c r="AA22" s="352"/>
      <c r="AB22" s="359"/>
      <c r="AC22" s="358"/>
      <c r="AD22" s="358">
        <f>AD9-AD18</f>
        <v>0</v>
      </c>
      <c r="AE22" s="351"/>
      <c r="AF22" s="352"/>
      <c r="AG22" s="359"/>
      <c r="AH22" s="358"/>
      <c r="AI22" s="358">
        <f>AI9-AI18</f>
        <v>0</v>
      </c>
      <c r="AJ22" s="351"/>
      <c r="AK22" s="352"/>
      <c r="AL22" s="353"/>
      <c r="AM22" s="358"/>
      <c r="AN22" s="358"/>
      <c r="AO22" s="351"/>
      <c r="AP22" s="354"/>
      <c r="AQ22" s="353"/>
      <c r="AR22" s="358"/>
      <c r="AS22" s="358"/>
      <c r="AT22" s="351"/>
      <c r="AU22" s="354"/>
    </row>
    <row r="23" spans="1:47" ht="15">
      <c r="A23" s="80" t="s">
        <v>22</v>
      </c>
      <c r="B23" s="84" t="s">
        <v>189</v>
      </c>
      <c r="C23" s="683">
        <f>C9-C18-C20</f>
        <v>0.8572000000000001</v>
      </c>
      <c r="D23" s="351"/>
      <c r="E23" s="351"/>
      <c r="F23" s="685">
        <f>F9-F18</f>
        <v>0.8686</v>
      </c>
      <c r="G23" s="684">
        <f>G9-G18-G20</f>
        <v>0.8571500000000001</v>
      </c>
      <c r="H23" s="683">
        <f>H9-H18</f>
        <v>0.4456</v>
      </c>
      <c r="I23" s="351"/>
      <c r="J23" s="351"/>
      <c r="K23" s="685">
        <f>K9-K18</f>
        <v>0.45149999999999996</v>
      </c>
      <c r="L23" s="684">
        <f>L9-L18</f>
        <v>0.44559999999999994</v>
      </c>
      <c r="M23" s="683">
        <f>M9-M18</f>
        <v>0.41159999999999997</v>
      </c>
      <c r="N23" s="351"/>
      <c r="O23" s="351"/>
      <c r="P23" s="685">
        <f>P9-P18</f>
        <v>0.41709999999999997</v>
      </c>
      <c r="Q23" s="684">
        <f>Q9-Q18-Q20</f>
        <v>0.41159999999999997</v>
      </c>
      <c r="R23" s="683">
        <f>R9-R18</f>
        <v>0.857</v>
      </c>
      <c r="S23" s="351"/>
      <c r="T23" s="351"/>
      <c r="U23" s="685">
        <v>0.869</v>
      </c>
      <c r="V23" s="684">
        <f>R23</f>
        <v>0.857</v>
      </c>
      <c r="W23" s="683">
        <f>W9-W18-W20</f>
        <v>0.8298</v>
      </c>
      <c r="X23" s="351"/>
      <c r="Y23" s="351"/>
      <c r="Z23" s="685">
        <f>Z9-Z18</f>
        <v>0.8405</v>
      </c>
      <c r="AA23" s="684">
        <f>AA9-AA18-AA20</f>
        <v>0.8298</v>
      </c>
      <c r="AB23" s="350">
        <v>1.548</v>
      </c>
      <c r="AC23" s="351"/>
      <c r="AD23" s="351"/>
      <c r="AE23" s="351">
        <v>1.629</v>
      </c>
      <c r="AF23" s="352">
        <v>1.548</v>
      </c>
      <c r="AG23" s="350">
        <v>1.548</v>
      </c>
      <c r="AH23" s="351"/>
      <c r="AI23" s="351"/>
      <c r="AJ23" s="351">
        <v>1.629</v>
      </c>
      <c r="AK23" s="352">
        <v>1.548</v>
      </c>
      <c r="AL23" s="683">
        <f>AL9-AL18</f>
        <v>0.41450000000000004</v>
      </c>
      <c r="AM23" s="351"/>
      <c r="AN23" s="351"/>
      <c r="AO23" s="685">
        <f>AO9-AO18</f>
        <v>0.4202</v>
      </c>
      <c r="AP23" s="684">
        <f>AP9-AP18</f>
        <v>0.41467000000000004</v>
      </c>
      <c r="AQ23" s="683">
        <f>AQ9-AQ18</f>
        <v>0.4152</v>
      </c>
      <c r="AR23" s="351"/>
      <c r="AS23" s="351"/>
      <c r="AT23" s="685">
        <f>AT9-AT18</f>
        <v>0.4202</v>
      </c>
      <c r="AU23" s="684">
        <f>AU9-AU18-AU20</f>
        <v>0.41500000000000004</v>
      </c>
    </row>
    <row r="24" spans="1:47" s="318" customFormat="1" ht="51">
      <c r="A24" s="80" t="s">
        <v>129</v>
      </c>
      <c r="B24" s="84" t="s">
        <v>190</v>
      </c>
      <c r="C24" s="350">
        <v>0.79</v>
      </c>
      <c r="D24" s="351"/>
      <c r="E24" s="351"/>
      <c r="F24" s="351"/>
      <c r="G24" s="352">
        <f>C24</f>
        <v>0.79</v>
      </c>
      <c r="H24" s="350">
        <v>0.79</v>
      </c>
      <c r="I24" s="351"/>
      <c r="J24" s="351"/>
      <c r="K24" s="351"/>
      <c r="L24" s="352">
        <v>0.79</v>
      </c>
      <c r="M24" s="350">
        <v>0.79</v>
      </c>
      <c r="N24" s="351"/>
      <c r="O24" s="351"/>
      <c r="P24" s="351"/>
      <c r="Q24" s="352">
        <f>M24</f>
        <v>0.79</v>
      </c>
      <c r="R24" s="360">
        <v>0</v>
      </c>
      <c r="S24" s="351"/>
      <c r="T24" s="351"/>
      <c r="U24" s="351"/>
      <c r="V24" s="352">
        <f>R24</f>
        <v>0</v>
      </c>
      <c r="W24" s="350">
        <v>0.75</v>
      </c>
      <c r="X24" s="351"/>
      <c r="Y24" s="351"/>
      <c r="Z24" s="351"/>
      <c r="AA24" s="352">
        <f>W24</f>
        <v>0.75</v>
      </c>
      <c r="AB24" s="360">
        <v>1.376</v>
      </c>
      <c r="AC24" s="351"/>
      <c r="AD24" s="351"/>
      <c r="AE24" s="351"/>
      <c r="AF24" s="352">
        <v>1.376</v>
      </c>
      <c r="AG24" s="360">
        <v>1.376</v>
      </c>
      <c r="AH24" s="351"/>
      <c r="AI24" s="351"/>
      <c r="AJ24" s="351"/>
      <c r="AK24" s="352">
        <v>1.376</v>
      </c>
      <c r="AL24" s="350">
        <v>0.75</v>
      </c>
      <c r="AM24" s="351"/>
      <c r="AN24" s="351"/>
      <c r="AO24" s="351"/>
      <c r="AP24" s="352">
        <f>AL24</f>
        <v>0.75</v>
      </c>
      <c r="AQ24" s="350">
        <v>0.75</v>
      </c>
      <c r="AR24" s="351"/>
      <c r="AS24" s="351"/>
      <c r="AT24" s="351"/>
      <c r="AU24" s="352">
        <f>AQ24</f>
        <v>0.75</v>
      </c>
    </row>
    <row r="25" spans="1:47" ht="25.5">
      <c r="A25" s="80" t="s">
        <v>133</v>
      </c>
      <c r="B25" s="84" t="s">
        <v>191</v>
      </c>
      <c r="C25" s="360"/>
      <c r="D25" s="351"/>
      <c r="E25" s="351"/>
      <c r="F25" s="351"/>
      <c r="G25" s="352"/>
      <c r="H25" s="350"/>
      <c r="I25" s="351"/>
      <c r="J25" s="351"/>
      <c r="K25" s="351"/>
      <c r="L25" s="352"/>
      <c r="M25" s="350"/>
      <c r="N25" s="351"/>
      <c r="O25" s="351"/>
      <c r="P25" s="351"/>
      <c r="Q25" s="352"/>
      <c r="R25" s="360"/>
      <c r="S25" s="351"/>
      <c r="T25" s="351"/>
      <c r="U25" s="351"/>
      <c r="V25" s="352"/>
      <c r="W25" s="360"/>
      <c r="X25" s="351"/>
      <c r="Y25" s="351"/>
      <c r="Z25" s="351"/>
      <c r="AA25" s="352"/>
      <c r="AB25" s="360"/>
      <c r="AC25" s="351"/>
      <c r="AD25" s="351"/>
      <c r="AE25" s="351"/>
      <c r="AF25" s="352"/>
      <c r="AG25" s="360"/>
      <c r="AH25" s="351"/>
      <c r="AI25" s="351"/>
      <c r="AJ25" s="351"/>
      <c r="AK25" s="352"/>
      <c r="AL25" s="350"/>
      <c r="AM25" s="351"/>
      <c r="AN25" s="351"/>
      <c r="AO25" s="351"/>
      <c r="AP25" s="352"/>
      <c r="AQ25" s="350"/>
      <c r="AR25" s="351"/>
      <c r="AS25" s="351"/>
      <c r="AT25" s="351"/>
      <c r="AU25" s="352"/>
    </row>
    <row r="26" spans="1:47" ht="26.25" thickBot="1">
      <c r="A26" s="80" t="s">
        <v>134</v>
      </c>
      <c r="B26" s="84" t="s">
        <v>192</v>
      </c>
      <c r="C26" s="361">
        <v>0</v>
      </c>
      <c r="D26" s="362"/>
      <c r="E26" s="362"/>
      <c r="F26" s="362"/>
      <c r="G26" s="363">
        <v>0</v>
      </c>
      <c r="H26" s="364">
        <v>0</v>
      </c>
      <c r="I26" s="362"/>
      <c r="J26" s="362"/>
      <c r="K26" s="362"/>
      <c r="L26" s="363">
        <v>0</v>
      </c>
      <c r="M26" s="364">
        <f>Q26</f>
        <v>0</v>
      </c>
      <c r="N26" s="362"/>
      <c r="O26" s="362"/>
      <c r="P26" s="362"/>
      <c r="Q26" s="363">
        <v>0</v>
      </c>
      <c r="R26" s="361">
        <v>0</v>
      </c>
      <c r="S26" s="362"/>
      <c r="T26" s="362"/>
      <c r="U26" s="362"/>
      <c r="V26" s="363">
        <v>0</v>
      </c>
      <c r="W26" s="361">
        <v>0</v>
      </c>
      <c r="X26" s="362"/>
      <c r="Y26" s="362"/>
      <c r="Z26" s="362"/>
      <c r="AA26" s="363">
        <v>0</v>
      </c>
      <c r="AB26" s="361">
        <v>0.172</v>
      </c>
      <c r="AC26" s="362"/>
      <c r="AD26" s="362"/>
      <c r="AE26" s="362"/>
      <c r="AF26" s="363">
        <v>0.172</v>
      </c>
      <c r="AG26" s="361">
        <v>0.172</v>
      </c>
      <c r="AH26" s="362"/>
      <c r="AI26" s="362"/>
      <c r="AJ26" s="362"/>
      <c r="AK26" s="363">
        <v>0.172</v>
      </c>
      <c r="AL26" s="364">
        <v>0</v>
      </c>
      <c r="AM26" s="362"/>
      <c r="AN26" s="362"/>
      <c r="AO26" s="362"/>
      <c r="AP26" s="363">
        <v>0</v>
      </c>
      <c r="AQ26" s="364">
        <v>0</v>
      </c>
      <c r="AR26" s="362"/>
      <c r="AS26" s="362"/>
      <c r="AT26" s="362"/>
      <c r="AU26" s="363">
        <v>0</v>
      </c>
    </row>
    <row r="29" spans="1:43" s="216" customFormat="1" ht="15" customHeight="1">
      <c r="A29" s="918" t="s">
        <v>522</v>
      </c>
      <c r="B29" s="918"/>
      <c r="C29" s="663"/>
      <c r="D29" s="663"/>
      <c r="E29" s="663"/>
      <c r="F29" s="663"/>
      <c r="G29" s="663"/>
      <c r="H29" s="663"/>
      <c r="I29" s="663"/>
      <c r="J29" s="918" t="s">
        <v>550</v>
      </c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 t="s">
        <v>551</v>
      </c>
      <c r="W29" s="918"/>
      <c r="X29" s="918"/>
      <c r="Y29" s="918"/>
      <c r="Z29" s="918"/>
      <c r="AA29" s="663"/>
      <c r="AB29" s="663"/>
      <c r="AC29" s="663"/>
      <c r="AD29" s="663"/>
      <c r="AE29" s="663"/>
      <c r="AF29" s="663"/>
      <c r="AG29" s="663"/>
      <c r="AH29" s="663"/>
      <c r="AI29" s="663"/>
      <c r="AJ29" s="663"/>
      <c r="AK29" s="663"/>
      <c r="AL29" s="663"/>
      <c r="AM29" s="663"/>
      <c r="AN29" s="663"/>
      <c r="AO29" s="663"/>
      <c r="AP29" s="663"/>
      <c r="AQ29" s="663"/>
    </row>
    <row r="31" spans="1:47" s="333" customFormat="1" ht="18.75" customHeight="1">
      <c r="A31" s="856" t="s">
        <v>523</v>
      </c>
      <c r="B31" s="856"/>
      <c r="C31" s="856"/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6"/>
      <c r="S31" s="856"/>
      <c r="T31" s="856"/>
      <c r="U31" s="856"/>
      <c r="V31" s="856"/>
      <c r="W31" s="856"/>
      <c r="X31" s="856"/>
      <c r="Y31" s="856"/>
      <c r="Z31" s="856"/>
      <c r="AA31" s="856"/>
      <c r="AB31" s="856"/>
      <c r="AC31" s="856"/>
      <c r="AD31" s="856"/>
      <c r="AE31" s="856"/>
      <c r="AF31" s="856"/>
      <c r="AG31" s="856"/>
      <c r="AH31" s="856"/>
      <c r="AI31" s="856"/>
      <c r="AJ31" s="856"/>
      <c r="AK31" s="856"/>
      <c r="AL31" s="856"/>
      <c r="AM31" s="856"/>
      <c r="AN31" s="856"/>
      <c r="AO31" s="856"/>
      <c r="AP31" s="856"/>
      <c r="AQ31" s="856"/>
      <c r="AR31" s="856"/>
      <c r="AS31" s="856"/>
      <c r="AT31" s="856"/>
      <c r="AU31" s="856"/>
    </row>
    <row r="32" s="365" customFormat="1" ht="15">
      <c r="B32" s="366"/>
    </row>
  </sheetData>
  <sheetProtection/>
  <mergeCells count="22">
    <mergeCell ref="AQ6:AU6"/>
    <mergeCell ref="H5:Q5"/>
    <mergeCell ref="H6:L6"/>
    <mergeCell ref="B5:B7"/>
    <mergeCell ref="M1:AU1"/>
    <mergeCell ref="AL6:AP6"/>
    <mergeCell ref="R5:V6"/>
    <mergeCell ref="C5:G6"/>
    <mergeCell ref="A3:AU3"/>
    <mergeCell ref="AO4:AU4"/>
    <mergeCell ref="AB5:AK5"/>
    <mergeCell ref="AL5:AU5"/>
    <mergeCell ref="W5:AA6"/>
    <mergeCell ref="A2:G2"/>
    <mergeCell ref="A31:AU31"/>
    <mergeCell ref="M6:Q6"/>
    <mergeCell ref="A5:A7"/>
    <mergeCell ref="AG6:AK6"/>
    <mergeCell ref="A29:B29"/>
    <mergeCell ref="J29:U29"/>
    <mergeCell ref="AB6:AF6"/>
    <mergeCell ref="V29:Z29"/>
  </mergeCells>
  <printOptions horizontalCentered="1"/>
  <pageMargins left="0.3937007874015748" right="0.2755905511811024" top="0.3937007874015748" bottom="0" header="0" footer="0"/>
  <pageSetup blackAndWhite="1" fitToHeight="1" fitToWidth="1" horizontalDpi="600" verticalDpi="600" orientation="landscape" paperSize="9" scale="49" r:id="rId1"/>
  <headerFooter alignWithMargins="0">
    <oddHeader>&amp;R60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77"/>
  <sheetViews>
    <sheetView showGridLines="0" view="pageBreakPreview" zoomScale="90" zoomScaleSheetLayoutView="90" zoomScalePageLayoutView="0" workbookViewId="0" topLeftCell="A1">
      <selection activeCell="X69" sqref="X69"/>
    </sheetView>
  </sheetViews>
  <sheetFormatPr defaultColWidth="9.00390625" defaultRowHeight="12.75"/>
  <cols>
    <col min="1" max="1" width="6.375" style="367" customWidth="1"/>
    <col min="2" max="2" width="31.875" style="373" customWidth="1"/>
    <col min="3" max="3" width="11.125" style="367" customWidth="1"/>
    <col min="4" max="4" width="7.50390625" style="367" customWidth="1"/>
    <col min="5" max="5" width="6.00390625" style="367" customWidth="1"/>
    <col min="6" max="6" width="8.625" style="367" customWidth="1"/>
    <col min="7" max="7" width="12.00390625" style="367" customWidth="1"/>
    <col min="8" max="8" width="7.50390625" style="367" customWidth="1"/>
    <col min="9" max="10" width="7.875" style="367" customWidth="1"/>
    <col min="11" max="11" width="7.50390625" style="367" customWidth="1"/>
    <col min="12" max="12" width="11.625" style="367" customWidth="1"/>
    <col min="13" max="13" width="9.50390625" style="367" customWidth="1"/>
    <col min="14" max="15" width="8.50390625" style="367" customWidth="1"/>
    <col min="16" max="16" width="9.50390625" style="367" customWidth="1"/>
    <col min="17" max="17" width="10.875" style="367" customWidth="1"/>
    <col min="18" max="18" width="11.875" style="367" customWidth="1"/>
    <col min="19" max="16384" width="9.375" style="367" customWidth="1"/>
  </cols>
  <sheetData>
    <row r="1" spans="1:18" ht="25.5" customHeight="1">
      <c r="A1" s="946" t="s">
        <v>553</v>
      </c>
      <c r="B1" s="946"/>
      <c r="C1" s="946"/>
      <c r="D1" s="946"/>
      <c r="E1" s="946"/>
      <c r="F1" s="946"/>
      <c r="G1" s="946"/>
      <c r="H1" s="946"/>
      <c r="I1" s="701"/>
      <c r="O1" s="960" t="s">
        <v>136</v>
      </c>
      <c r="P1" s="960"/>
      <c r="Q1" s="960"/>
      <c r="R1" s="960"/>
    </row>
    <row r="2" spans="1:9" ht="25.5" customHeight="1">
      <c r="A2" s="946"/>
      <c r="B2" s="946"/>
      <c r="C2" s="946"/>
      <c r="D2" s="946"/>
      <c r="E2" s="946"/>
      <c r="F2" s="946"/>
      <c r="G2" s="946"/>
      <c r="H2" s="946"/>
      <c r="I2" s="701"/>
    </row>
    <row r="3" spans="2:18" ht="16.5">
      <c r="B3" s="368"/>
      <c r="C3" s="369"/>
      <c r="D3" s="369"/>
      <c r="E3" s="369"/>
      <c r="F3" s="369"/>
      <c r="G3" s="369"/>
      <c r="H3" s="370" t="s">
        <v>137</v>
      </c>
      <c r="I3" s="369"/>
      <c r="J3" s="369"/>
      <c r="K3" s="369"/>
      <c r="L3" s="369"/>
      <c r="M3" s="369"/>
      <c r="N3" s="369"/>
      <c r="O3" s="369"/>
      <c r="P3" s="369"/>
      <c r="Q3" s="369"/>
      <c r="R3" s="369"/>
    </row>
    <row r="4" spans="1:18" ht="26.25">
      <c r="A4" s="371"/>
      <c r="B4" s="371"/>
      <c r="C4" s="371"/>
      <c r="D4" s="372"/>
      <c r="E4" s="372"/>
      <c r="F4" s="372"/>
      <c r="K4" s="370"/>
      <c r="L4" s="370"/>
      <c r="M4" s="370"/>
      <c r="N4" s="370"/>
      <c r="O4" s="370"/>
      <c r="P4" s="370"/>
      <c r="Q4" s="370"/>
      <c r="R4" s="370"/>
    </row>
    <row r="5" ht="13.5" thickBot="1"/>
    <row r="6" spans="1:18" ht="40.5" customHeight="1">
      <c r="A6" s="956" t="s">
        <v>138</v>
      </c>
      <c r="B6" s="953" t="s">
        <v>139</v>
      </c>
      <c r="C6" s="953" t="s">
        <v>199</v>
      </c>
      <c r="D6" s="953"/>
      <c r="E6" s="953"/>
      <c r="F6" s="953"/>
      <c r="G6" s="953"/>
      <c r="H6" s="953" t="s">
        <v>200</v>
      </c>
      <c r="I6" s="953"/>
      <c r="J6" s="953"/>
      <c r="K6" s="953"/>
      <c r="L6" s="953"/>
      <c r="M6" s="953" t="s">
        <v>140</v>
      </c>
      <c r="N6" s="953" t="s">
        <v>141</v>
      </c>
      <c r="O6" s="953"/>
      <c r="P6" s="953"/>
      <c r="Q6" s="953"/>
      <c r="R6" s="954"/>
    </row>
    <row r="7" spans="1:18" ht="26.25" customHeight="1">
      <c r="A7" s="957"/>
      <c r="B7" s="955"/>
      <c r="C7" s="374" t="s">
        <v>142</v>
      </c>
      <c r="D7" s="374" t="s">
        <v>82</v>
      </c>
      <c r="E7" s="374" t="s">
        <v>83</v>
      </c>
      <c r="F7" s="374" t="s">
        <v>84</v>
      </c>
      <c r="G7" s="374" t="s">
        <v>85</v>
      </c>
      <c r="H7" s="374" t="s">
        <v>142</v>
      </c>
      <c r="I7" s="374" t="s">
        <v>82</v>
      </c>
      <c r="J7" s="374" t="s">
        <v>83</v>
      </c>
      <c r="K7" s="374" t="s">
        <v>84</v>
      </c>
      <c r="L7" s="374" t="s">
        <v>85</v>
      </c>
      <c r="M7" s="955"/>
      <c r="N7" s="374" t="s">
        <v>142</v>
      </c>
      <c r="O7" s="374" t="s">
        <v>82</v>
      </c>
      <c r="P7" s="374" t="s">
        <v>83</v>
      </c>
      <c r="Q7" s="374" t="s">
        <v>84</v>
      </c>
      <c r="R7" s="375" t="s">
        <v>85</v>
      </c>
    </row>
    <row r="8" spans="1:18" ht="13.5" thickBot="1">
      <c r="A8" s="376">
        <v>1</v>
      </c>
      <c r="B8" s="377">
        <f>+A8+1</f>
        <v>2</v>
      </c>
      <c r="C8" s="378">
        <f>+B8+1</f>
        <v>3</v>
      </c>
      <c r="D8" s="378">
        <f>+C8+1</f>
        <v>4</v>
      </c>
      <c r="E8" s="378">
        <f>+D8+1</f>
        <v>5</v>
      </c>
      <c r="F8" s="378">
        <v>6</v>
      </c>
      <c r="G8" s="378">
        <v>7</v>
      </c>
      <c r="H8" s="378">
        <v>8</v>
      </c>
      <c r="I8" s="378">
        <v>9</v>
      </c>
      <c r="J8" s="378">
        <v>10</v>
      </c>
      <c r="K8" s="378">
        <v>11</v>
      </c>
      <c r="L8" s="378">
        <f>+K8+1</f>
        <v>12</v>
      </c>
      <c r="M8" s="378">
        <f>+L8+1</f>
        <v>13</v>
      </c>
      <c r="N8" s="378">
        <f>+M8+1</f>
        <v>14</v>
      </c>
      <c r="O8" s="378">
        <f>+N8+1</f>
        <v>15</v>
      </c>
      <c r="P8" s="378">
        <v>16</v>
      </c>
      <c r="Q8" s="378">
        <v>17</v>
      </c>
      <c r="R8" s="379">
        <v>18</v>
      </c>
    </row>
    <row r="9" spans="1:18" ht="18.75" customHeight="1" thickBot="1">
      <c r="A9" s="947" t="s">
        <v>606</v>
      </c>
      <c r="B9" s="948"/>
      <c r="C9" s="948"/>
      <c r="D9" s="948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48"/>
      <c r="Q9" s="948"/>
      <c r="R9" s="949"/>
    </row>
    <row r="10" spans="1:18" ht="17.25" customHeight="1">
      <c r="A10" s="380" t="s">
        <v>8</v>
      </c>
      <c r="B10" s="381" t="s">
        <v>210</v>
      </c>
      <c r="C10" s="401"/>
      <c r="D10" s="401"/>
      <c r="E10" s="401"/>
      <c r="F10" s="401"/>
      <c r="G10" s="401"/>
      <c r="H10" s="402"/>
      <c r="I10" s="402"/>
      <c r="J10" s="402"/>
      <c r="K10" s="402"/>
      <c r="L10" s="402"/>
      <c r="M10" s="383"/>
      <c r="N10" s="384"/>
      <c r="O10" s="384"/>
      <c r="P10" s="384"/>
      <c r="Q10" s="384"/>
      <c r="R10" s="385"/>
    </row>
    <row r="11" spans="1:18" ht="14.25" customHeight="1">
      <c r="A11" s="386" t="s">
        <v>12</v>
      </c>
      <c r="B11" s="387" t="s">
        <v>150</v>
      </c>
      <c r="C11" s="693">
        <v>4.9288</v>
      </c>
      <c r="D11" s="403"/>
      <c r="E11" s="403"/>
      <c r="F11" s="403"/>
      <c r="G11" s="693">
        <f>C11</f>
        <v>4.9288</v>
      </c>
      <c r="H11" s="691">
        <f>L11</f>
        <v>0.8572</v>
      </c>
      <c r="I11" s="388"/>
      <c r="J11" s="388"/>
      <c r="K11" s="388"/>
      <c r="L11" s="691">
        <v>0.8572</v>
      </c>
      <c r="M11" s="389">
        <v>5750</v>
      </c>
      <c r="N11" s="389">
        <f>SUM(O11:R11)</f>
        <v>100</v>
      </c>
      <c r="O11" s="389">
        <f>D11/C11*100</f>
        <v>0</v>
      </c>
      <c r="P11" s="389">
        <f>E11/C11*100</f>
        <v>0</v>
      </c>
      <c r="Q11" s="389">
        <f>F11/C11*100</f>
        <v>0</v>
      </c>
      <c r="R11" s="390">
        <f>G11/C11*100</f>
        <v>100</v>
      </c>
    </row>
    <row r="12" spans="1:18" ht="24" customHeight="1">
      <c r="A12" s="386" t="s">
        <v>34</v>
      </c>
      <c r="B12" s="391" t="s">
        <v>149</v>
      </c>
      <c r="C12" s="423"/>
      <c r="D12" s="423"/>
      <c r="E12" s="423"/>
      <c r="F12" s="423"/>
      <c r="G12" s="423"/>
      <c r="H12" s="392"/>
      <c r="I12" s="392"/>
      <c r="J12" s="392"/>
      <c r="K12" s="392"/>
      <c r="L12" s="392"/>
      <c r="M12" s="393"/>
      <c r="N12" s="393"/>
      <c r="O12" s="393"/>
      <c r="P12" s="393"/>
      <c r="Q12" s="393"/>
      <c r="R12" s="394"/>
    </row>
    <row r="13" spans="1:18" ht="12.75">
      <c r="A13" s="386" t="s">
        <v>14</v>
      </c>
      <c r="B13" s="395" t="s">
        <v>143</v>
      </c>
      <c r="C13" s="423"/>
      <c r="D13" s="423"/>
      <c r="E13" s="423"/>
      <c r="F13" s="423"/>
      <c r="G13" s="423"/>
      <c r="H13" s="392"/>
      <c r="I13" s="392"/>
      <c r="J13" s="392"/>
      <c r="K13" s="392"/>
      <c r="L13" s="392"/>
      <c r="M13" s="393"/>
      <c r="N13" s="393"/>
      <c r="O13" s="393"/>
      <c r="P13" s="393"/>
      <c r="Q13" s="393"/>
      <c r="R13" s="394"/>
    </row>
    <row r="14" spans="1:18" ht="13.5" hidden="1" thickBot="1">
      <c r="A14" s="396"/>
      <c r="B14" s="397" t="s">
        <v>145</v>
      </c>
      <c r="C14" s="694">
        <f>C11</f>
        <v>4.9288</v>
      </c>
      <c r="D14" s="406"/>
      <c r="E14" s="406"/>
      <c r="F14" s="406"/>
      <c r="G14" s="694">
        <f>G11</f>
        <v>4.9288</v>
      </c>
      <c r="H14" s="692">
        <f>H11</f>
        <v>0.8572</v>
      </c>
      <c r="I14" s="398"/>
      <c r="J14" s="398"/>
      <c r="K14" s="398"/>
      <c r="L14" s="692">
        <f>L11</f>
        <v>0.8572</v>
      </c>
      <c r="M14" s="399">
        <f>M11</f>
        <v>5750</v>
      </c>
      <c r="N14" s="399">
        <f>SUM(O14:R14)</f>
        <v>100</v>
      </c>
      <c r="O14" s="399">
        <f>D14/C14*100</f>
        <v>0</v>
      </c>
      <c r="P14" s="399">
        <f>E14/C14*100</f>
        <v>0</v>
      </c>
      <c r="Q14" s="399">
        <f>F14/C14*100</f>
        <v>0</v>
      </c>
      <c r="R14" s="400">
        <f>G14/C14*100</f>
        <v>100</v>
      </c>
    </row>
    <row r="15" spans="1:18" ht="12.75" hidden="1">
      <c r="A15" s="386" t="s">
        <v>176</v>
      </c>
      <c r="B15" s="395" t="s">
        <v>212</v>
      </c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3"/>
      <c r="N15" s="393"/>
      <c r="O15" s="393"/>
      <c r="P15" s="393"/>
      <c r="Q15" s="393"/>
      <c r="R15" s="394"/>
    </row>
    <row r="16" spans="1:18" ht="13.5" thickBot="1">
      <c r="A16" s="396"/>
      <c r="B16" s="397" t="s">
        <v>145</v>
      </c>
      <c r="C16" s="398">
        <f>C11+C10</f>
        <v>4.9288</v>
      </c>
      <c r="D16" s="398"/>
      <c r="E16" s="398"/>
      <c r="F16" s="398"/>
      <c r="G16" s="398">
        <f>G11+G10</f>
        <v>4.9288</v>
      </c>
      <c r="H16" s="398">
        <f>H11</f>
        <v>0.8572</v>
      </c>
      <c r="I16" s="398"/>
      <c r="J16" s="398"/>
      <c r="K16" s="398"/>
      <c r="L16" s="398">
        <f>L11</f>
        <v>0.8572</v>
      </c>
      <c r="M16" s="399">
        <f>M11</f>
        <v>5750</v>
      </c>
      <c r="N16" s="399">
        <f>SUM(O16:R16)</f>
        <v>100</v>
      </c>
      <c r="O16" s="399">
        <f>D16/C16*100</f>
        <v>0</v>
      </c>
      <c r="P16" s="399">
        <f>E16/C16*100</f>
        <v>0</v>
      </c>
      <c r="Q16" s="399">
        <f>F16/C16*100</f>
        <v>0</v>
      </c>
      <c r="R16" s="400">
        <f>G16/C16*100</f>
        <v>100</v>
      </c>
    </row>
    <row r="17" spans="1:18" ht="13.5" thickBot="1">
      <c r="A17" s="947" t="s">
        <v>534</v>
      </c>
      <c r="B17" s="948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9"/>
    </row>
    <row r="18" spans="1:18" ht="12.75">
      <c r="A18" s="386" t="s">
        <v>12</v>
      </c>
      <c r="B18" s="387" t="s">
        <v>150</v>
      </c>
      <c r="C18" s="693">
        <v>2.5623</v>
      </c>
      <c r="D18" s="404"/>
      <c r="E18" s="404"/>
      <c r="F18" s="404"/>
      <c r="G18" s="693">
        <v>2.5623</v>
      </c>
      <c r="H18" s="388">
        <f>L18</f>
        <v>0.8912347826086957</v>
      </c>
      <c r="I18" s="388"/>
      <c r="J18" s="388"/>
      <c r="K18" s="388"/>
      <c r="L18" s="388">
        <f>G18/M18*1000</f>
        <v>0.8912347826086957</v>
      </c>
      <c r="M18" s="389">
        <v>2875</v>
      </c>
      <c r="N18" s="389">
        <f>SUM(O18:R18)</f>
        <v>100</v>
      </c>
      <c r="O18" s="389">
        <f>D18/C18*100</f>
        <v>0</v>
      </c>
      <c r="P18" s="389">
        <f>E18/C18*100</f>
        <v>0</v>
      </c>
      <c r="Q18" s="389">
        <f>F18/C18*100</f>
        <v>0</v>
      </c>
      <c r="R18" s="390">
        <f>G18/C18*100</f>
        <v>100</v>
      </c>
    </row>
    <row r="19" spans="1:18" ht="25.5">
      <c r="A19" s="386" t="s">
        <v>34</v>
      </c>
      <c r="B19" s="391" t="s">
        <v>213</v>
      </c>
      <c r="C19" s="405"/>
      <c r="D19" s="405"/>
      <c r="E19" s="405"/>
      <c r="F19" s="405"/>
      <c r="G19" s="405"/>
      <c r="H19" s="392"/>
      <c r="I19" s="392"/>
      <c r="J19" s="392"/>
      <c r="K19" s="392"/>
      <c r="L19" s="392"/>
      <c r="M19" s="393"/>
      <c r="N19" s="393"/>
      <c r="O19" s="393"/>
      <c r="P19" s="393"/>
      <c r="Q19" s="393"/>
      <c r="R19" s="394"/>
    </row>
    <row r="20" spans="1:18" ht="12.75">
      <c r="A20" s="386" t="s">
        <v>14</v>
      </c>
      <c r="B20" s="395" t="s">
        <v>143</v>
      </c>
      <c r="C20" s="405"/>
      <c r="D20" s="405"/>
      <c r="E20" s="405"/>
      <c r="F20" s="405"/>
      <c r="G20" s="405"/>
      <c r="H20" s="392"/>
      <c r="I20" s="392"/>
      <c r="J20" s="392"/>
      <c r="K20" s="392"/>
      <c r="L20" s="392"/>
      <c r="M20" s="393"/>
      <c r="N20" s="393"/>
      <c r="O20" s="393"/>
      <c r="P20" s="393"/>
      <c r="Q20" s="393"/>
      <c r="R20" s="394"/>
    </row>
    <row r="21" spans="1:18" ht="13.5" thickBot="1">
      <c r="A21" s="396"/>
      <c r="B21" s="397" t="s">
        <v>145</v>
      </c>
      <c r="C21" s="694">
        <f>C18</f>
        <v>2.5623</v>
      </c>
      <c r="D21" s="406"/>
      <c r="E21" s="406"/>
      <c r="F21" s="406"/>
      <c r="G21" s="694">
        <f>G18</f>
        <v>2.5623</v>
      </c>
      <c r="H21" s="398">
        <f>H18</f>
        <v>0.8912347826086957</v>
      </c>
      <c r="I21" s="398"/>
      <c r="J21" s="398"/>
      <c r="K21" s="398"/>
      <c r="L21" s="398">
        <f>L18</f>
        <v>0.8912347826086957</v>
      </c>
      <c r="M21" s="399">
        <f>M18</f>
        <v>2875</v>
      </c>
      <c r="N21" s="399">
        <f>SUM(O21:R21)</f>
        <v>100</v>
      </c>
      <c r="O21" s="399">
        <f>D21/C21*100</f>
        <v>0</v>
      </c>
      <c r="P21" s="399">
        <f>E21/C21*100</f>
        <v>0</v>
      </c>
      <c r="Q21" s="399">
        <f>F21/C21*100</f>
        <v>0</v>
      </c>
      <c r="R21" s="400">
        <f>G21/C21*100</f>
        <v>100</v>
      </c>
    </row>
    <row r="22" spans="1:18" ht="12.75" hidden="1">
      <c r="A22" s="386" t="s">
        <v>175</v>
      </c>
      <c r="B22" s="395" t="s">
        <v>211</v>
      </c>
      <c r="C22" s="405"/>
      <c r="D22" s="405"/>
      <c r="E22" s="405"/>
      <c r="F22" s="405"/>
      <c r="G22" s="405"/>
      <c r="H22" s="392"/>
      <c r="I22" s="392"/>
      <c r="J22" s="392"/>
      <c r="K22" s="392"/>
      <c r="L22" s="392"/>
      <c r="M22" s="393"/>
      <c r="N22" s="393"/>
      <c r="O22" s="393"/>
      <c r="P22" s="393"/>
      <c r="Q22" s="393"/>
      <c r="R22" s="394"/>
    </row>
    <row r="23" spans="1:18" ht="12.75" hidden="1">
      <c r="A23" s="386" t="s">
        <v>176</v>
      </c>
      <c r="B23" s="395" t="s">
        <v>212</v>
      </c>
      <c r="C23" s="405"/>
      <c r="D23" s="405"/>
      <c r="E23" s="405"/>
      <c r="F23" s="405"/>
      <c r="G23" s="405"/>
      <c r="H23" s="392"/>
      <c r="I23" s="392"/>
      <c r="J23" s="392"/>
      <c r="K23" s="392"/>
      <c r="L23" s="392"/>
      <c r="M23" s="393"/>
      <c r="N23" s="393"/>
      <c r="O23" s="393"/>
      <c r="P23" s="393"/>
      <c r="Q23" s="393"/>
      <c r="R23" s="394"/>
    </row>
    <row r="24" spans="1:18" ht="13.5" customHeight="1" thickBot="1">
      <c r="A24" s="950" t="s">
        <v>535</v>
      </c>
      <c r="B24" s="951"/>
      <c r="C24" s="951"/>
      <c r="D24" s="951"/>
      <c r="E24" s="951"/>
      <c r="F24" s="951"/>
      <c r="G24" s="951"/>
      <c r="H24" s="951"/>
      <c r="I24" s="951"/>
      <c r="J24" s="951"/>
      <c r="K24" s="951"/>
      <c r="L24" s="951"/>
      <c r="M24" s="951"/>
      <c r="N24" s="951"/>
      <c r="O24" s="951"/>
      <c r="P24" s="951"/>
      <c r="Q24" s="951"/>
      <c r="R24" s="952"/>
    </row>
    <row r="25" spans="1:18" ht="12.75">
      <c r="A25" s="380" t="s">
        <v>8</v>
      </c>
      <c r="B25" s="381" t="s">
        <v>210</v>
      </c>
      <c r="C25" s="401"/>
      <c r="D25" s="401"/>
      <c r="E25" s="401"/>
      <c r="F25" s="401"/>
      <c r="G25" s="401"/>
      <c r="H25" s="402"/>
      <c r="I25" s="402"/>
      <c r="J25" s="402"/>
      <c r="K25" s="402"/>
      <c r="L25" s="402"/>
      <c r="M25" s="383"/>
      <c r="N25" s="384"/>
      <c r="O25" s="384"/>
      <c r="P25" s="384"/>
      <c r="Q25" s="384"/>
      <c r="R25" s="385"/>
    </row>
    <row r="26" spans="1:18" ht="12.75">
      <c r="A26" s="386" t="s">
        <v>12</v>
      </c>
      <c r="B26" s="387" t="s">
        <v>150</v>
      </c>
      <c r="C26" s="693">
        <v>2.3664</v>
      </c>
      <c r="D26" s="404"/>
      <c r="E26" s="404"/>
      <c r="F26" s="404"/>
      <c r="G26" s="693">
        <v>2.3664</v>
      </c>
      <c r="H26" s="388">
        <f>L26</f>
        <v>0.8230956521739131</v>
      </c>
      <c r="I26" s="388"/>
      <c r="J26" s="388"/>
      <c r="K26" s="388"/>
      <c r="L26" s="388">
        <f>G26/M26*1000</f>
        <v>0.8230956521739131</v>
      </c>
      <c r="M26" s="389">
        <v>2875</v>
      </c>
      <c r="N26" s="389">
        <f>SUM(O26:R26)</f>
        <v>100</v>
      </c>
      <c r="O26" s="389">
        <f>D26/C26*100</f>
        <v>0</v>
      </c>
      <c r="P26" s="389">
        <f>E26/C26*100</f>
        <v>0</v>
      </c>
      <c r="Q26" s="389">
        <f>F26/C26*100</f>
        <v>0</v>
      </c>
      <c r="R26" s="390">
        <f>G26/C26*100</f>
        <v>100</v>
      </c>
    </row>
    <row r="27" spans="1:18" ht="25.5">
      <c r="A27" s="386" t="s">
        <v>34</v>
      </c>
      <c r="B27" s="391" t="s">
        <v>213</v>
      </c>
      <c r="C27" s="405"/>
      <c r="D27" s="405"/>
      <c r="E27" s="405"/>
      <c r="F27" s="405"/>
      <c r="G27" s="405"/>
      <c r="H27" s="392"/>
      <c r="I27" s="392"/>
      <c r="J27" s="392"/>
      <c r="K27" s="392"/>
      <c r="L27" s="392"/>
      <c r="M27" s="393"/>
      <c r="N27" s="393"/>
      <c r="O27" s="393"/>
      <c r="P27" s="393"/>
      <c r="Q27" s="393"/>
      <c r="R27" s="394"/>
    </row>
    <row r="28" spans="1:18" ht="12.75">
      <c r="A28" s="386" t="s">
        <v>14</v>
      </c>
      <c r="B28" s="395" t="s">
        <v>143</v>
      </c>
      <c r="C28" s="405"/>
      <c r="D28" s="405"/>
      <c r="E28" s="405"/>
      <c r="F28" s="405"/>
      <c r="G28" s="405"/>
      <c r="H28" s="392"/>
      <c r="I28" s="392"/>
      <c r="J28" s="392"/>
      <c r="K28" s="392"/>
      <c r="L28" s="392"/>
      <c r="M28" s="393"/>
      <c r="N28" s="393"/>
      <c r="O28" s="393"/>
      <c r="P28" s="393"/>
      <c r="Q28" s="393"/>
      <c r="R28" s="394"/>
    </row>
    <row r="29" spans="1:18" ht="13.5" thickBot="1">
      <c r="A29" s="396"/>
      <c r="B29" s="397" t="s">
        <v>145</v>
      </c>
      <c r="C29" s="694">
        <f>C26</f>
        <v>2.3664</v>
      </c>
      <c r="D29" s="406"/>
      <c r="E29" s="406"/>
      <c r="F29" s="406"/>
      <c r="G29" s="694">
        <f>G26</f>
        <v>2.3664</v>
      </c>
      <c r="H29" s="398">
        <f>H26</f>
        <v>0.8230956521739131</v>
      </c>
      <c r="I29" s="398"/>
      <c r="J29" s="398"/>
      <c r="K29" s="398"/>
      <c r="L29" s="398">
        <f>L26</f>
        <v>0.8230956521739131</v>
      </c>
      <c r="M29" s="399">
        <f>M26</f>
        <v>2875</v>
      </c>
      <c r="N29" s="399">
        <f>SUM(O29:R29)</f>
        <v>100</v>
      </c>
      <c r="O29" s="399">
        <f>D29/C29*100</f>
        <v>0</v>
      </c>
      <c r="P29" s="399">
        <f>E29/C29*100</f>
        <v>0</v>
      </c>
      <c r="Q29" s="399">
        <f>F29/C29*100</f>
        <v>0</v>
      </c>
      <c r="R29" s="400">
        <f>G29/C29*100</f>
        <v>100</v>
      </c>
    </row>
    <row r="30" spans="1:18" ht="12.75" customHeight="1" thickBot="1">
      <c r="A30" s="947" t="s">
        <v>607</v>
      </c>
      <c r="B30" s="948"/>
      <c r="C30" s="948"/>
      <c r="D30" s="948"/>
      <c r="E30" s="948"/>
      <c r="F30" s="948"/>
      <c r="G30" s="948"/>
      <c r="H30" s="948"/>
      <c r="I30" s="948"/>
      <c r="J30" s="948"/>
      <c r="K30" s="948"/>
      <c r="L30" s="948"/>
      <c r="M30" s="948"/>
      <c r="N30" s="948"/>
      <c r="O30" s="948"/>
      <c r="P30" s="948"/>
      <c r="Q30" s="948"/>
      <c r="R30" s="949"/>
    </row>
    <row r="31" spans="1:18" ht="12.75">
      <c r="A31" s="380" t="s">
        <v>8</v>
      </c>
      <c r="B31" s="381" t="s">
        <v>210</v>
      </c>
      <c r="C31" s="401"/>
      <c r="D31" s="401"/>
      <c r="E31" s="401"/>
      <c r="F31" s="401"/>
      <c r="G31" s="401"/>
      <c r="H31" s="402"/>
      <c r="I31" s="402"/>
      <c r="J31" s="402"/>
      <c r="K31" s="402"/>
      <c r="L31" s="402"/>
      <c r="M31" s="383"/>
      <c r="N31" s="384"/>
      <c r="O31" s="384"/>
      <c r="P31" s="384"/>
      <c r="Q31" s="384"/>
      <c r="R31" s="385"/>
    </row>
    <row r="32" spans="1:18" ht="12.75">
      <c r="A32" s="386" t="s">
        <v>12</v>
      </c>
      <c r="B32" s="387" t="s">
        <v>150</v>
      </c>
      <c r="C32" s="403">
        <v>4.929</v>
      </c>
      <c r="D32" s="404"/>
      <c r="E32" s="404"/>
      <c r="F32" s="404"/>
      <c r="G32" s="403">
        <f>C32</f>
        <v>4.929</v>
      </c>
      <c r="H32" s="388">
        <v>0.857</v>
      </c>
      <c r="I32" s="388"/>
      <c r="J32" s="388"/>
      <c r="K32" s="388"/>
      <c r="L32" s="388">
        <v>0.857</v>
      </c>
      <c r="M32" s="389">
        <v>5750</v>
      </c>
      <c r="N32" s="389">
        <f>SUM(O32:R32)</f>
        <v>100</v>
      </c>
      <c r="O32" s="389">
        <f>D32/C32*100</f>
        <v>0</v>
      </c>
      <c r="P32" s="389">
        <f>E32/C32*100</f>
        <v>0</v>
      </c>
      <c r="Q32" s="389">
        <f>F32/C32*100</f>
        <v>0</v>
      </c>
      <c r="R32" s="390">
        <f>G32/C32*100</f>
        <v>100</v>
      </c>
    </row>
    <row r="33" spans="1:18" ht="12.75">
      <c r="A33" s="386" t="s">
        <v>34</v>
      </c>
      <c r="B33" s="391" t="s">
        <v>517</v>
      </c>
      <c r="C33" s="405"/>
      <c r="D33" s="405"/>
      <c r="E33" s="405"/>
      <c r="F33" s="405"/>
      <c r="G33" s="405"/>
      <c r="H33" s="392"/>
      <c r="I33" s="392"/>
      <c r="J33" s="392"/>
      <c r="K33" s="392"/>
      <c r="L33" s="392"/>
      <c r="M33" s="393"/>
      <c r="N33" s="393"/>
      <c r="O33" s="393"/>
      <c r="P33" s="393"/>
      <c r="Q33" s="393"/>
      <c r="R33" s="394"/>
    </row>
    <row r="34" spans="1:18" ht="25.5">
      <c r="A34" s="386" t="s">
        <v>158</v>
      </c>
      <c r="B34" s="391" t="s">
        <v>495</v>
      </c>
      <c r="C34" s="423">
        <v>0</v>
      </c>
      <c r="D34" s="405"/>
      <c r="E34" s="405"/>
      <c r="F34" s="405"/>
      <c r="G34" s="423">
        <f>C34</f>
        <v>0</v>
      </c>
      <c r="H34" s="392">
        <v>0</v>
      </c>
      <c r="I34" s="392"/>
      <c r="J34" s="392"/>
      <c r="K34" s="392"/>
      <c r="L34" s="392">
        <v>0</v>
      </c>
      <c r="M34" s="393">
        <v>0</v>
      </c>
      <c r="N34" s="393">
        <v>0</v>
      </c>
      <c r="O34" s="393"/>
      <c r="P34" s="393"/>
      <c r="Q34" s="393"/>
      <c r="R34" s="394">
        <v>0</v>
      </c>
    </row>
    <row r="35" spans="1:18" ht="25.5">
      <c r="A35" s="386" t="s">
        <v>38</v>
      </c>
      <c r="B35" s="424" t="s">
        <v>496</v>
      </c>
      <c r="C35" s="405"/>
      <c r="D35" s="405"/>
      <c r="E35" s="405"/>
      <c r="F35" s="405"/>
      <c r="G35" s="405"/>
      <c r="H35" s="392"/>
      <c r="I35" s="392"/>
      <c r="J35" s="392"/>
      <c r="K35" s="392"/>
      <c r="L35" s="392"/>
      <c r="M35" s="393"/>
      <c r="N35" s="393"/>
      <c r="O35" s="393"/>
      <c r="P35" s="393"/>
      <c r="Q35" s="393"/>
      <c r="R35" s="394"/>
    </row>
    <row r="36" spans="1:18" ht="12.75">
      <c r="A36" s="386" t="s">
        <v>14</v>
      </c>
      <c r="B36" s="395" t="s">
        <v>143</v>
      </c>
      <c r="C36" s="405"/>
      <c r="D36" s="405"/>
      <c r="E36" s="405"/>
      <c r="F36" s="405"/>
      <c r="G36" s="405"/>
      <c r="H36" s="392"/>
      <c r="I36" s="392"/>
      <c r="J36" s="392"/>
      <c r="K36" s="392"/>
      <c r="L36" s="392"/>
      <c r="M36" s="393"/>
      <c r="N36" s="393"/>
      <c r="O36" s="393"/>
      <c r="P36" s="393"/>
      <c r="Q36" s="393"/>
      <c r="R36" s="394"/>
    </row>
    <row r="37" spans="1:18" ht="12.75" hidden="1">
      <c r="A37" s="386" t="s">
        <v>175</v>
      </c>
      <c r="B37" s="395" t="s">
        <v>211</v>
      </c>
      <c r="C37" s="405"/>
      <c r="D37" s="405"/>
      <c r="E37" s="405"/>
      <c r="F37" s="405"/>
      <c r="G37" s="405"/>
      <c r="H37" s="392"/>
      <c r="I37" s="392"/>
      <c r="J37" s="392"/>
      <c r="K37" s="392"/>
      <c r="L37" s="392"/>
      <c r="M37" s="393"/>
      <c r="N37" s="393"/>
      <c r="O37" s="393"/>
      <c r="P37" s="393"/>
      <c r="Q37" s="393"/>
      <c r="R37" s="394"/>
    </row>
    <row r="38" spans="1:18" ht="12.75" hidden="1">
      <c r="A38" s="386" t="s">
        <v>176</v>
      </c>
      <c r="B38" s="395" t="s">
        <v>212</v>
      </c>
      <c r="C38" s="405"/>
      <c r="D38" s="405"/>
      <c r="E38" s="405"/>
      <c r="F38" s="405"/>
      <c r="G38" s="405"/>
      <c r="H38" s="392"/>
      <c r="I38" s="392"/>
      <c r="J38" s="392"/>
      <c r="K38" s="392"/>
      <c r="L38" s="392"/>
      <c r="M38" s="393"/>
      <c r="N38" s="393"/>
      <c r="O38" s="393"/>
      <c r="P38" s="393"/>
      <c r="Q38" s="393"/>
      <c r="R38" s="394"/>
    </row>
    <row r="39" spans="1:18" ht="13.5" thickBot="1">
      <c r="A39" s="396"/>
      <c r="B39" s="397" t="s">
        <v>145</v>
      </c>
      <c r="C39" s="406">
        <f>C32</f>
        <v>4.929</v>
      </c>
      <c r="D39" s="406"/>
      <c r="E39" s="406"/>
      <c r="F39" s="406"/>
      <c r="G39" s="406">
        <f>G32</f>
        <v>4.929</v>
      </c>
      <c r="H39" s="398">
        <f>H32</f>
        <v>0.857</v>
      </c>
      <c r="I39" s="398"/>
      <c r="J39" s="398"/>
      <c r="K39" s="398"/>
      <c r="L39" s="398">
        <f>L32</f>
        <v>0.857</v>
      </c>
      <c r="M39" s="399">
        <f>M32</f>
        <v>5750</v>
      </c>
      <c r="N39" s="399">
        <f>SUM(O39:R39)</f>
        <v>100</v>
      </c>
      <c r="O39" s="399">
        <f>D39/C39*100</f>
        <v>0</v>
      </c>
      <c r="P39" s="399">
        <f>E39/C39*100</f>
        <v>0</v>
      </c>
      <c r="Q39" s="399">
        <f>F39/C39*100</f>
        <v>0</v>
      </c>
      <c r="R39" s="400">
        <f>G39/C39*100</f>
        <v>100</v>
      </c>
    </row>
    <row r="40" spans="1:18" ht="12.75" hidden="1">
      <c r="A40" s="407"/>
      <c r="B40" s="408" t="s">
        <v>146</v>
      </c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10"/>
    </row>
    <row r="41" spans="1:18" ht="12.75" hidden="1">
      <c r="A41" s="411"/>
      <c r="B41" s="395" t="s">
        <v>147</v>
      </c>
      <c r="C41" s="412">
        <f aca="true" t="shared" si="0" ref="C41:C46">SUM(D41:G41)</f>
        <v>136000</v>
      </c>
      <c r="D41" s="412"/>
      <c r="E41" s="412">
        <v>58000</v>
      </c>
      <c r="F41" s="412"/>
      <c r="G41" s="412">
        <v>78000</v>
      </c>
      <c r="H41" s="413">
        <f aca="true" t="shared" si="1" ref="H41:H46">SUM(I41:L41)</f>
        <v>20.23809523809524</v>
      </c>
      <c r="I41" s="413"/>
      <c r="J41" s="413"/>
      <c r="K41" s="413">
        <f>E41/M41</f>
        <v>8.630952380952381</v>
      </c>
      <c r="L41" s="413">
        <f aca="true" t="shared" si="2" ref="L41:L46">G41/M41</f>
        <v>11.607142857142858</v>
      </c>
      <c r="M41" s="393">
        <v>6720</v>
      </c>
      <c r="N41" s="413">
        <f aca="true" t="shared" si="3" ref="N41:N46">SUM(O41:R41)</f>
        <v>51.099004320871686</v>
      </c>
      <c r="O41" s="412"/>
      <c r="P41" s="412"/>
      <c r="Q41" s="413">
        <f>E41/C48*100</f>
        <v>21.792222430959985</v>
      </c>
      <c r="R41" s="414">
        <f>G41/C48*100</f>
        <v>29.306781889911704</v>
      </c>
    </row>
    <row r="42" spans="1:18" ht="12.75" hidden="1">
      <c r="A42" s="411"/>
      <c r="B42" s="395" t="s">
        <v>148</v>
      </c>
      <c r="C42" s="412">
        <f t="shared" si="0"/>
        <v>5200</v>
      </c>
      <c r="D42" s="412"/>
      <c r="E42" s="412"/>
      <c r="F42" s="412"/>
      <c r="G42" s="412">
        <v>5200</v>
      </c>
      <c r="H42" s="413">
        <f t="shared" si="1"/>
        <v>0.7738095238095238</v>
      </c>
      <c r="I42" s="413"/>
      <c r="J42" s="413"/>
      <c r="K42" s="413"/>
      <c r="L42" s="413">
        <f t="shared" si="2"/>
        <v>0.7738095238095238</v>
      </c>
      <c r="M42" s="393">
        <v>6720</v>
      </c>
      <c r="N42" s="413">
        <f t="shared" si="3"/>
        <v>1.9537854593274468</v>
      </c>
      <c r="O42" s="412"/>
      <c r="P42" s="412"/>
      <c r="Q42" s="413"/>
      <c r="R42" s="414">
        <f>G42/C48*100</f>
        <v>1.9537854593274468</v>
      </c>
    </row>
    <row r="43" spans="1:18" ht="12.75" hidden="1">
      <c r="A43" s="411"/>
      <c r="B43" s="395" t="s">
        <v>149</v>
      </c>
      <c r="C43" s="412">
        <f t="shared" si="0"/>
        <v>5300</v>
      </c>
      <c r="D43" s="412"/>
      <c r="E43" s="412">
        <v>0</v>
      </c>
      <c r="F43" s="412"/>
      <c r="G43" s="412">
        <v>5300</v>
      </c>
      <c r="H43" s="413">
        <f t="shared" si="1"/>
        <v>0.7886904761904762</v>
      </c>
      <c r="I43" s="413"/>
      <c r="J43" s="413"/>
      <c r="K43" s="413">
        <f>E43/M43</f>
        <v>0</v>
      </c>
      <c r="L43" s="413">
        <f t="shared" si="2"/>
        <v>0.7886904761904762</v>
      </c>
      <c r="M43" s="393">
        <v>6720</v>
      </c>
      <c r="N43" s="413">
        <f t="shared" si="3"/>
        <v>1.9913582566222054</v>
      </c>
      <c r="O43" s="412"/>
      <c r="P43" s="412"/>
      <c r="Q43" s="413">
        <f>E43/C48*100</f>
        <v>0</v>
      </c>
      <c r="R43" s="414">
        <f>G43/C48*100</f>
        <v>1.9913582566222054</v>
      </c>
    </row>
    <row r="44" spans="1:18" ht="12.75" hidden="1">
      <c r="A44" s="411"/>
      <c r="B44" s="395" t="s">
        <v>143</v>
      </c>
      <c r="C44" s="412">
        <f t="shared" si="0"/>
        <v>30000</v>
      </c>
      <c r="D44" s="412"/>
      <c r="E44" s="412"/>
      <c r="F44" s="412"/>
      <c r="G44" s="412">
        <v>30000</v>
      </c>
      <c r="H44" s="413">
        <f t="shared" si="1"/>
        <v>4.464285714285714</v>
      </c>
      <c r="I44" s="413"/>
      <c r="J44" s="413"/>
      <c r="K44" s="413"/>
      <c r="L44" s="413">
        <f t="shared" si="2"/>
        <v>4.464285714285714</v>
      </c>
      <c r="M44" s="393">
        <v>6720</v>
      </c>
      <c r="N44" s="413">
        <f t="shared" si="3"/>
        <v>11.271839188427577</v>
      </c>
      <c r="O44" s="412"/>
      <c r="P44" s="412"/>
      <c r="Q44" s="413"/>
      <c r="R44" s="414">
        <f>G44/C48*100</f>
        <v>11.271839188427577</v>
      </c>
    </row>
    <row r="45" spans="1:18" ht="12.75" hidden="1">
      <c r="A45" s="411"/>
      <c r="B45" s="395" t="s">
        <v>150</v>
      </c>
      <c r="C45" s="412">
        <f t="shared" si="0"/>
        <v>21300</v>
      </c>
      <c r="D45" s="412"/>
      <c r="E45" s="412">
        <v>9000</v>
      </c>
      <c r="F45" s="412"/>
      <c r="G45" s="412">
        <v>12300</v>
      </c>
      <c r="H45" s="413">
        <f t="shared" si="1"/>
        <v>3.1696428571428568</v>
      </c>
      <c r="I45" s="413">
        <f>D45/M45</f>
        <v>0</v>
      </c>
      <c r="J45" s="413"/>
      <c r="K45" s="413">
        <f>E45/M45</f>
        <v>1.3392857142857142</v>
      </c>
      <c r="L45" s="413">
        <f t="shared" si="2"/>
        <v>1.8303571428571428</v>
      </c>
      <c r="M45" s="393">
        <v>6720</v>
      </c>
      <c r="N45" s="413">
        <f t="shared" si="3"/>
        <v>8.00300582378358</v>
      </c>
      <c r="O45" s="413">
        <f>D45/C48*100</f>
        <v>0</v>
      </c>
      <c r="P45" s="413"/>
      <c r="Q45" s="413">
        <f>E45/C48*100</f>
        <v>3.3815517565282733</v>
      </c>
      <c r="R45" s="414">
        <f>G45/C48*100</f>
        <v>4.621454067255307</v>
      </c>
    </row>
    <row r="46" spans="1:18" ht="12.75" hidden="1">
      <c r="A46" s="411"/>
      <c r="B46" s="395" t="s">
        <v>144</v>
      </c>
      <c r="C46" s="412">
        <f t="shared" si="0"/>
        <v>68350</v>
      </c>
      <c r="D46" s="412">
        <v>8300</v>
      </c>
      <c r="E46" s="412">
        <v>28000</v>
      </c>
      <c r="F46" s="412"/>
      <c r="G46" s="412">
        <v>32050</v>
      </c>
      <c r="H46" s="413">
        <f t="shared" si="1"/>
        <v>10.171130952380953</v>
      </c>
      <c r="I46" s="413">
        <f>D46/M46</f>
        <v>1.2351190476190477</v>
      </c>
      <c r="J46" s="413"/>
      <c r="K46" s="413">
        <f>E46/M46</f>
        <v>4.166666666666667</v>
      </c>
      <c r="L46" s="413">
        <f t="shared" si="2"/>
        <v>4.769345238095238</v>
      </c>
      <c r="M46" s="393">
        <v>6720</v>
      </c>
      <c r="N46" s="413">
        <f t="shared" si="3"/>
        <v>25.6810069509675</v>
      </c>
      <c r="O46" s="413">
        <f>D46/C48*100</f>
        <v>3.118542175464963</v>
      </c>
      <c r="P46" s="413"/>
      <c r="Q46" s="413">
        <f>E46/C48*100</f>
        <v>10.520383242532407</v>
      </c>
      <c r="R46" s="414">
        <f>G46/C48*100</f>
        <v>12.04208153297013</v>
      </c>
    </row>
    <row r="47" spans="1:18" ht="12.75" hidden="1">
      <c r="A47" s="411"/>
      <c r="B47" s="415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6"/>
    </row>
    <row r="48" spans="1:18" ht="13.5" hidden="1" thickBot="1">
      <c r="A48" s="417"/>
      <c r="B48" s="418" t="s">
        <v>151</v>
      </c>
      <c r="C48" s="419">
        <f>SUM(C41:C46)</f>
        <v>266150</v>
      </c>
      <c r="D48" s="419">
        <f>SUM(D41:D46)</f>
        <v>8300</v>
      </c>
      <c r="E48" s="419">
        <f>SUM(E41:E46)</f>
        <v>95000</v>
      </c>
      <c r="F48" s="419"/>
      <c r="G48" s="419">
        <f>SUM(G41:G46)</f>
        <v>162850</v>
      </c>
      <c r="H48" s="420">
        <f>SUM(I48:L48)</f>
        <v>39.60565476190476</v>
      </c>
      <c r="I48" s="419">
        <f>SUM(I41:I46)</f>
        <v>1.2351190476190477</v>
      </c>
      <c r="J48" s="419"/>
      <c r="K48" s="419">
        <f>SUM(K41:K46)</f>
        <v>14.136904761904763</v>
      </c>
      <c r="L48" s="419">
        <f>SUM(L41:L46)</f>
        <v>24.233630952380953</v>
      </c>
      <c r="M48" s="421">
        <f>C48/H48</f>
        <v>6720.000000000001</v>
      </c>
      <c r="N48" s="419">
        <f>SUM(N41:N47)</f>
        <v>100</v>
      </c>
      <c r="O48" s="419">
        <f>SUM(O41:O46)</f>
        <v>3.118542175464963</v>
      </c>
      <c r="P48" s="419"/>
      <c r="Q48" s="420">
        <f>SUM(Q41:Q46)</f>
        <v>35.69415743002067</v>
      </c>
      <c r="R48" s="422">
        <f>SUM(R41:R46)</f>
        <v>61.18730039451437</v>
      </c>
    </row>
    <row r="49" spans="1:18" ht="40.5" customHeight="1" hidden="1">
      <c r="A49" s="956" t="s">
        <v>138</v>
      </c>
      <c r="B49" s="953" t="s">
        <v>139</v>
      </c>
      <c r="C49" s="953" t="s">
        <v>199</v>
      </c>
      <c r="D49" s="953"/>
      <c r="E49" s="953"/>
      <c r="F49" s="953"/>
      <c r="G49" s="953"/>
      <c r="H49" s="953" t="s">
        <v>200</v>
      </c>
      <c r="I49" s="953"/>
      <c r="J49" s="953"/>
      <c r="K49" s="953"/>
      <c r="L49" s="953"/>
      <c r="M49" s="953" t="s">
        <v>140</v>
      </c>
      <c r="N49" s="953" t="s">
        <v>141</v>
      </c>
      <c r="O49" s="953"/>
      <c r="P49" s="953"/>
      <c r="Q49" s="953"/>
      <c r="R49" s="954"/>
    </row>
    <row r="50" spans="1:18" ht="26.25" customHeight="1" hidden="1">
      <c r="A50" s="957"/>
      <c r="B50" s="955"/>
      <c r="C50" s="374" t="s">
        <v>142</v>
      </c>
      <c r="D50" s="374" t="s">
        <v>82</v>
      </c>
      <c r="E50" s="374" t="s">
        <v>83</v>
      </c>
      <c r="F50" s="374" t="s">
        <v>84</v>
      </c>
      <c r="G50" s="374" t="s">
        <v>85</v>
      </c>
      <c r="H50" s="374" t="s">
        <v>142</v>
      </c>
      <c r="I50" s="374" t="s">
        <v>82</v>
      </c>
      <c r="J50" s="374" t="s">
        <v>83</v>
      </c>
      <c r="K50" s="374" t="s">
        <v>84</v>
      </c>
      <c r="L50" s="374" t="s">
        <v>85</v>
      </c>
      <c r="M50" s="955"/>
      <c r="N50" s="374" t="s">
        <v>142</v>
      </c>
      <c r="O50" s="374" t="s">
        <v>82</v>
      </c>
      <c r="P50" s="374" t="s">
        <v>83</v>
      </c>
      <c r="Q50" s="374" t="s">
        <v>84</v>
      </c>
      <c r="R50" s="375" t="s">
        <v>85</v>
      </c>
    </row>
    <row r="51" spans="1:18" ht="13.5" hidden="1" thickBot="1">
      <c r="A51" s="376">
        <v>1</v>
      </c>
      <c r="B51" s="377">
        <f>+A51+1</f>
        <v>2</v>
      </c>
      <c r="C51" s="378">
        <f>+B51+1</f>
        <v>3</v>
      </c>
      <c r="D51" s="378">
        <f>+C51+1</f>
        <v>4</v>
      </c>
      <c r="E51" s="378">
        <f>+D51+1</f>
        <v>5</v>
      </c>
      <c r="F51" s="378"/>
      <c r="G51" s="378">
        <f>+E51+1</f>
        <v>6</v>
      </c>
      <c r="H51" s="378">
        <f>+G51+1</f>
        <v>7</v>
      </c>
      <c r="I51" s="378">
        <f>+H51+1</f>
        <v>8</v>
      </c>
      <c r="J51" s="378"/>
      <c r="K51" s="378">
        <f>+I51+1</f>
        <v>9</v>
      </c>
      <c r="L51" s="378">
        <f>+K51+1</f>
        <v>10</v>
      </c>
      <c r="M51" s="378">
        <f>+L51+1</f>
        <v>11</v>
      </c>
      <c r="N51" s="378">
        <f>+M51+1</f>
        <v>12</v>
      </c>
      <c r="O51" s="378">
        <f>+N51+1</f>
        <v>13</v>
      </c>
      <c r="P51" s="378"/>
      <c r="Q51" s="378">
        <f>+O51+1</f>
        <v>14</v>
      </c>
      <c r="R51" s="379">
        <f>+Q51+1</f>
        <v>15</v>
      </c>
    </row>
    <row r="52" spans="1:18" ht="13.5" customHeight="1" thickBot="1">
      <c r="A52" s="947" t="s">
        <v>582</v>
      </c>
      <c r="B52" s="948"/>
      <c r="C52" s="948"/>
      <c r="D52" s="948"/>
      <c r="E52" s="948"/>
      <c r="F52" s="948"/>
      <c r="G52" s="948"/>
      <c r="H52" s="948"/>
      <c r="I52" s="948"/>
      <c r="J52" s="948"/>
      <c r="K52" s="948"/>
      <c r="L52" s="948"/>
      <c r="M52" s="948"/>
      <c r="N52" s="948"/>
      <c r="O52" s="948"/>
      <c r="P52" s="948"/>
      <c r="Q52" s="948"/>
      <c r="R52" s="949"/>
    </row>
    <row r="53" spans="1:18" ht="13.5" customHeight="1">
      <c r="A53" s="380" t="s">
        <v>8</v>
      </c>
      <c r="B53" s="387" t="s">
        <v>150</v>
      </c>
      <c r="C53" s="646">
        <v>4.7712</v>
      </c>
      <c r="D53" s="401"/>
      <c r="E53" s="401"/>
      <c r="F53" s="401"/>
      <c r="G53" s="646">
        <f>C53</f>
        <v>4.7712</v>
      </c>
      <c r="H53" s="382">
        <v>0.8298</v>
      </c>
      <c r="I53" s="402"/>
      <c r="J53" s="402"/>
      <c r="K53" s="402"/>
      <c r="L53" s="382">
        <v>0.8298</v>
      </c>
      <c r="M53" s="383">
        <v>5750</v>
      </c>
      <c r="N53" s="383">
        <v>100</v>
      </c>
      <c r="O53" s="384"/>
      <c r="P53" s="384"/>
      <c r="Q53" s="384"/>
      <c r="R53" s="647">
        <v>100</v>
      </c>
    </row>
    <row r="54" spans="1:18" ht="27" customHeight="1">
      <c r="A54" s="386" t="s">
        <v>12</v>
      </c>
      <c r="B54" s="395" t="s">
        <v>149</v>
      </c>
      <c r="C54" s="403"/>
      <c r="D54" s="404"/>
      <c r="E54" s="404"/>
      <c r="F54" s="404"/>
      <c r="G54" s="403"/>
      <c r="H54" s="388"/>
      <c r="I54" s="388"/>
      <c r="J54" s="388"/>
      <c r="K54" s="388"/>
      <c r="L54" s="388"/>
      <c r="M54" s="389"/>
      <c r="N54" s="389"/>
      <c r="O54" s="389"/>
      <c r="P54" s="389"/>
      <c r="Q54" s="389"/>
      <c r="R54" s="390"/>
    </row>
    <row r="55" spans="1:18" ht="26.25" customHeight="1">
      <c r="A55" s="386" t="s">
        <v>34</v>
      </c>
      <c r="B55" s="395" t="s">
        <v>516</v>
      </c>
      <c r="C55" s="648">
        <v>0</v>
      </c>
      <c r="D55" s="649"/>
      <c r="E55" s="649"/>
      <c r="F55" s="649"/>
      <c r="G55" s="648">
        <f>C55</f>
        <v>0</v>
      </c>
      <c r="H55" s="650">
        <v>0</v>
      </c>
      <c r="I55" s="650"/>
      <c r="J55" s="650"/>
      <c r="K55" s="650"/>
      <c r="L55" s="650">
        <v>0</v>
      </c>
      <c r="M55" s="651">
        <v>0</v>
      </c>
      <c r="N55" s="651">
        <v>0</v>
      </c>
      <c r="O55" s="651"/>
      <c r="P55" s="651"/>
      <c r="Q55" s="651"/>
      <c r="R55" s="652">
        <v>0</v>
      </c>
    </row>
    <row r="56" spans="1:18" ht="24" customHeight="1">
      <c r="A56" s="386" t="s">
        <v>158</v>
      </c>
      <c r="B56" s="391" t="s">
        <v>496</v>
      </c>
      <c r="C56" s="405"/>
      <c r="D56" s="405"/>
      <c r="E56" s="405"/>
      <c r="F56" s="405"/>
      <c r="G56" s="405"/>
      <c r="H56" s="392"/>
      <c r="I56" s="392"/>
      <c r="J56" s="392"/>
      <c r="K56" s="392"/>
      <c r="L56" s="392"/>
      <c r="M56" s="393"/>
      <c r="N56" s="393"/>
      <c r="O56" s="393"/>
      <c r="P56" s="393"/>
      <c r="Q56" s="393"/>
      <c r="R56" s="394"/>
    </row>
    <row r="57" spans="1:18" ht="13.5" customHeight="1">
      <c r="A57" s="386" t="s">
        <v>14</v>
      </c>
      <c r="B57" s="395" t="s">
        <v>143</v>
      </c>
      <c r="C57" s="405"/>
      <c r="D57" s="405"/>
      <c r="E57" s="405"/>
      <c r="F57" s="405"/>
      <c r="G57" s="405"/>
      <c r="H57" s="392"/>
      <c r="I57" s="392"/>
      <c r="J57" s="392"/>
      <c r="K57" s="392"/>
      <c r="L57" s="392"/>
      <c r="M57" s="393"/>
      <c r="N57" s="393"/>
      <c r="O57" s="393"/>
      <c r="P57" s="393"/>
      <c r="Q57" s="393"/>
      <c r="R57" s="394"/>
    </row>
    <row r="58" spans="1:18" ht="13.5" customHeight="1" thickBot="1">
      <c r="A58" s="396"/>
      <c r="B58" s="397" t="s">
        <v>145</v>
      </c>
      <c r="C58" s="406">
        <f>C53</f>
        <v>4.7712</v>
      </c>
      <c r="D58" s="406"/>
      <c r="E58" s="406"/>
      <c r="F58" s="406"/>
      <c r="G58" s="406">
        <f>G53</f>
        <v>4.7712</v>
      </c>
      <c r="H58" s="398">
        <f>H53</f>
        <v>0.8298</v>
      </c>
      <c r="I58" s="398"/>
      <c r="J58" s="398"/>
      <c r="K58" s="398"/>
      <c r="L58" s="398">
        <f>L53</f>
        <v>0.8298</v>
      </c>
      <c r="M58" s="399">
        <f>M53</f>
        <v>5750</v>
      </c>
      <c r="N58" s="399">
        <f>SUM(O58:R58)</f>
        <v>100</v>
      </c>
      <c r="O58" s="399">
        <f>D58/C58*100</f>
        <v>0</v>
      </c>
      <c r="P58" s="399">
        <f>E58/C58*100</f>
        <v>0</v>
      </c>
      <c r="Q58" s="399">
        <f>F58/C58*100</f>
        <v>0</v>
      </c>
      <c r="R58" s="400">
        <f>G58/C58*100</f>
        <v>100</v>
      </c>
    </row>
    <row r="59" spans="1:18" ht="13.5" customHeight="1" thickBot="1">
      <c r="A59" s="947" t="s">
        <v>583</v>
      </c>
      <c r="B59" s="948"/>
      <c r="C59" s="948"/>
      <c r="D59" s="948"/>
      <c r="E59" s="948"/>
      <c r="F59" s="948"/>
      <c r="G59" s="948"/>
      <c r="H59" s="948"/>
      <c r="I59" s="948"/>
      <c r="J59" s="948"/>
      <c r="K59" s="948"/>
      <c r="L59" s="948"/>
      <c r="M59" s="948"/>
      <c r="N59" s="948"/>
      <c r="O59" s="948"/>
      <c r="P59" s="948"/>
      <c r="Q59" s="948"/>
      <c r="R59" s="949"/>
    </row>
    <row r="60" spans="1:18" ht="13.5" customHeight="1">
      <c r="A60" s="380" t="s">
        <v>8</v>
      </c>
      <c r="B60" s="381" t="s">
        <v>210</v>
      </c>
      <c r="C60" s="401"/>
      <c r="D60" s="401"/>
      <c r="E60" s="401"/>
      <c r="F60" s="401"/>
      <c r="G60" s="401"/>
      <c r="H60" s="402"/>
      <c r="I60" s="402"/>
      <c r="J60" s="402"/>
      <c r="K60" s="402"/>
      <c r="L60" s="402"/>
      <c r="M60" s="383"/>
      <c r="N60" s="384"/>
      <c r="O60" s="384"/>
      <c r="P60" s="384"/>
      <c r="Q60" s="384"/>
      <c r="R60" s="385"/>
    </row>
    <row r="61" spans="1:18" ht="13.5" customHeight="1">
      <c r="A61" s="386" t="s">
        <v>12</v>
      </c>
      <c r="B61" s="387" t="s">
        <v>150</v>
      </c>
      <c r="C61" s="693">
        <v>2.3838</v>
      </c>
      <c r="D61" s="403"/>
      <c r="E61" s="403"/>
      <c r="F61" s="403"/>
      <c r="G61" s="693">
        <f>C61</f>
        <v>2.3838</v>
      </c>
      <c r="H61" s="691">
        <v>0.4145</v>
      </c>
      <c r="I61" s="388"/>
      <c r="J61" s="388"/>
      <c r="K61" s="388"/>
      <c r="L61" s="691">
        <v>0.4145</v>
      </c>
      <c r="M61" s="389">
        <v>2875</v>
      </c>
      <c r="N61" s="389">
        <f>SUM(O61:R61)</f>
        <v>100</v>
      </c>
      <c r="O61" s="389">
        <f>D61/C61*100</f>
        <v>0</v>
      </c>
      <c r="P61" s="389">
        <f>E61/C61*100</f>
        <v>0</v>
      </c>
      <c r="Q61" s="389">
        <f>F61/C61*100</f>
        <v>0</v>
      </c>
      <c r="R61" s="390">
        <f>G61/C61*100</f>
        <v>100</v>
      </c>
    </row>
    <row r="62" spans="1:18" ht="13.5" customHeight="1">
      <c r="A62" s="386" t="s">
        <v>34</v>
      </c>
      <c r="B62" s="391" t="s">
        <v>149</v>
      </c>
      <c r="C62" s="423"/>
      <c r="D62" s="423"/>
      <c r="E62" s="423"/>
      <c r="F62" s="423"/>
      <c r="G62" s="423"/>
      <c r="H62" s="392"/>
      <c r="I62" s="392"/>
      <c r="J62" s="392"/>
      <c r="K62" s="392"/>
      <c r="L62" s="392"/>
      <c r="M62" s="393"/>
      <c r="N62" s="393"/>
      <c r="O62" s="393"/>
      <c r="P62" s="393"/>
      <c r="Q62" s="393"/>
      <c r="R62" s="394"/>
    </row>
    <row r="63" spans="1:18" ht="13.5" customHeight="1">
      <c r="A63" s="386" t="s">
        <v>14</v>
      </c>
      <c r="B63" s="395" t="s">
        <v>143</v>
      </c>
      <c r="C63" s="423"/>
      <c r="D63" s="423"/>
      <c r="E63" s="423"/>
      <c r="F63" s="423"/>
      <c r="G63" s="423"/>
      <c r="H63" s="392"/>
      <c r="I63" s="392"/>
      <c r="J63" s="392"/>
      <c r="K63" s="392"/>
      <c r="L63" s="392"/>
      <c r="M63" s="393"/>
      <c r="N63" s="393"/>
      <c r="O63" s="393"/>
      <c r="P63" s="393"/>
      <c r="Q63" s="393"/>
      <c r="R63" s="394"/>
    </row>
    <row r="64" spans="1:18" ht="13.5" customHeight="1" thickBot="1">
      <c r="A64" s="396"/>
      <c r="B64" s="397" t="s">
        <v>145</v>
      </c>
      <c r="C64" s="694">
        <f>C61</f>
        <v>2.3838</v>
      </c>
      <c r="D64" s="406"/>
      <c r="E64" s="406"/>
      <c r="F64" s="406"/>
      <c r="G64" s="694">
        <f>G61</f>
        <v>2.3838</v>
      </c>
      <c r="H64" s="692">
        <f>H61</f>
        <v>0.4145</v>
      </c>
      <c r="I64" s="398"/>
      <c r="J64" s="398"/>
      <c r="K64" s="398"/>
      <c r="L64" s="692">
        <f>L61</f>
        <v>0.4145</v>
      </c>
      <c r="M64" s="399">
        <f>M61</f>
        <v>2875</v>
      </c>
      <c r="N64" s="399">
        <f>SUM(O64:R64)</f>
        <v>100</v>
      </c>
      <c r="O64" s="399">
        <f>D64/C64*100</f>
        <v>0</v>
      </c>
      <c r="P64" s="399">
        <f>E64/C64*100</f>
        <v>0</v>
      </c>
      <c r="Q64" s="399">
        <f>F64/C64*100</f>
        <v>0</v>
      </c>
      <c r="R64" s="400">
        <f>G64/C64*100</f>
        <v>100</v>
      </c>
    </row>
    <row r="65" spans="1:18" ht="13.5" customHeight="1" thickBot="1">
      <c r="A65" s="950" t="s">
        <v>554</v>
      </c>
      <c r="B65" s="951"/>
      <c r="C65" s="951"/>
      <c r="D65" s="951"/>
      <c r="E65" s="951"/>
      <c r="F65" s="951"/>
      <c r="G65" s="951"/>
      <c r="H65" s="951"/>
      <c r="I65" s="951"/>
      <c r="J65" s="951"/>
      <c r="K65" s="951"/>
      <c r="L65" s="951"/>
      <c r="M65" s="951"/>
      <c r="N65" s="951"/>
      <c r="O65" s="951"/>
      <c r="P65" s="951"/>
      <c r="Q65" s="951"/>
      <c r="R65" s="952"/>
    </row>
    <row r="66" spans="1:18" ht="13.5" customHeight="1">
      <c r="A66" s="386" t="s">
        <v>12</v>
      </c>
      <c r="B66" s="387" t="s">
        <v>150</v>
      </c>
      <c r="C66" s="693">
        <v>2.3874</v>
      </c>
      <c r="D66" s="404"/>
      <c r="E66" s="404"/>
      <c r="F66" s="404"/>
      <c r="G66" s="693">
        <v>2.3874</v>
      </c>
      <c r="H66" s="691">
        <v>0.4152</v>
      </c>
      <c r="I66" s="388"/>
      <c r="J66" s="388"/>
      <c r="K66" s="388"/>
      <c r="L66" s="691">
        <v>0.4152</v>
      </c>
      <c r="M66" s="389">
        <v>2875</v>
      </c>
      <c r="N66" s="389">
        <f>SUM(O66:R66)</f>
        <v>100</v>
      </c>
      <c r="O66" s="389">
        <f>D66/C66*100</f>
        <v>0</v>
      </c>
      <c r="P66" s="389">
        <f>E66/C66*100</f>
        <v>0</v>
      </c>
      <c r="Q66" s="389">
        <f>F66/C66*100</f>
        <v>0</v>
      </c>
      <c r="R66" s="390">
        <f>G66/C66*100</f>
        <v>100</v>
      </c>
    </row>
    <row r="67" spans="1:18" ht="13.5" customHeight="1">
      <c r="A67" s="386" t="s">
        <v>34</v>
      </c>
      <c r="B67" s="391" t="s">
        <v>213</v>
      </c>
      <c r="C67" s="405"/>
      <c r="D67" s="405"/>
      <c r="E67" s="405"/>
      <c r="F67" s="405"/>
      <c r="G67" s="405"/>
      <c r="H67" s="392"/>
      <c r="I67" s="392"/>
      <c r="J67" s="392"/>
      <c r="K67" s="392"/>
      <c r="L67" s="392"/>
      <c r="M67" s="393"/>
      <c r="N67" s="393"/>
      <c r="O67" s="393"/>
      <c r="P67" s="393"/>
      <c r="Q67" s="393"/>
      <c r="R67" s="394"/>
    </row>
    <row r="68" spans="1:18" ht="13.5" customHeight="1">
      <c r="A68" s="386" t="s">
        <v>14</v>
      </c>
      <c r="B68" s="395" t="s">
        <v>143</v>
      </c>
      <c r="C68" s="405"/>
      <c r="D68" s="405"/>
      <c r="E68" s="405"/>
      <c r="F68" s="405"/>
      <c r="G68" s="405"/>
      <c r="H68" s="392"/>
      <c r="I68" s="392"/>
      <c r="J68" s="392"/>
      <c r="K68" s="392"/>
      <c r="L68" s="392"/>
      <c r="M68" s="393"/>
      <c r="N68" s="393"/>
      <c r="O68" s="393"/>
      <c r="P68" s="393"/>
      <c r="Q68" s="393"/>
      <c r="R68" s="394"/>
    </row>
    <row r="69" spans="1:18" ht="13.5" customHeight="1" thickBot="1">
      <c r="A69" s="396"/>
      <c r="B69" s="397" t="s">
        <v>145</v>
      </c>
      <c r="C69" s="694">
        <f>C66</f>
        <v>2.3874</v>
      </c>
      <c r="D69" s="406"/>
      <c r="E69" s="406"/>
      <c r="F69" s="406"/>
      <c r="G69" s="694">
        <f>G66</f>
        <v>2.3874</v>
      </c>
      <c r="H69" s="398">
        <f>H66</f>
        <v>0.4152</v>
      </c>
      <c r="I69" s="398"/>
      <c r="J69" s="398"/>
      <c r="K69" s="398"/>
      <c r="L69" s="692">
        <f>L66</f>
        <v>0.4152</v>
      </c>
      <c r="M69" s="399">
        <f>M66</f>
        <v>2875</v>
      </c>
      <c r="N69" s="399">
        <f>SUM(O69:R69)</f>
        <v>100</v>
      </c>
      <c r="O69" s="399">
        <f>D69/C69*100</f>
        <v>0</v>
      </c>
      <c r="P69" s="399">
        <f>E69/C69*100</f>
        <v>0</v>
      </c>
      <c r="Q69" s="399">
        <f>F69/C69*100</f>
        <v>0</v>
      </c>
      <c r="R69" s="400">
        <f>G69/C69*100</f>
        <v>100</v>
      </c>
    </row>
    <row r="70" spans="1:18" ht="27" customHeight="1" thickBot="1">
      <c r="A70" s="947"/>
      <c r="B70" s="948"/>
      <c r="C70" s="948"/>
      <c r="D70" s="948"/>
      <c r="E70" s="948"/>
      <c r="F70" s="948"/>
      <c r="G70" s="948"/>
      <c r="H70" s="948"/>
      <c r="I70" s="948"/>
      <c r="J70" s="948"/>
      <c r="K70" s="948"/>
      <c r="L70" s="948"/>
      <c r="M70" s="948"/>
      <c r="N70" s="948"/>
      <c r="O70" s="948"/>
      <c r="P70" s="948"/>
      <c r="Q70" s="948"/>
      <c r="R70" s="949"/>
    </row>
    <row r="71" spans="1:18" ht="12.75" customHeight="1" thickBot="1">
      <c r="A71" s="950"/>
      <c r="B71" s="951"/>
      <c r="C71" s="951"/>
      <c r="D71" s="951"/>
      <c r="E71" s="951"/>
      <c r="F71" s="951"/>
      <c r="G71" s="951"/>
      <c r="H71" s="951"/>
      <c r="I71" s="951"/>
      <c r="J71" s="951"/>
      <c r="K71" s="951"/>
      <c r="L71" s="951"/>
      <c r="M71" s="951"/>
      <c r="N71" s="951"/>
      <c r="O71" s="951"/>
      <c r="P71" s="951"/>
      <c r="Q71" s="951"/>
      <c r="R71" s="952"/>
    </row>
    <row r="76" spans="1:18" ht="12.75">
      <c r="A76" s="958" t="s">
        <v>552</v>
      </c>
      <c r="B76" s="959"/>
      <c r="C76" s="959"/>
      <c r="D76" s="959"/>
      <c r="E76" s="959"/>
      <c r="F76" s="959"/>
      <c r="G76" s="959"/>
      <c r="H76" s="959"/>
      <c r="I76" s="959"/>
      <c r="J76" s="959"/>
      <c r="K76" s="959"/>
      <c r="L76" s="959"/>
      <c r="M76" s="959"/>
      <c r="N76" s="959"/>
      <c r="O76" s="959"/>
      <c r="P76" s="959"/>
      <c r="Q76" s="959"/>
      <c r="R76" s="959"/>
    </row>
    <row r="77" spans="1:18" ht="12.75">
      <c r="A77" s="959"/>
      <c r="B77" s="959"/>
      <c r="C77" s="959"/>
      <c r="D77" s="959"/>
      <c r="E77" s="959"/>
      <c r="F77" s="959"/>
      <c r="G77" s="959"/>
      <c r="H77" s="959"/>
      <c r="I77" s="959"/>
      <c r="J77" s="959"/>
      <c r="K77" s="959"/>
      <c r="L77" s="959"/>
      <c r="M77" s="959"/>
      <c r="N77" s="959"/>
      <c r="O77" s="959"/>
      <c r="P77" s="959"/>
      <c r="Q77" s="959"/>
      <c r="R77" s="959"/>
    </row>
  </sheetData>
  <sheetProtection/>
  <mergeCells count="24">
    <mergeCell ref="A76:R77"/>
    <mergeCell ref="A9:R9"/>
    <mergeCell ref="O1:R1"/>
    <mergeCell ref="A6:A7"/>
    <mergeCell ref="C6:G6"/>
    <mergeCell ref="H6:L6"/>
    <mergeCell ref="M6:M7"/>
    <mergeCell ref="N6:R6"/>
    <mergeCell ref="A71:R71"/>
    <mergeCell ref="A70:R70"/>
    <mergeCell ref="C49:G49"/>
    <mergeCell ref="H49:L49"/>
    <mergeCell ref="M49:M50"/>
    <mergeCell ref="A59:R59"/>
    <mergeCell ref="A65:R65"/>
    <mergeCell ref="A1:H2"/>
    <mergeCell ref="A30:R30"/>
    <mergeCell ref="A17:R17"/>
    <mergeCell ref="A52:R52"/>
    <mergeCell ref="A24:R24"/>
    <mergeCell ref="N49:R49"/>
    <mergeCell ref="B6:B7"/>
    <mergeCell ref="A49:A50"/>
    <mergeCell ref="B49:B50"/>
  </mergeCells>
  <printOptions horizontalCentered="1"/>
  <pageMargins left="0.2362204724409449" right="0" top="0.1968503937007874" bottom="0.1968503937007874" header="0" footer="0"/>
  <pageSetup fitToHeight="1" fitToWidth="1" horizontalDpi="600" verticalDpi="600" orientation="portrait" paperSize="9" scale="60" r:id="rId1"/>
  <rowBreaks count="1" manualBreakCount="1">
    <brk id="39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T46"/>
  <sheetViews>
    <sheetView zoomScaleSheetLayoutView="100" zoomScalePageLayoutView="0" workbookViewId="0" topLeftCell="A1">
      <selection activeCell="T30" sqref="T30"/>
    </sheetView>
  </sheetViews>
  <sheetFormatPr defaultColWidth="10.625" defaultRowHeight="12.75"/>
  <cols>
    <col min="1" max="1" width="5.00390625" style="427" customWidth="1"/>
    <col min="2" max="2" width="68.625" style="427" customWidth="1"/>
    <col min="3" max="3" width="15.00390625" style="427" hidden="1" customWidth="1"/>
    <col min="4" max="4" width="13.125" style="427" hidden="1" customWidth="1"/>
    <col min="5" max="5" width="12.625" style="427" hidden="1" customWidth="1"/>
    <col min="6" max="6" width="14.00390625" style="427" hidden="1" customWidth="1"/>
    <col min="7" max="7" width="10.875" style="427" hidden="1" customWidth="1"/>
    <col min="8" max="11" width="20.875" style="427" hidden="1" customWidth="1"/>
    <col min="12" max="12" width="14.625" style="427" customWidth="1"/>
    <col min="13" max="14" width="13.875" style="427" customWidth="1"/>
    <col min="15" max="15" width="13.625" style="427" customWidth="1"/>
    <col min="16" max="16" width="17.50390625" style="427" customWidth="1"/>
    <col min="17" max="17" width="15.625" style="427" customWidth="1"/>
    <col min="18" max="18" width="13.625" style="427" customWidth="1"/>
    <col min="19" max="16384" width="10.625" style="427" customWidth="1"/>
  </cols>
  <sheetData>
    <row r="1" spans="1:18" ht="26.25">
      <c r="A1" s="975" t="s">
        <v>546</v>
      </c>
      <c r="B1" s="975"/>
      <c r="C1" s="975"/>
      <c r="D1" s="975"/>
      <c r="E1" s="425"/>
      <c r="F1" s="425"/>
      <c r="G1" s="426"/>
      <c r="H1" s="425"/>
      <c r="M1" s="428"/>
      <c r="N1" s="428"/>
      <c r="R1" s="430" t="s">
        <v>320</v>
      </c>
    </row>
    <row r="2" spans="1:14" ht="18" customHeight="1">
      <c r="A2" s="976" t="s">
        <v>321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431"/>
      <c r="N2" s="431"/>
    </row>
    <row r="3" spans="6:14" ht="20.25" customHeight="1" thickBot="1">
      <c r="F3" s="428"/>
      <c r="G3" s="428"/>
      <c r="J3" s="432"/>
      <c r="K3" s="432"/>
      <c r="M3" s="432"/>
      <c r="N3" s="432"/>
    </row>
    <row r="4" spans="1:72" ht="25.5" customHeight="1">
      <c r="A4" s="977" t="s">
        <v>327</v>
      </c>
      <c r="B4" s="979" t="s">
        <v>328</v>
      </c>
      <c r="C4" s="117" t="s">
        <v>329</v>
      </c>
      <c r="D4" s="117" t="s">
        <v>330</v>
      </c>
      <c r="E4" s="117" t="s">
        <v>331</v>
      </c>
      <c r="F4" s="117" t="s">
        <v>332</v>
      </c>
      <c r="G4" s="117" t="s">
        <v>333</v>
      </c>
      <c r="H4" s="117" t="s">
        <v>334</v>
      </c>
      <c r="I4" s="117" t="s">
        <v>335</v>
      </c>
      <c r="J4" s="117" t="s">
        <v>336</v>
      </c>
      <c r="K4" s="116" t="s">
        <v>337</v>
      </c>
      <c r="L4" s="962" t="s">
        <v>561</v>
      </c>
      <c r="M4" s="962" t="s">
        <v>562</v>
      </c>
      <c r="N4" s="962" t="s">
        <v>563</v>
      </c>
      <c r="O4" s="964" t="s">
        <v>564</v>
      </c>
      <c r="P4" s="967" t="s">
        <v>587</v>
      </c>
      <c r="Q4" s="962" t="s">
        <v>310</v>
      </c>
      <c r="R4" s="969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</row>
    <row r="5" spans="1:18" ht="24.75" customHeight="1">
      <c r="A5" s="978"/>
      <c r="B5" s="980"/>
      <c r="C5" s="113">
        <v>3</v>
      </c>
      <c r="D5" s="113">
        <v>4</v>
      </c>
      <c r="E5" s="113">
        <v>4</v>
      </c>
      <c r="F5" s="113">
        <v>5</v>
      </c>
      <c r="G5" s="113">
        <v>6</v>
      </c>
      <c r="H5" s="751">
        <f>B5+1</f>
        <v>1</v>
      </c>
      <c r="I5" s="751">
        <f>C5+1</f>
        <v>4</v>
      </c>
      <c r="J5" s="751">
        <f>D5+1</f>
        <v>5</v>
      </c>
      <c r="K5" s="751">
        <f>J5+1</f>
        <v>6</v>
      </c>
      <c r="L5" s="963"/>
      <c r="M5" s="963"/>
      <c r="N5" s="963"/>
      <c r="O5" s="965"/>
      <c r="P5" s="968"/>
      <c r="Q5" s="752" t="s">
        <v>588</v>
      </c>
      <c r="R5" s="753" t="s">
        <v>589</v>
      </c>
    </row>
    <row r="6" spans="1:18" s="437" customFormat="1" ht="13.5" customHeight="1" thickBot="1">
      <c r="A6" s="92">
        <v>1</v>
      </c>
      <c r="B6" s="733">
        <v>2</v>
      </c>
      <c r="C6" s="734"/>
      <c r="D6" s="734"/>
      <c r="E6" s="734"/>
      <c r="F6" s="734"/>
      <c r="G6" s="734"/>
      <c r="H6" s="733"/>
      <c r="I6" s="733"/>
      <c r="J6" s="733"/>
      <c r="K6" s="733"/>
      <c r="L6" s="735">
        <v>3</v>
      </c>
      <c r="M6" s="736">
        <v>4</v>
      </c>
      <c r="N6" s="736">
        <v>5</v>
      </c>
      <c r="O6" s="738">
        <v>6</v>
      </c>
      <c r="P6" s="739">
        <v>7</v>
      </c>
      <c r="Q6" s="735">
        <v>8</v>
      </c>
      <c r="R6" s="737">
        <v>9</v>
      </c>
    </row>
    <row r="7" spans="1:19" s="446" customFormat="1" ht="14.25" customHeight="1">
      <c r="A7" s="724" t="s">
        <v>8</v>
      </c>
      <c r="B7" s="725" t="s">
        <v>339</v>
      </c>
      <c r="C7" s="726"/>
      <c r="D7" s="726">
        <v>77</v>
      </c>
      <c r="E7" s="727">
        <v>88</v>
      </c>
      <c r="F7" s="726">
        <v>102</v>
      </c>
      <c r="G7" s="727">
        <v>99</v>
      </c>
      <c r="H7" s="728">
        <v>110</v>
      </c>
      <c r="I7" s="728">
        <v>56</v>
      </c>
      <c r="J7" s="728">
        <v>110</v>
      </c>
      <c r="K7" s="728">
        <v>129</v>
      </c>
      <c r="L7" s="729">
        <v>72</v>
      </c>
      <c r="M7" s="729">
        <v>36</v>
      </c>
      <c r="N7" s="729">
        <v>36</v>
      </c>
      <c r="O7" s="731">
        <v>80</v>
      </c>
      <c r="P7" s="732">
        <f>SUM(Q7:R7)</f>
        <v>100</v>
      </c>
      <c r="Q7" s="729">
        <v>50</v>
      </c>
      <c r="R7" s="730">
        <v>50</v>
      </c>
      <c r="S7" s="445"/>
    </row>
    <row r="8" spans="1:19" s="446" customFormat="1" ht="14.25" customHeight="1">
      <c r="A8" s="438" t="s">
        <v>12</v>
      </c>
      <c r="B8" s="439" t="s">
        <v>340</v>
      </c>
      <c r="C8" s="441"/>
      <c r="D8" s="441">
        <f>SUM(D9:D10)</f>
        <v>0</v>
      </c>
      <c r="E8" s="440">
        <v>0</v>
      </c>
      <c r="F8" s="441">
        <f aca="true" t="shared" si="0" ref="F8:K8">SUM(F9:F10)</f>
        <v>0</v>
      </c>
      <c r="G8" s="443">
        <f t="shared" si="0"/>
        <v>0</v>
      </c>
      <c r="H8" s="443">
        <f t="shared" si="0"/>
        <v>0</v>
      </c>
      <c r="I8" s="443">
        <f t="shared" si="0"/>
        <v>0</v>
      </c>
      <c r="J8" s="443">
        <f t="shared" si="0"/>
        <v>0</v>
      </c>
      <c r="K8" s="443">
        <f t="shared" si="0"/>
        <v>0</v>
      </c>
      <c r="L8" s="442"/>
      <c r="M8" s="721"/>
      <c r="N8" s="721"/>
      <c r="O8" s="709"/>
      <c r="P8" s="713"/>
      <c r="Q8" s="442"/>
      <c r="R8" s="444"/>
      <c r="S8" s="445"/>
    </row>
    <row r="9" spans="1:19" ht="14.25" customHeight="1">
      <c r="A9" s="750" t="s">
        <v>34</v>
      </c>
      <c r="B9" s="104" t="s">
        <v>341</v>
      </c>
      <c r="C9" s="751"/>
      <c r="D9" s="751"/>
      <c r="E9" s="107"/>
      <c r="F9" s="751"/>
      <c r="G9" s="103"/>
      <c r="H9" s="751"/>
      <c r="I9" s="751"/>
      <c r="J9" s="751"/>
      <c r="K9" s="751"/>
      <c r="L9" s="102"/>
      <c r="M9" s="448"/>
      <c r="N9" s="448"/>
      <c r="O9" s="710"/>
      <c r="P9" s="714"/>
      <c r="Q9" s="102"/>
      <c r="R9" s="447"/>
      <c r="S9" s="445"/>
    </row>
    <row r="10" spans="1:19" ht="14.25" customHeight="1">
      <c r="A10" s="750" t="s">
        <v>158</v>
      </c>
      <c r="B10" s="104" t="s">
        <v>342</v>
      </c>
      <c r="C10" s="751"/>
      <c r="D10" s="751"/>
      <c r="E10" s="107"/>
      <c r="F10" s="751"/>
      <c r="G10" s="103"/>
      <c r="H10" s="751"/>
      <c r="I10" s="751"/>
      <c r="J10" s="751"/>
      <c r="K10" s="751"/>
      <c r="L10" s="102"/>
      <c r="M10" s="102">
        <v>0</v>
      </c>
      <c r="N10" s="102">
        <v>0</v>
      </c>
      <c r="O10" s="710"/>
      <c r="P10" s="714"/>
      <c r="Q10" s="102"/>
      <c r="R10" s="447"/>
      <c r="S10" s="445"/>
    </row>
    <row r="11" spans="1:20" s="446" customFormat="1" ht="14.25" customHeight="1">
      <c r="A11" s="438" t="s">
        <v>14</v>
      </c>
      <c r="B11" s="439" t="s">
        <v>343</v>
      </c>
      <c r="C11" s="441"/>
      <c r="D11" s="441">
        <v>133</v>
      </c>
      <c r="E11" s="441">
        <f aca="true" t="shared" si="1" ref="E11:K11">E12+E13</f>
        <v>788</v>
      </c>
      <c r="F11" s="441">
        <f t="shared" si="1"/>
        <v>823</v>
      </c>
      <c r="G11" s="441">
        <f t="shared" si="1"/>
        <v>823</v>
      </c>
      <c r="H11" s="441">
        <f t="shared" si="1"/>
        <v>1019</v>
      </c>
      <c r="I11" s="441">
        <f t="shared" si="1"/>
        <v>495</v>
      </c>
      <c r="J11" s="441">
        <f t="shared" si="1"/>
        <v>1020</v>
      </c>
      <c r="K11" s="441">
        <f t="shared" si="1"/>
        <v>1200</v>
      </c>
      <c r="L11" s="442">
        <v>713</v>
      </c>
      <c r="M11" s="442">
        <v>358</v>
      </c>
      <c r="N11" s="442">
        <v>355</v>
      </c>
      <c r="O11" s="709">
        <f>SUM(O12:O13)</f>
        <v>707.1432</v>
      </c>
      <c r="P11" s="713">
        <f>SUM(P12:P13)</f>
        <v>682.0672</v>
      </c>
      <c r="Q11" s="442">
        <f>SUM(Q12:Q13)</f>
        <v>352.31780000000003</v>
      </c>
      <c r="R11" s="444">
        <f>SUM(R12:R13)</f>
        <v>329.7494</v>
      </c>
      <c r="S11" s="445"/>
      <c r="T11" s="445"/>
    </row>
    <row r="12" spans="1:19" ht="15.75" customHeight="1">
      <c r="A12" s="750" t="s">
        <v>175</v>
      </c>
      <c r="B12" s="104" t="s">
        <v>344</v>
      </c>
      <c r="C12" s="751"/>
      <c r="D12" s="751"/>
      <c r="E12" s="107">
        <v>576</v>
      </c>
      <c r="F12" s="751">
        <v>548</v>
      </c>
      <c r="G12" s="103">
        <v>548</v>
      </c>
      <c r="H12" s="751">
        <v>619</v>
      </c>
      <c r="I12" s="751">
        <v>300</v>
      </c>
      <c r="J12" s="751">
        <v>620</v>
      </c>
      <c r="K12" s="751">
        <v>800</v>
      </c>
      <c r="L12" s="102">
        <v>713</v>
      </c>
      <c r="M12" s="102">
        <v>358</v>
      </c>
      <c r="N12" s="102">
        <v>355</v>
      </c>
      <c r="O12" s="710">
        <f>'4 '!C18*6.269*1000</f>
        <v>707.1432</v>
      </c>
      <c r="P12" s="714">
        <f>'4 '!W18*6.269*1000</f>
        <v>682.0672</v>
      </c>
      <c r="Q12" s="102">
        <f>'4 '!AL18*6.269*1000</f>
        <v>352.31780000000003</v>
      </c>
      <c r="R12" s="447">
        <f>'4 '!AQ18*6.269*1000</f>
        <v>329.7494</v>
      </c>
      <c r="S12" s="445"/>
    </row>
    <row r="13" spans="1:19" ht="14.25" customHeight="1">
      <c r="A13" s="750" t="s">
        <v>176</v>
      </c>
      <c r="B13" s="104" t="s">
        <v>345</v>
      </c>
      <c r="C13" s="751"/>
      <c r="D13" s="751"/>
      <c r="E13" s="107">
        <v>212</v>
      </c>
      <c r="F13" s="751">
        <v>275</v>
      </c>
      <c r="G13" s="103">
        <v>275</v>
      </c>
      <c r="H13" s="751">
        <v>400</v>
      </c>
      <c r="I13" s="751">
        <v>195</v>
      </c>
      <c r="J13" s="751">
        <v>400</v>
      </c>
      <c r="K13" s="751">
        <v>400</v>
      </c>
      <c r="L13" s="102">
        <v>0</v>
      </c>
      <c r="M13" s="102">
        <v>0</v>
      </c>
      <c r="N13" s="102">
        <f>L13-M13</f>
        <v>0</v>
      </c>
      <c r="O13" s="710">
        <f>'4 '!C20*6.269*1000</f>
        <v>0</v>
      </c>
      <c r="P13" s="714">
        <f>'4 '!W20*6.269*1000</f>
        <v>0</v>
      </c>
      <c r="Q13" s="102">
        <f>'4 '!AL20*6.269*1000</f>
        <v>0</v>
      </c>
      <c r="R13" s="447">
        <f>'4 '!AQ20*6.269*1000</f>
        <v>0</v>
      </c>
      <c r="S13" s="445"/>
    </row>
    <row r="14" spans="1:19" s="446" customFormat="1" ht="14.25" customHeight="1">
      <c r="A14" s="438" t="s">
        <v>22</v>
      </c>
      <c r="B14" s="439" t="s">
        <v>346</v>
      </c>
      <c r="C14" s="441"/>
      <c r="D14" s="441">
        <f>SUM(D15:D16)</f>
        <v>474</v>
      </c>
      <c r="E14" s="440">
        <f aca="true" t="shared" si="2" ref="E14:K14">E15+E16</f>
        <v>797</v>
      </c>
      <c r="F14" s="440">
        <f t="shared" si="2"/>
        <v>828</v>
      </c>
      <c r="G14" s="440">
        <f t="shared" si="2"/>
        <v>860</v>
      </c>
      <c r="H14" s="440">
        <f t="shared" si="2"/>
        <v>893</v>
      </c>
      <c r="I14" s="440">
        <f t="shared" si="2"/>
        <v>450</v>
      </c>
      <c r="J14" s="440">
        <f t="shared" si="2"/>
        <v>893</v>
      </c>
      <c r="K14" s="440">
        <f t="shared" si="2"/>
        <v>1102</v>
      </c>
      <c r="L14" s="442">
        <f>SUM(M14:N14)</f>
        <v>738.8</v>
      </c>
      <c r="M14" s="442">
        <v>369.4</v>
      </c>
      <c r="N14" s="442">
        <v>369.4</v>
      </c>
      <c r="O14" s="709">
        <f>SUM(O15:O16)</f>
        <v>794.9463993</v>
      </c>
      <c r="P14" s="713">
        <f>SUM(P15:P16)</f>
        <v>869.3410392300001</v>
      </c>
      <c r="Q14" s="442">
        <f>SUM(Q15:Q16)</f>
        <v>409.17051961500005</v>
      </c>
      <c r="R14" s="444">
        <f>SUM(R15:R16)</f>
        <v>460.17051961500005</v>
      </c>
      <c r="S14" s="445"/>
    </row>
    <row r="15" spans="1:19" ht="14.25" customHeight="1">
      <c r="A15" s="750" t="s">
        <v>129</v>
      </c>
      <c r="B15" s="104" t="s">
        <v>347</v>
      </c>
      <c r="C15" s="751"/>
      <c r="D15" s="751">
        <v>474</v>
      </c>
      <c r="E15" s="107">
        <v>728</v>
      </c>
      <c r="F15" s="751">
        <v>788</v>
      </c>
      <c r="G15" s="103">
        <v>785</v>
      </c>
      <c r="H15" s="751">
        <v>850</v>
      </c>
      <c r="I15" s="751">
        <v>418</v>
      </c>
      <c r="J15" s="751">
        <v>850</v>
      </c>
      <c r="K15" s="751">
        <v>1051</v>
      </c>
      <c r="L15" s="102">
        <v>738.8</v>
      </c>
      <c r="M15" s="102">
        <v>369.4</v>
      </c>
      <c r="N15" s="102">
        <v>369.4</v>
      </c>
      <c r="O15" s="710">
        <f>(19850*45%+14290*37%+14880*5%+14880*5%+23800*10%)*1.3*2.6*12/1000+14290*37%*0.3*1.3*2.6*1.5/1000+14880*5%*2*0.3*1.3*2.6*1.5/1000</f>
        <v>743.9463993</v>
      </c>
      <c r="P15" s="714">
        <f>SUM(Q15:R15)</f>
        <v>818.3410392300001</v>
      </c>
      <c r="Q15" s="710">
        <f>((19850*45%+14290*37%+14880*5%+14880*5%+23800*10%)*1.3*2.6*12/1000+14290*37%*0.3*1.3*2.6*1.5/1000+14880*5%*2*0.3*1.3*2.6*1.5/1000)*1.1/2</f>
        <v>409.17051961500005</v>
      </c>
      <c r="R15" s="447">
        <f>((19850*45%+14290*37%+14880*5%+14880*5%+23800*10%)*1.3*2.6*12/1000+14290*37%*0.3*1.3*2.6*1.5/1000+14880*5%*2*0.3*1.3*2.6*1.5/1000)*1.1/2</f>
        <v>409.17051961500005</v>
      </c>
      <c r="S15" s="445"/>
    </row>
    <row r="16" spans="1:19" ht="14.25" customHeight="1">
      <c r="A16" s="750" t="s">
        <v>133</v>
      </c>
      <c r="B16" s="104" t="s">
        <v>348</v>
      </c>
      <c r="C16" s="751"/>
      <c r="D16" s="751">
        <v>0</v>
      </c>
      <c r="E16" s="107">
        <v>69</v>
      </c>
      <c r="F16" s="751">
        <v>40</v>
      </c>
      <c r="G16" s="103">
        <v>75</v>
      </c>
      <c r="H16" s="751">
        <v>43</v>
      </c>
      <c r="I16" s="751">
        <v>32</v>
      </c>
      <c r="J16" s="751">
        <v>43</v>
      </c>
      <c r="K16" s="751">
        <v>51</v>
      </c>
      <c r="L16" s="102"/>
      <c r="M16" s="703"/>
      <c r="N16" s="703"/>
      <c r="O16" s="710">
        <f>(50000*45%+50000*37%+50000*2*5%+50000*10%)/1000</f>
        <v>51</v>
      </c>
      <c r="P16" s="714">
        <f>SUM(Q16:R16)</f>
        <v>51</v>
      </c>
      <c r="Q16" s="102">
        <v>0</v>
      </c>
      <c r="R16" s="447">
        <f>(50000*45%+50000*37%+50000*2*5%+50000*10%)/1000</f>
        <v>51</v>
      </c>
      <c r="S16" s="445"/>
    </row>
    <row r="17" spans="1:19" s="446" customFormat="1" ht="14.25" customHeight="1">
      <c r="A17" s="438" t="s">
        <v>24</v>
      </c>
      <c r="B17" s="439" t="s">
        <v>349</v>
      </c>
      <c r="C17" s="441"/>
      <c r="D17" s="441">
        <v>129</v>
      </c>
      <c r="E17" s="440">
        <f>E15*25%</f>
        <v>182</v>
      </c>
      <c r="F17" s="440">
        <f aca="true" t="shared" si="3" ref="F17:K17">F15*25%</f>
        <v>197</v>
      </c>
      <c r="G17" s="440">
        <f t="shared" si="3"/>
        <v>196.25</v>
      </c>
      <c r="H17" s="440">
        <f t="shared" si="3"/>
        <v>212.5</v>
      </c>
      <c r="I17" s="440">
        <f t="shared" si="3"/>
        <v>104.5</v>
      </c>
      <c r="J17" s="440">
        <f t="shared" si="3"/>
        <v>212.5</v>
      </c>
      <c r="K17" s="440">
        <f t="shared" si="3"/>
        <v>262.75</v>
      </c>
      <c r="L17" s="442">
        <v>227</v>
      </c>
      <c r="M17" s="442">
        <v>114</v>
      </c>
      <c r="N17" s="442">
        <v>114</v>
      </c>
      <c r="O17" s="709">
        <f>O15*0.308</f>
        <v>229.1354909844</v>
      </c>
      <c r="P17" s="713">
        <f>SUM(Q17:R17)</f>
        <v>252.04904008284004</v>
      </c>
      <c r="Q17" s="442">
        <f>Q15*0.308</f>
        <v>126.02452004142002</v>
      </c>
      <c r="R17" s="444">
        <f>R15*0.308</f>
        <v>126.02452004142002</v>
      </c>
      <c r="S17" s="445"/>
    </row>
    <row r="18" spans="1:19" s="446" customFormat="1" ht="14.25" customHeight="1">
      <c r="A18" s="438" t="s">
        <v>26</v>
      </c>
      <c r="B18" s="439" t="s">
        <v>350</v>
      </c>
      <c r="C18" s="441"/>
      <c r="D18" s="443">
        <v>10</v>
      </c>
      <c r="E18" s="441">
        <v>745</v>
      </c>
      <c r="F18" s="441">
        <v>745</v>
      </c>
      <c r="G18" s="441">
        <v>745</v>
      </c>
      <c r="H18" s="441">
        <v>745</v>
      </c>
      <c r="I18" s="441">
        <v>372</v>
      </c>
      <c r="J18" s="441">
        <v>745</v>
      </c>
      <c r="K18" s="441">
        <v>745</v>
      </c>
      <c r="L18" s="442">
        <v>0</v>
      </c>
      <c r="M18" s="442">
        <v>0</v>
      </c>
      <c r="N18" s="442">
        <f>L18-M18</f>
        <v>0</v>
      </c>
      <c r="O18" s="709">
        <v>0</v>
      </c>
      <c r="P18" s="713">
        <v>0</v>
      </c>
      <c r="Q18" s="442">
        <v>0</v>
      </c>
      <c r="R18" s="444">
        <v>0</v>
      </c>
      <c r="S18" s="445"/>
    </row>
    <row r="19" spans="1:19" s="446" customFormat="1" ht="14.25" customHeight="1">
      <c r="A19" s="438" t="s">
        <v>28</v>
      </c>
      <c r="B19" s="439" t="s">
        <v>351</v>
      </c>
      <c r="C19" s="441"/>
      <c r="D19" s="443">
        <v>108</v>
      </c>
      <c r="E19" s="440">
        <v>525</v>
      </c>
      <c r="F19" s="441">
        <v>525</v>
      </c>
      <c r="G19" s="443">
        <v>525</v>
      </c>
      <c r="H19" s="441">
        <v>525</v>
      </c>
      <c r="I19" s="441">
        <v>262</v>
      </c>
      <c r="J19" s="441">
        <v>525</v>
      </c>
      <c r="K19" s="441">
        <v>550</v>
      </c>
      <c r="L19" s="442" t="s">
        <v>590</v>
      </c>
      <c r="M19" s="442"/>
      <c r="N19" s="442"/>
      <c r="O19" s="709">
        <v>0</v>
      </c>
      <c r="P19" s="713">
        <v>0</v>
      </c>
      <c r="Q19" s="442">
        <v>0</v>
      </c>
      <c r="R19" s="444">
        <v>0</v>
      </c>
      <c r="S19" s="445"/>
    </row>
    <row r="20" spans="1:19" s="446" customFormat="1" ht="14.25" customHeight="1">
      <c r="A20" s="438" t="s">
        <v>352</v>
      </c>
      <c r="B20" s="439" t="s">
        <v>353</v>
      </c>
      <c r="C20" s="441"/>
      <c r="D20" s="443">
        <f>SUM(D21:D22)</f>
        <v>4</v>
      </c>
      <c r="E20" s="440">
        <f>E21+E22</f>
        <v>21</v>
      </c>
      <c r="F20" s="440">
        <f aca="true" t="shared" si="4" ref="F20:K20">F21+F22</f>
        <v>24</v>
      </c>
      <c r="G20" s="440">
        <f t="shared" si="4"/>
        <v>26</v>
      </c>
      <c r="H20" s="440">
        <f t="shared" si="4"/>
        <v>27</v>
      </c>
      <c r="I20" s="440">
        <f t="shared" si="4"/>
        <v>24</v>
      </c>
      <c r="J20" s="440">
        <f t="shared" si="4"/>
        <v>27</v>
      </c>
      <c r="K20" s="440">
        <f t="shared" si="4"/>
        <v>30</v>
      </c>
      <c r="L20" s="442">
        <f>SUM(M20:N20)</f>
        <v>10.4</v>
      </c>
      <c r="M20" s="442">
        <f>SUM(M21:M22)</f>
        <v>5.2</v>
      </c>
      <c r="N20" s="442">
        <f>SUM(N21:N22)</f>
        <v>5.2</v>
      </c>
      <c r="O20" s="709">
        <f>SUM(O21:O22)</f>
        <v>11.5</v>
      </c>
      <c r="P20" s="713">
        <f>SUM(Q20:R20)</f>
        <v>22</v>
      </c>
      <c r="Q20" s="442">
        <f>SUM(Q21:Q22)</f>
        <v>11</v>
      </c>
      <c r="R20" s="444">
        <f>SUM(R21:R22)</f>
        <v>11</v>
      </c>
      <c r="S20" s="445"/>
    </row>
    <row r="21" spans="1:19" ht="14.25" customHeight="1">
      <c r="A21" s="750" t="s">
        <v>354</v>
      </c>
      <c r="B21" s="104" t="s">
        <v>355</v>
      </c>
      <c r="C21" s="751"/>
      <c r="D21" s="103">
        <v>4</v>
      </c>
      <c r="E21" s="107">
        <v>18</v>
      </c>
      <c r="F21" s="751">
        <v>21</v>
      </c>
      <c r="G21" s="103">
        <v>23</v>
      </c>
      <c r="H21" s="751">
        <v>23</v>
      </c>
      <c r="I21" s="751">
        <v>23</v>
      </c>
      <c r="J21" s="751">
        <v>23</v>
      </c>
      <c r="K21" s="751">
        <v>25</v>
      </c>
      <c r="L21" s="102">
        <v>9</v>
      </c>
      <c r="M21" s="102">
        <f>L21/2</f>
        <v>4.5</v>
      </c>
      <c r="N21" s="102">
        <f>L21-M21</f>
        <v>4.5</v>
      </c>
      <c r="O21" s="710">
        <v>10</v>
      </c>
      <c r="P21" s="714">
        <f>SUM(Q21:R21)</f>
        <v>20</v>
      </c>
      <c r="Q21" s="102">
        <v>10</v>
      </c>
      <c r="R21" s="447">
        <v>10</v>
      </c>
      <c r="S21" s="445"/>
    </row>
    <row r="22" spans="1:19" ht="21" customHeight="1">
      <c r="A22" s="750" t="s">
        <v>356</v>
      </c>
      <c r="B22" s="449" t="s">
        <v>357</v>
      </c>
      <c r="C22" s="751"/>
      <c r="D22" s="103"/>
      <c r="E22" s="107">
        <v>3</v>
      </c>
      <c r="F22" s="751">
        <v>3</v>
      </c>
      <c r="G22" s="103">
        <v>3</v>
      </c>
      <c r="H22" s="751">
        <v>4</v>
      </c>
      <c r="I22" s="751">
        <v>1</v>
      </c>
      <c r="J22" s="751">
        <v>4</v>
      </c>
      <c r="K22" s="751">
        <v>5</v>
      </c>
      <c r="L22" s="102">
        <v>1</v>
      </c>
      <c r="M22" s="703">
        <v>0.7</v>
      </c>
      <c r="N22" s="703">
        <v>0.7</v>
      </c>
      <c r="O22" s="710">
        <v>1.5</v>
      </c>
      <c r="P22" s="714">
        <f>SUM(Q22:R22)</f>
        <v>2</v>
      </c>
      <c r="Q22" s="102">
        <v>1</v>
      </c>
      <c r="R22" s="447">
        <v>1</v>
      </c>
      <c r="S22" s="445"/>
    </row>
    <row r="23" spans="1:19" s="446" customFormat="1" ht="21.75" customHeight="1">
      <c r="A23" s="438" t="s">
        <v>358</v>
      </c>
      <c r="B23" s="450" t="s">
        <v>359</v>
      </c>
      <c r="C23" s="441"/>
      <c r="D23" s="443">
        <f aca="true" t="shared" si="5" ref="D23:K23">SUM(D7+D8+D11+D14+D17+D18+D19+D20)</f>
        <v>935</v>
      </c>
      <c r="E23" s="441">
        <f t="shared" si="5"/>
        <v>3146</v>
      </c>
      <c r="F23" s="441">
        <f t="shared" si="5"/>
        <v>3244</v>
      </c>
      <c r="G23" s="443">
        <f t="shared" si="5"/>
        <v>3274.25</v>
      </c>
      <c r="H23" s="443">
        <f t="shared" si="5"/>
        <v>3531.5</v>
      </c>
      <c r="I23" s="443">
        <f t="shared" si="5"/>
        <v>1763.5</v>
      </c>
      <c r="J23" s="443">
        <f t="shared" si="5"/>
        <v>3532.5</v>
      </c>
      <c r="K23" s="443">
        <f t="shared" si="5"/>
        <v>4018.75</v>
      </c>
      <c r="L23" s="442">
        <f>L7+L8+L11+L14+L17+L20</f>
        <v>1761.2</v>
      </c>
      <c r="M23" s="442">
        <f>M7+M8+M11+M14+M17+M20</f>
        <v>882.6</v>
      </c>
      <c r="N23" s="442">
        <f>N7+N8+N11+N14+N17+N20</f>
        <v>879.6</v>
      </c>
      <c r="O23" s="709">
        <f>O7+O11+O14+O17+O20</f>
        <v>1822.7250902843998</v>
      </c>
      <c r="P23" s="713">
        <f>P7+P11+P14+P17+P20</f>
        <v>1925.4572793128402</v>
      </c>
      <c r="Q23" s="442">
        <f>Q7+Q11+Q14+Q17+Q20</f>
        <v>948.5128396564202</v>
      </c>
      <c r="R23" s="444">
        <f>R7+R11+R14+R17+R20</f>
        <v>976.9444396564201</v>
      </c>
      <c r="S23" s="445"/>
    </row>
    <row r="24" spans="1:19" ht="17.25" customHeight="1">
      <c r="A24" s="750" t="s">
        <v>360</v>
      </c>
      <c r="B24" s="99" t="s">
        <v>361</v>
      </c>
      <c r="C24" s="441"/>
      <c r="D24" s="441">
        <f>ROUND('[1]2'!D46*1000,0)</f>
        <v>0</v>
      </c>
      <c r="E24" s="441">
        <v>4112</v>
      </c>
      <c r="F24" s="441">
        <f>ROUND('[1]2'!G46*1000,0)</f>
        <v>4112</v>
      </c>
      <c r="G24" s="441">
        <f>ROUND('[1]2'!H46*1000,0)</f>
        <v>4112</v>
      </c>
      <c r="H24" s="441">
        <v>4112</v>
      </c>
      <c r="I24" s="751">
        <v>2630</v>
      </c>
      <c r="J24" s="441">
        <v>4112</v>
      </c>
      <c r="K24" s="441">
        <v>4112</v>
      </c>
      <c r="L24" s="102">
        <v>4929</v>
      </c>
      <c r="M24" s="102">
        <v>2563</v>
      </c>
      <c r="N24" s="102">
        <v>2366</v>
      </c>
      <c r="O24" s="710">
        <f>'4 '!C23*1000</f>
        <v>4928.8</v>
      </c>
      <c r="P24" s="714">
        <f>'4 '!W23*1000</f>
        <v>4771.200000000001</v>
      </c>
      <c r="Q24" s="102">
        <f>'4 '!AL23*1000</f>
        <v>2383.7999999999997</v>
      </c>
      <c r="R24" s="447">
        <f>'4 '!AQ23*1000</f>
        <v>2387.4</v>
      </c>
      <c r="S24" s="451"/>
    </row>
    <row r="25" spans="1:18" s="446" customFormat="1" ht="12.75">
      <c r="A25" s="438" t="s">
        <v>362</v>
      </c>
      <c r="B25" s="439" t="s">
        <v>363</v>
      </c>
      <c r="C25" s="452"/>
      <c r="D25" s="452" t="e">
        <f aca="true" t="shared" si="6" ref="D25:K25">SUM(D23/D24)</f>
        <v>#DIV/0!</v>
      </c>
      <c r="E25" s="452">
        <f t="shared" si="6"/>
        <v>0.7650778210116731</v>
      </c>
      <c r="F25" s="452">
        <f t="shared" si="6"/>
        <v>0.7889105058365758</v>
      </c>
      <c r="G25" s="452">
        <f t="shared" si="6"/>
        <v>0.7962670233463035</v>
      </c>
      <c r="H25" s="452">
        <f t="shared" si="6"/>
        <v>0.8588278210116731</v>
      </c>
      <c r="I25" s="452">
        <f t="shared" si="6"/>
        <v>0.6705323193916349</v>
      </c>
      <c r="J25" s="452">
        <f t="shared" si="6"/>
        <v>0.8590710116731517</v>
      </c>
      <c r="K25" s="452">
        <f t="shared" si="6"/>
        <v>0.9773224708171206</v>
      </c>
      <c r="L25" s="453">
        <v>0.351</v>
      </c>
      <c r="M25" s="453">
        <v>0.338</v>
      </c>
      <c r="N25" s="453">
        <v>0.369</v>
      </c>
      <c r="O25" s="719">
        <f>O23/O24</f>
        <v>0.36981112852710596</v>
      </c>
      <c r="P25" s="715">
        <f>P23/P24</f>
        <v>0.4035582828875</v>
      </c>
      <c r="Q25" s="453">
        <f>Q23/Q24</f>
        <v>0.39789950484789843</v>
      </c>
      <c r="R25" s="454">
        <f>R23/R24</f>
        <v>0.4092085279619754</v>
      </c>
    </row>
    <row r="26" spans="1:18" ht="12.75">
      <c r="A26" s="750" t="s">
        <v>364</v>
      </c>
      <c r="B26" s="104" t="s">
        <v>365</v>
      </c>
      <c r="C26" s="751"/>
      <c r="D26" s="103">
        <v>4</v>
      </c>
      <c r="E26" s="107">
        <f aca="true" t="shared" si="7" ref="E26:K26">E27-E23</f>
        <v>0</v>
      </c>
      <c r="F26" s="107">
        <f t="shared" si="7"/>
        <v>0</v>
      </c>
      <c r="G26" s="107">
        <f t="shared" si="7"/>
        <v>0</v>
      </c>
      <c r="H26" s="107">
        <f t="shared" si="7"/>
        <v>0</v>
      </c>
      <c r="I26" s="107">
        <f t="shared" si="7"/>
        <v>0</v>
      </c>
      <c r="J26" s="107">
        <f t="shared" si="7"/>
        <v>0</v>
      </c>
      <c r="K26" s="107">
        <f t="shared" si="7"/>
        <v>0</v>
      </c>
      <c r="L26" s="102"/>
      <c r="M26" s="102"/>
      <c r="N26" s="102"/>
      <c r="O26" s="710"/>
      <c r="P26" s="714"/>
      <c r="Q26" s="102"/>
      <c r="R26" s="447"/>
    </row>
    <row r="27" spans="1:18" ht="12.75">
      <c r="A27" s="750" t="s">
        <v>366</v>
      </c>
      <c r="B27" s="104" t="s">
        <v>367</v>
      </c>
      <c r="C27" s="751"/>
      <c r="D27" s="103">
        <f>SUM(D23+D26)</f>
        <v>939</v>
      </c>
      <c r="E27" s="103">
        <f aca="true" t="shared" si="8" ref="E27:K27">E23</f>
        <v>3146</v>
      </c>
      <c r="F27" s="103">
        <f t="shared" si="8"/>
        <v>3244</v>
      </c>
      <c r="G27" s="103">
        <f t="shared" si="8"/>
        <v>3274.25</v>
      </c>
      <c r="H27" s="103">
        <f t="shared" si="8"/>
        <v>3531.5</v>
      </c>
      <c r="I27" s="103">
        <f t="shared" si="8"/>
        <v>1763.5</v>
      </c>
      <c r="J27" s="103">
        <f t="shared" si="8"/>
        <v>3532.5</v>
      </c>
      <c r="K27" s="103">
        <f t="shared" si="8"/>
        <v>4018.75</v>
      </c>
      <c r="L27" s="102">
        <f>L23</f>
        <v>1761.2</v>
      </c>
      <c r="M27" s="722">
        <v>867.09</v>
      </c>
      <c r="N27" s="723">
        <v>874</v>
      </c>
      <c r="O27" s="710">
        <f>O23</f>
        <v>1822.7250902843998</v>
      </c>
      <c r="P27" s="714">
        <f>P23</f>
        <v>1925.4572793128402</v>
      </c>
      <c r="Q27" s="102">
        <f>Q23</f>
        <v>948.5128396564202</v>
      </c>
      <c r="R27" s="447">
        <f>R23+R26</f>
        <v>976.9444396564201</v>
      </c>
    </row>
    <row r="28" spans="1:18" s="446" customFormat="1" ht="36" customHeight="1">
      <c r="A28" s="438" t="s">
        <v>197</v>
      </c>
      <c r="B28" s="450" t="s">
        <v>368</v>
      </c>
      <c r="C28" s="452"/>
      <c r="D28" s="452" t="e">
        <f aca="true" t="shared" si="9" ref="D28:K28">SUM(D27/D24)</f>
        <v>#DIV/0!</v>
      </c>
      <c r="E28" s="452">
        <f t="shared" si="9"/>
        <v>0.7650778210116731</v>
      </c>
      <c r="F28" s="452">
        <f t="shared" si="9"/>
        <v>0.7889105058365758</v>
      </c>
      <c r="G28" s="452">
        <f t="shared" si="9"/>
        <v>0.7962670233463035</v>
      </c>
      <c r="H28" s="452">
        <f t="shared" si="9"/>
        <v>0.8588278210116731</v>
      </c>
      <c r="I28" s="452">
        <f t="shared" si="9"/>
        <v>0.6705323193916349</v>
      </c>
      <c r="J28" s="452">
        <f t="shared" si="9"/>
        <v>0.8590710116731517</v>
      </c>
      <c r="K28" s="452">
        <f t="shared" si="9"/>
        <v>0.9773224708171206</v>
      </c>
      <c r="L28" s="455">
        <v>0.351</v>
      </c>
      <c r="M28" s="456">
        <v>0.338</v>
      </c>
      <c r="N28" s="456">
        <v>0.369</v>
      </c>
      <c r="O28" s="720">
        <f>SUM(O27/O24)</f>
        <v>0.36981112852710596</v>
      </c>
      <c r="P28" s="716">
        <f>SUM(P27/P24)</f>
        <v>0.4035582828875</v>
      </c>
      <c r="Q28" s="456">
        <f>SUM(Q27/Q24)</f>
        <v>0.39789950484789843</v>
      </c>
      <c r="R28" s="457">
        <f>SUM(R27/R24)</f>
        <v>0.4092085279619754</v>
      </c>
    </row>
    <row r="29" spans="1:18" ht="12.75">
      <c r="A29" s="750" t="s">
        <v>369</v>
      </c>
      <c r="B29" s="97" t="s">
        <v>591</v>
      </c>
      <c r="C29" s="96"/>
      <c r="D29" s="96" t="e">
        <f aca="true" t="shared" si="10" ref="D29:K29">ROUND((D27-D11)/D24,3)</f>
        <v>#DIV/0!</v>
      </c>
      <c r="E29" s="96">
        <f t="shared" si="10"/>
        <v>0.573</v>
      </c>
      <c r="F29" s="96">
        <f t="shared" si="10"/>
        <v>0.589</v>
      </c>
      <c r="G29" s="96">
        <f t="shared" si="10"/>
        <v>0.596</v>
      </c>
      <c r="H29" s="96">
        <f t="shared" si="10"/>
        <v>0.611</v>
      </c>
      <c r="I29" s="96">
        <f t="shared" si="10"/>
        <v>0.482</v>
      </c>
      <c r="J29" s="96">
        <f t="shared" si="10"/>
        <v>0.611</v>
      </c>
      <c r="K29" s="96">
        <f t="shared" si="10"/>
        <v>0.685</v>
      </c>
      <c r="L29" s="458">
        <v>0.213</v>
      </c>
      <c r="M29" s="95">
        <v>0.207</v>
      </c>
      <c r="N29" s="95">
        <v>0.224</v>
      </c>
      <c r="O29" s="711">
        <f>(O27-O11)/O24</f>
        <v>0.22633945185124163</v>
      </c>
      <c r="P29" s="717">
        <f>(P27-P11)/P24</f>
        <v>0.2606032191718729</v>
      </c>
      <c r="Q29" s="95">
        <f>(Q27-Q11)/Q24</f>
        <v>0.2501027937144141</v>
      </c>
      <c r="R29" s="459">
        <f>(R27-R11)/R24</f>
        <v>0.271087810863877</v>
      </c>
    </row>
    <row r="30" spans="1:20" ht="13.5" thickBot="1">
      <c r="A30" s="92" t="s">
        <v>371</v>
      </c>
      <c r="B30" s="91" t="s">
        <v>372</v>
      </c>
      <c r="C30" s="90"/>
      <c r="D30" s="90" t="e">
        <f aca="true" t="shared" si="11" ref="D30:K30">ROUND(D11/D24,3)</f>
        <v>#DIV/0!</v>
      </c>
      <c r="E30" s="90">
        <f t="shared" si="11"/>
        <v>0.192</v>
      </c>
      <c r="F30" s="90">
        <f t="shared" si="11"/>
        <v>0.2</v>
      </c>
      <c r="G30" s="90">
        <f t="shared" si="11"/>
        <v>0.2</v>
      </c>
      <c r="H30" s="90">
        <f t="shared" si="11"/>
        <v>0.248</v>
      </c>
      <c r="I30" s="90">
        <f t="shared" si="11"/>
        <v>0.188</v>
      </c>
      <c r="J30" s="90">
        <f t="shared" si="11"/>
        <v>0.248</v>
      </c>
      <c r="K30" s="90">
        <f t="shared" si="11"/>
        <v>0.292</v>
      </c>
      <c r="L30" s="89">
        <v>0.138</v>
      </c>
      <c r="M30" s="89">
        <f>(M11/M24)</f>
        <v>0.13968006242684355</v>
      </c>
      <c r="N30" s="89">
        <v>0.145</v>
      </c>
      <c r="O30" s="712">
        <f>O11/O24</f>
        <v>0.1434716766758643</v>
      </c>
      <c r="P30" s="718">
        <f>P11/P24</f>
        <v>0.14295506371562708</v>
      </c>
      <c r="Q30" s="89">
        <f>Q11/Q24</f>
        <v>0.1477967111334844</v>
      </c>
      <c r="R30" s="460">
        <f>R11/R24</f>
        <v>0.13812071709809834</v>
      </c>
      <c r="T30" s="461"/>
    </row>
    <row r="31" spans="1:20" ht="12.75">
      <c r="A31" s="462"/>
      <c r="B31" s="463"/>
      <c r="C31" s="464"/>
      <c r="D31" s="464"/>
      <c r="E31" s="464"/>
      <c r="F31" s="464"/>
      <c r="G31" s="464"/>
      <c r="L31" s="465"/>
      <c r="M31" s="465"/>
      <c r="N31" s="465"/>
      <c r="O31" s="465"/>
      <c r="P31" s="465"/>
      <c r="Q31" s="465"/>
      <c r="R31" s="465"/>
      <c r="T31" s="461"/>
    </row>
    <row r="32" spans="2:18" ht="15.75" customHeight="1">
      <c r="B32" s="970"/>
      <c r="C32" s="970"/>
      <c r="D32" s="970"/>
      <c r="E32" s="970"/>
      <c r="F32" s="970"/>
      <c r="G32" s="970"/>
      <c r="H32" s="970"/>
      <c r="I32" s="970"/>
      <c r="J32" s="970"/>
      <c r="K32" s="970"/>
      <c r="L32" s="970"/>
      <c r="M32" s="970"/>
      <c r="N32" s="970"/>
      <c r="O32" s="970"/>
      <c r="P32" s="970"/>
      <c r="Q32" s="970"/>
      <c r="R32" s="970"/>
    </row>
    <row r="33" spans="2:18" s="216" customFormat="1" ht="15.75">
      <c r="B33" s="966" t="s">
        <v>612</v>
      </c>
      <c r="C33" s="966"/>
      <c r="D33" s="966"/>
      <c r="E33" s="966"/>
      <c r="F33" s="966"/>
      <c r="G33" s="966"/>
      <c r="H33" s="966"/>
      <c r="I33" s="966"/>
      <c r="J33" s="966"/>
      <c r="K33" s="966"/>
      <c r="L33" s="966"/>
      <c r="M33" s="966"/>
      <c r="N33" s="966"/>
      <c r="O33" s="966"/>
      <c r="P33" s="966"/>
      <c r="Q33" s="966"/>
      <c r="R33" s="966"/>
    </row>
    <row r="34" spans="4:13" ht="15.75">
      <c r="D34" s="428"/>
      <c r="E34" s="466"/>
      <c r="G34" s="466"/>
      <c r="M34" s="467"/>
    </row>
    <row r="35" spans="1:18" ht="15.75" customHeight="1">
      <c r="A35" s="467"/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N35" s="468"/>
      <c r="O35" s="469"/>
      <c r="P35" s="469"/>
      <c r="Q35" s="469"/>
      <c r="R35" s="469"/>
    </row>
    <row r="40" ht="12.75">
      <c r="S40" s="465"/>
    </row>
    <row r="41" spans="14:19" ht="12.75">
      <c r="N41" s="971"/>
      <c r="O41" s="972"/>
      <c r="P41" s="974"/>
      <c r="Q41" s="974"/>
      <c r="R41" s="841"/>
      <c r="S41" s="434"/>
    </row>
    <row r="42" spans="14:19" ht="12.75">
      <c r="N42" s="971"/>
      <c r="O42" s="972"/>
      <c r="P42" s="961"/>
      <c r="Q42" s="961"/>
      <c r="R42" s="973"/>
      <c r="S42" s="434"/>
    </row>
    <row r="43" spans="14:19" ht="12.75">
      <c r="N43" s="972"/>
      <c r="O43" s="972"/>
      <c r="P43" s="961"/>
      <c r="Q43" s="961"/>
      <c r="R43" s="973"/>
      <c r="S43" s="434"/>
    </row>
    <row r="44" spans="14:19" ht="12.75">
      <c r="N44" s="434"/>
      <c r="O44" s="434"/>
      <c r="P44" s="790"/>
      <c r="Q44" s="790"/>
      <c r="R44" s="790"/>
      <c r="S44" s="434"/>
    </row>
    <row r="45" spans="14:19" ht="12.75">
      <c r="N45" s="434"/>
      <c r="O45" s="434"/>
      <c r="P45" s="961"/>
      <c r="Q45" s="961"/>
      <c r="R45" s="842"/>
      <c r="S45" s="434"/>
    </row>
    <row r="46" spans="16:18" ht="12.75">
      <c r="P46" s="461"/>
      <c r="R46" s="461"/>
    </row>
  </sheetData>
  <sheetProtection/>
  <mergeCells count="18">
    <mergeCell ref="N42:O43"/>
    <mergeCell ref="R42:R43"/>
    <mergeCell ref="P41:Q41"/>
    <mergeCell ref="A1:D1"/>
    <mergeCell ref="A2:L2"/>
    <mergeCell ref="A4:A5"/>
    <mergeCell ref="B4:B5"/>
    <mergeCell ref="L4:L5"/>
    <mergeCell ref="P45:Q45"/>
    <mergeCell ref="N4:N5"/>
    <mergeCell ref="O4:O5"/>
    <mergeCell ref="P42:Q43"/>
    <mergeCell ref="B33:R33"/>
    <mergeCell ref="M4:M5"/>
    <mergeCell ref="P4:P5"/>
    <mergeCell ref="Q4:R4"/>
    <mergeCell ref="B32:R32"/>
    <mergeCell ref="N41:O41"/>
  </mergeCells>
  <printOptions/>
  <pageMargins left="0.7480314960629921" right="0.6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N35"/>
  <sheetViews>
    <sheetView zoomScaleSheetLayoutView="100" zoomScalePageLayoutView="0" workbookViewId="0" topLeftCell="A1">
      <selection activeCell="S8" sqref="S8"/>
    </sheetView>
  </sheetViews>
  <sheetFormatPr defaultColWidth="10.625" defaultRowHeight="12.75"/>
  <cols>
    <col min="1" max="1" width="7.125" style="427" customWidth="1"/>
    <col min="2" max="2" width="57.375" style="427" customWidth="1"/>
    <col min="3" max="3" width="15.00390625" style="427" hidden="1" customWidth="1"/>
    <col min="4" max="4" width="13.125" style="427" hidden="1" customWidth="1"/>
    <col min="5" max="5" width="12.625" style="427" hidden="1" customWidth="1"/>
    <col min="6" max="6" width="14.00390625" style="427" hidden="1" customWidth="1"/>
    <col min="7" max="7" width="10.875" style="427" hidden="1" customWidth="1"/>
    <col min="8" max="11" width="20.875" style="427" hidden="1" customWidth="1"/>
    <col min="12" max="12" width="16.875" style="427" customWidth="1"/>
    <col min="13" max="13" width="20.00390625" style="427" customWidth="1"/>
    <col min="14" max="14" width="15.375" style="427" customWidth="1"/>
    <col min="15" max="15" width="15.00390625" style="427" customWidth="1"/>
    <col min="16" max="16" width="12.125" style="427" bestFit="1" customWidth="1"/>
    <col min="17" max="16384" width="10.625" style="427" customWidth="1"/>
  </cols>
  <sheetData>
    <row r="1" spans="1:15" ht="18.75">
      <c r="A1" s="983" t="s">
        <v>546</v>
      </c>
      <c r="B1" s="983"/>
      <c r="C1" s="983"/>
      <c r="D1" s="983"/>
      <c r="E1" s="425"/>
      <c r="F1" s="425"/>
      <c r="G1" s="426"/>
      <c r="H1" s="425"/>
      <c r="L1" s="429"/>
      <c r="M1" s="428" t="s">
        <v>320</v>
      </c>
      <c r="O1" s="470"/>
    </row>
    <row r="2" spans="1:12" ht="31.5" customHeight="1">
      <c r="A2" s="984" t="s">
        <v>503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5"/>
    </row>
    <row r="3" spans="6:13" ht="20.25" customHeight="1" thickBot="1">
      <c r="F3" s="428"/>
      <c r="G3" s="428"/>
      <c r="J3" s="432"/>
      <c r="K3" s="432"/>
      <c r="M3" s="432" t="s">
        <v>421</v>
      </c>
    </row>
    <row r="4" spans="1:66" ht="25.5" customHeight="1">
      <c r="A4" s="977" t="s">
        <v>308</v>
      </c>
      <c r="B4" s="979" t="s">
        <v>328</v>
      </c>
      <c r="C4" s="117" t="s">
        <v>329</v>
      </c>
      <c r="D4" s="117" t="s">
        <v>330</v>
      </c>
      <c r="E4" s="117" t="s">
        <v>331</v>
      </c>
      <c r="F4" s="117" t="s">
        <v>332</v>
      </c>
      <c r="G4" s="117" t="s">
        <v>333</v>
      </c>
      <c r="H4" s="117" t="s">
        <v>334</v>
      </c>
      <c r="I4" s="117" t="s">
        <v>335</v>
      </c>
      <c r="J4" s="117" t="s">
        <v>336</v>
      </c>
      <c r="K4" s="116" t="s">
        <v>337</v>
      </c>
      <c r="L4" s="962" t="s">
        <v>530</v>
      </c>
      <c r="M4" s="962" t="s">
        <v>511</v>
      </c>
      <c r="N4" s="115" t="s">
        <v>310</v>
      </c>
      <c r="O4" s="114"/>
      <c r="P4" s="433"/>
      <c r="Q4" s="433"/>
      <c r="R4" s="433"/>
      <c r="S4" s="433"/>
      <c r="T4" s="433"/>
      <c r="U4" s="433"/>
      <c r="V4" s="433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</row>
    <row r="5" spans="1:15" ht="24.75" customHeight="1">
      <c r="A5" s="978"/>
      <c r="B5" s="980"/>
      <c r="C5" s="113">
        <v>3</v>
      </c>
      <c r="D5" s="113">
        <v>4</v>
      </c>
      <c r="E5" s="113">
        <v>4</v>
      </c>
      <c r="F5" s="113">
        <v>5</v>
      </c>
      <c r="G5" s="113">
        <v>6</v>
      </c>
      <c r="H5" s="180">
        <f>B5+1</f>
        <v>1</v>
      </c>
      <c r="I5" s="180">
        <f>C5+1</f>
        <v>4</v>
      </c>
      <c r="J5" s="180">
        <f>D5+1</f>
        <v>5</v>
      </c>
      <c r="K5" s="180">
        <f>J5+1</f>
        <v>6</v>
      </c>
      <c r="L5" s="963"/>
      <c r="M5" s="963"/>
      <c r="N5" s="178" t="s">
        <v>512</v>
      </c>
      <c r="O5" s="181" t="s">
        <v>513</v>
      </c>
    </row>
    <row r="6" spans="1:15" s="437" customFormat="1" ht="13.5" customHeight="1">
      <c r="A6" s="179">
        <v>1</v>
      </c>
      <c r="B6" s="180">
        <v>2</v>
      </c>
      <c r="C6" s="113"/>
      <c r="D6" s="113"/>
      <c r="E6" s="113"/>
      <c r="F6" s="113"/>
      <c r="G6" s="113"/>
      <c r="H6" s="180"/>
      <c r="I6" s="180"/>
      <c r="J6" s="180"/>
      <c r="K6" s="180"/>
      <c r="L6" s="178">
        <f>B6+1</f>
        <v>3</v>
      </c>
      <c r="M6" s="178">
        <v>4</v>
      </c>
      <c r="N6" s="178">
        <f>M6+1</f>
        <v>5</v>
      </c>
      <c r="O6" s="181">
        <f>N6+1</f>
        <v>6</v>
      </c>
    </row>
    <row r="7" spans="1:15" s="446" customFormat="1" ht="14.25" customHeight="1">
      <c r="A7" s="179" t="s">
        <v>8</v>
      </c>
      <c r="B7" s="104" t="s">
        <v>339</v>
      </c>
      <c r="C7" s="113"/>
      <c r="D7" s="113">
        <v>77</v>
      </c>
      <c r="E7" s="107">
        <v>88</v>
      </c>
      <c r="F7" s="113">
        <v>102</v>
      </c>
      <c r="G7" s="107">
        <v>99</v>
      </c>
      <c r="H7" s="180">
        <v>110</v>
      </c>
      <c r="I7" s="180">
        <v>56</v>
      </c>
      <c r="J7" s="180">
        <v>110</v>
      </c>
      <c r="K7" s="180">
        <v>129</v>
      </c>
      <c r="L7" s="102"/>
      <c r="M7" s="101" t="e">
        <f>'1.15'!#REF!*0.05</f>
        <v>#REF!</v>
      </c>
      <c r="N7" s="110">
        <f>'[2]1.15 свод'!T7*0.05</f>
        <v>3.0500000000000003</v>
      </c>
      <c r="O7" s="109">
        <f>'[2]1.15 свод'!U7*0.05</f>
        <v>4.1000000000000005</v>
      </c>
    </row>
    <row r="8" spans="1:15" ht="14.25" customHeight="1">
      <c r="A8" s="179" t="s">
        <v>12</v>
      </c>
      <c r="B8" s="104" t="s">
        <v>340</v>
      </c>
      <c r="C8" s="180"/>
      <c r="D8" s="180">
        <f>SUM(D9:D10)</f>
        <v>0</v>
      </c>
      <c r="E8" s="107">
        <v>0</v>
      </c>
      <c r="F8" s="180">
        <f aca="true" t="shared" si="0" ref="F8:K8">SUM(F9:F10)</f>
        <v>0</v>
      </c>
      <c r="G8" s="103">
        <f t="shared" si="0"/>
        <v>0</v>
      </c>
      <c r="H8" s="103">
        <f t="shared" si="0"/>
        <v>0</v>
      </c>
      <c r="I8" s="103">
        <f t="shared" si="0"/>
        <v>0</v>
      </c>
      <c r="J8" s="103">
        <f t="shared" si="0"/>
        <v>0</v>
      </c>
      <c r="K8" s="103">
        <f t="shared" si="0"/>
        <v>0</v>
      </c>
      <c r="L8" s="102"/>
      <c r="M8" s="101"/>
      <c r="N8" s="106"/>
      <c r="O8" s="105"/>
    </row>
    <row r="9" spans="1:15" ht="14.25" customHeight="1">
      <c r="A9" s="179" t="s">
        <v>34</v>
      </c>
      <c r="B9" s="104" t="s">
        <v>341</v>
      </c>
      <c r="C9" s="180"/>
      <c r="D9" s="180"/>
      <c r="E9" s="107"/>
      <c r="F9" s="180"/>
      <c r="G9" s="103"/>
      <c r="H9" s="180"/>
      <c r="I9" s="180"/>
      <c r="J9" s="180"/>
      <c r="K9" s="180"/>
      <c r="L9" s="102"/>
      <c r="M9" s="101"/>
      <c r="N9" s="106"/>
      <c r="O9" s="105"/>
    </row>
    <row r="10" spans="1:15" ht="14.25" customHeight="1">
      <c r="A10" s="179" t="s">
        <v>158</v>
      </c>
      <c r="B10" s="104" t="s">
        <v>342</v>
      </c>
      <c r="C10" s="180"/>
      <c r="D10" s="180"/>
      <c r="E10" s="107"/>
      <c r="F10" s="180"/>
      <c r="G10" s="103"/>
      <c r="H10" s="180"/>
      <c r="I10" s="180"/>
      <c r="J10" s="180"/>
      <c r="K10" s="180"/>
      <c r="L10" s="102"/>
      <c r="M10" s="101"/>
      <c r="N10" s="106"/>
      <c r="O10" s="105"/>
    </row>
    <row r="11" spans="1:16" s="446" customFormat="1" ht="14.25" customHeight="1">
      <c r="A11" s="179" t="s">
        <v>14</v>
      </c>
      <c r="B11" s="104" t="s">
        <v>343</v>
      </c>
      <c r="C11" s="180"/>
      <c r="D11" s="180">
        <v>133</v>
      </c>
      <c r="E11" s="180">
        <f aca="true" t="shared" si="1" ref="E11:K11">E12+E13</f>
        <v>788</v>
      </c>
      <c r="F11" s="180">
        <f t="shared" si="1"/>
        <v>823</v>
      </c>
      <c r="G11" s="180">
        <f t="shared" si="1"/>
        <v>823</v>
      </c>
      <c r="H11" s="180">
        <f t="shared" si="1"/>
        <v>1019</v>
      </c>
      <c r="I11" s="180">
        <f t="shared" si="1"/>
        <v>495</v>
      </c>
      <c r="J11" s="180">
        <f t="shared" si="1"/>
        <v>1020</v>
      </c>
      <c r="K11" s="180">
        <f t="shared" si="1"/>
        <v>1200</v>
      </c>
      <c r="L11" s="102"/>
      <c r="M11" s="101" t="e">
        <f>'1.15'!#REF!*0.05</f>
        <v>#REF!</v>
      </c>
      <c r="N11" s="101" t="e">
        <f>'1.15'!#REF!*0.05</f>
        <v>#REF!</v>
      </c>
      <c r="O11" s="101" t="e">
        <f>'1.15'!#REF!*0.05</f>
        <v>#REF!</v>
      </c>
      <c r="P11" s="471"/>
    </row>
    <row r="12" spans="1:15" ht="15.75" customHeight="1">
      <c r="A12" s="179" t="s">
        <v>175</v>
      </c>
      <c r="B12" s="104" t="s">
        <v>344</v>
      </c>
      <c r="C12" s="180"/>
      <c r="D12" s="180"/>
      <c r="E12" s="107">
        <v>576</v>
      </c>
      <c r="F12" s="180">
        <v>548</v>
      </c>
      <c r="G12" s="103">
        <v>548</v>
      </c>
      <c r="H12" s="180">
        <v>619</v>
      </c>
      <c r="I12" s="180">
        <v>300</v>
      </c>
      <c r="J12" s="180">
        <v>620</v>
      </c>
      <c r="K12" s="180">
        <v>800</v>
      </c>
      <c r="L12" s="102"/>
      <c r="M12" s="101" t="e">
        <f>'1.15'!#REF!*0.05</f>
        <v>#REF!</v>
      </c>
      <c r="N12" s="101" t="e">
        <f>'1.15'!#REF!*0.05</f>
        <v>#REF!</v>
      </c>
      <c r="O12" s="101" t="e">
        <f>'1.15'!#REF!*0.05</f>
        <v>#REF!</v>
      </c>
    </row>
    <row r="13" spans="1:15" ht="14.25" customHeight="1">
      <c r="A13" s="179" t="s">
        <v>176</v>
      </c>
      <c r="B13" s="104" t="s">
        <v>345</v>
      </c>
      <c r="C13" s="180"/>
      <c r="D13" s="180"/>
      <c r="E13" s="107">
        <v>212</v>
      </c>
      <c r="F13" s="180">
        <v>275</v>
      </c>
      <c r="G13" s="103">
        <v>275</v>
      </c>
      <c r="H13" s="180">
        <v>400</v>
      </c>
      <c r="I13" s="180">
        <v>195</v>
      </c>
      <c r="J13" s="180">
        <v>400</v>
      </c>
      <c r="K13" s="180">
        <v>400</v>
      </c>
      <c r="L13" s="102"/>
      <c r="M13" s="101" t="e">
        <f>'1.15'!#REF!*0.05</f>
        <v>#REF!</v>
      </c>
      <c r="N13" s="101" t="e">
        <f>'1.15'!#REF!*0.05</f>
        <v>#REF!</v>
      </c>
      <c r="O13" s="101" t="e">
        <f>'1.15'!#REF!*0.05</f>
        <v>#REF!</v>
      </c>
    </row>
    <row r="14" spans="1:15" ht="14.25" customHeight="1">
      <c r="A14" s="179" t="s">
        <v>22</v>
      </c>
      <c r="B14" s="104" t="s">
        <v>346</v>
      </c>
      <c r="C14" s="180"/>
      <c r="D14" s="180">
        <f>SUM(D15:D16)</f>
        <v>474</v>
      </c>
      <c r="E14" s="107">
        <f aca="true" t="shared" si="2" ref="E14:K14">E15+E16</f>
        <v>797</v>
      </c>
      <c r="F14" s="107">
        <f t="shared" si="2"/>
        <v>828</v>
      </c>
      <c r="G14" s="107">
        <f t="shared" si="2"/>
        <v>860</v>
      </c>
      <c r="H14" s="107">
        <f t="shared" si="2"/>
        <v>893</v>
      </c>
      <c r="I14" s="107">
        <f t="shared" si="2"/>
        <v>450</v>
      </c>
      <c r="J14" s="107">
        <f t="shared" si="2"/>
        <v>893</v>
      </c>
      <c r="K14" s="107">
        <f t="shared" si="2"/>
        <v>1102</v>
      </c>
      <c r="L14" s="102"/>
      <c r="M14" s="101" t="e">
        <f>M15+M16</f>
        <v>#REF!</v>
      </c>
      <c r="N14" s="101" t="e">
        <f>N15+N16</f>
        <v>#REF!</v>
      </c>
      <c r="O14" s="101" t="e">
        <f>O15+O16</f>
        <v>#REF!</v>
      </c>
    </row>
    <row r="15" spans="1:15" ht="14.25" customHeight="1">
      <c r="A15" s="179" t="s">
        <v>129</v>
      </c>
      <c r="B15" s="104" t="s">
        <v>347</v>
      </c>
      <c r="C15" s="180"/>
      <c r="D15" s="180">
        <v>474</v>
      </c>
      <c r="E15" s="107">
        <v>728</v>
      </c>
      <c r="F15" s="180">
        <v>788</v>
      </c>
      <c r="G15" s="103">
        <v>785</v>
      </c>
      <c r="H15" s="180">
        <v>850</v>
      </c>
      <c r="I15" s="180">
        <v>418</v>
      </c>
      <c r="J15" s="180">
        <v>850</v>
      </c>
      <c r="K15" s="180">
        <v>1051</v>
      </c>
      <c r="L15" s="102"/>
      <c r="M15" s="101" t="e">
        <f>'1.15'!#REF!*0.05</f>
        <v>#REF!</v>
      </c>
      <c r="N15" s="101" t="e">
        <f>'1.15'!#REF!*0.05</f>
        <v>#REF!</v>
      </c>
      <c r="O15" s="101" t="e">
        <f>'1.15'!#REF!*0.05</f>
        <v>#REF!</v>
      </c>
    </row>
    <row r="16" spans="1:15" ht="14.25" customHeight="1">
      <c r="A16" s="179" t="s">
        <v>133</v>
      </c>
      <c r="B16" s="104" t="s">
        <v>348</v>
      </c>
      <c r="C16" s="180"/>
      <c r="D16" s="180">
        <v>0</v>
      </c>
      <c r="E16" s="107">
        <v>69</v>
      </c>
      <c r="F16" s="180">
        <v>40</v>
      </c>
      <c r="G16" s="103">
        <v>75</v>
      </c>
      <c r="H16" s="180">
        <v>43</v>
      </c>
      <c r="I16" s="180">
        <v>32</v>
      </c>
      <c r="J16" s="180">
        <v>43</v>
      </c>
      <c r="K16" s="180">
        <v>51</v>
      </c>
      <c r="L16" s="102"/>
      <c r="M16" s="101" t="e">
        <f>'1.15'!#REF!*0.05</f>
        <v>#REF!</v>
      </c>
      <c r="N16" s="101" t="e">
        <f>'1.15'!#REF!*0.05</f>
        <v>#REF!</v>
      </c>
      <c r="O16" s="101" t="e">
        <f>'1.15'!#REF!*0.05</f>
        <v>#REF!</v>
      </c>
    </row>
    <row r="17" spans="1:15" ht="14.25" customHeight="1">
      <c r="A17" s="179" t="s">
        <v>24</v>
      </c>
      <c r="B17" s="104" t="s">
        <v>349</v>
      </c>
      <c r="C17" s="180"/>
      <c r="D17" s="180">
        <v>129</v>
      </c>
      <c r="E17" s="107">
        <f aca="true" t="shared" si="3" ref="E17:K17">E15*25%</f>
        <v>182</v>
      </c>
      <c r="F17" s="107">
        <f t="shared" si="3"/>
        <v>197</v>
      </c>
      <c r="G17" s="107">
        <f t="shared" si="3"/>
        <v>196.25</v>
      </c>
      <c r="H17" s="107">
        <f t="shared" si="3"/>
        <v>212.5</v>
      </c>
      <c r="I17" s="107">
        <f t="shared" si="3"/>
        <v>104.5</v>
      </c>
      <c r="J17" s="107">
        <f t="shared" si="3"/>
        <v>212.5</v>
      </c>
      <c r="K17" s="107">
        <f t="shared" si="3"/>
        <v>262.75</v>
      </c>
      <c r="L17" s="102"/>
      <c r="M17" s="101" t="e">
        <f>'1.15'!#REF!*0.05</f>
        <v>#REF!</v>
      </c>
      <c r="N17" s="101" t="e">
        <f>'1.15'!#REF!*0.05</f>
        <v>#REF!</v>
      </c>
      <c r="O17" s="101" t="e">
        <f>'1.15'!#REF!*0.05</f>
        <v>#REF!</v>
      </c>
    </row>
    <row r="18" spans="1:15" ht="14.25" customHeight="1">
      <c r="A18" s="179" t="s">
        <v>26</v>
      </c>
      <c r="B18" s="104" t="s">
        <v>350</v>
      </c>
      <c r="C18" s="180"/>
      <c r="D18" s="103">
        <v>10</v>
      </c>
      <c r="E18" s="180">
        <v>745</v>
      </c>
      <c r="F18" s="180">
        <v>745</v>
      </c>
      <c r="G18" s="180">
        <v>745</v>
      </c>
      <c r="H18" s="180">
        <v>745</v>
      </c>
      <c r="I18" s="180">
        <v>372</v>
      </c>
      <c r="J18" s="180">
        <v>745</v>
      </c>
      <c r="K18" s="180">
        <v>745</v>
      </c>
      <c r="L18" s="102"/>
      <c r="M18" s="472">
        <f>'1.17 сбыт'!D16</f>
        <v>0</v>
      </c>
      <c r="N18" s="174" t="e">
        <f>'1.15'!#REF!*0.05</f>
        <v>#REF!</v>
      </c>
      <c r="O18" s="174" t="e">
        <f>'1.15'!#REF!*0.05</f>
        <v>#REF!</v>
      </c>
    </row>
    <row r="19" spans="1:15" ht="14.25" customHeight="1">
      <c r="A19" s="179" t="s">
        <v>28</v>
      </c>
      <c r="B19" s="104" t="s">
        <v>351</v>
      </c>
      <c r="C19" s="180"/>
      <c r="D19" s="103">
        <v>108</v>
      </c>
      <c r="E19" s="107">
        <v>525</v>
      </c>
      <c r="F19" s="180">
        <v>525</v>
      </c>
      <c r="G19" s="103">
        <v>525</v>
      </c>
      <c r="H19" s="180">
        <v>525</v>
      </c>
      <c r="I19" s="180">
        <v>262</v>
      </c>
      <c r="J19" s="180">
        <v>525</v>
      </c>
      <c r="K19" s="180">
        <v>550</v>
      </c>
      <c r="L19" s="102"/>
      <c r="M19" s="101" t="e">
        <f>'1.15'!#REF!*0.05</f>
        <v>#REF!</v>
      </c>
      <c r="N19" s="174" t="e">
        <f>'1.15'!#REF!*0.05</f>
        <v>#REF!</v>
      </c>
      <c r="O19" s="174" t="e">
        <f>'1.15'!#REF!*0.05</f>
        <v>#REF!</v>
      </c>
    </row>
    <row r="20" spans="1:15" ht="14.25" customHeight="1">
      <c r="A20" s="179" t="s">
        <v>352</v>
      </c>
      <c r="B20" s="104" t="s">
        <v>353</v>
      </c>
      <c r="C20" s="180"/>
      <c r="D20" s="103">
        <f>SUM(D21:D22)</f>
        <v>4</v>
      </c>
      <c r="E20" s="107">
        <f aca="true" t="shared" si="4" ref="E20:K20">E21+E22</f>
        <v>21</v>
      </c>
      <c r="F20" s="107">
        <f t="shared" si="4"/>
        <v>24</v>
      </c>
      <c r="G20" s="107">
        <f t="shared" si="4"/>
        <v>26</v>
      </c>
      <c r="H20" s="107">
        <f t="shared" si="4"/>
        <v>27</v>
      </c>
      <c r="I20" s="107">
        <f t="shared" si="4"/>
        <v>24</v>
      </c>
      <c r="J20" s="107">
        <f t="shared" si="4"/>
        <v>27</v>
      </c>
      <c r="K20" s="107">
        <f t="shared" si="4"/>
        <v>30</v>
      </c>
      <c r="L20" s="102"/>
      <c r="M20" s="175" t="e">
        <f>'1.15'!#REF!*0.05</f>
        <v>#REF!</v>
      </c>
      <c r="N20" s="175" t="e">
        <f>'1.15'!#REF!*0.05</f>
        <v>#REF!</v>
      </c>
      <c r="O20" s="175" t="e">
        <f>'1.15'!#REF!*0.05</f>
        <v>#REF!</v>
      </c>
    </row>
    <row r="21" spans="1:15" ht="14.25" customHeight="1">
      <c r="A21" s="179" t="s">
        <v>354</v>
      </c>
      <c r="B21" s="104" t="s">
        <v>355</v>
      </c>
      <c r="C21" s="180"/>
      <c r="D21" s="103">
        <v>4</v>
      </c>
      <c r="E21" s="107">
        <v>18</v>
      </c>
      <c r="F21" s="180">
        <v>21</v>
      </c>
      <c r="G21" s="103">
        <v>23</v>
      </c>
      <c r="H21" s="180">
        <v>23</v>
      </c>
      <c r="I21" s="180">
        <v>23</v>
      </c>
      <c r="J21" s="180">
        <v>23</v>
      </c>
      <c r="K21" s="180">
        <v>25</v>
      </c>
      <c r="L21" s="102"/>
      <c r="M21" s="175" t="e">
        <f>'1.15'!#REF!*0.05</f>
        <v>#REF!</v>
      </c>
      <c r="N21" s="175" t="e">
        <f>'1.15'!#REF!*0.05</f>
        <v>#REF!</v>
      </c>
      <c r="O21" s="175" t="e">
        <f>'1.15'!#REF!*0.05</f>
        <v>#REF!</v>
      </c>
    </row>
    <row r="22" spans="1:15" ht="14.25" customHeight="1">
      <c r="A22" s="179" t="s">
        <v>356</v>
      </c>
      <c r="B22" s="104" t="s">
        <v>357</v>
      </c>
      <c r="C22" s="180"/>
      <c r="D22" s="103"/>
      <c r="E22" s="107">
        <v>3</v>
      </c>
      <c r="F22" s="180">
        <v>3</v>
      </c>
      <c r="G22" s="103">
        <v>3</v>
      </c>
      <c r="H22" s="180">
        <v>4</v>
      </c>
      <c r="I22" s="180">
        <v>1</v>
      </c>
      <c r="J22" s="180">
        <v>4</v>
      </c>
      <c r="K22" s="180">
        <v>5</v>
      </c>
      <c r="L22" s="102"/>
      <c r="M22" s="175" t="e">
        <f>'1.15'!#REF!*0.05</f>
        <v>#REF!</v>
      </c>
      <c r="N22" s="175" t="e">
        <f>'1.15'!#REF!*0.05</f>
        <v>#REF!</v>
      </c>
      <c r="O22" s="175" t="e">
        <f>'1.15'!#REF!*0.05</f>
        <v>#REF!</v>
      </c>
    </row>
    <row r="23" spans="1:15" ht="30.75" customHeight="1">
      <c r="A23" s="179" t="s">
        <v>358</v>
      </c>
      <c r="B23" s="99" t="s">
        <v>359</v>
      </c>
      <c r="C23" s="180"/>
      <c r="D23" s="103">
        <f aca="true" t="shared" si="5" ref="D23:K23">SUM(D7+D8+D11+D14+D17+D18+D19+D20)</f>
        <v>935</v>
      </c>
      <c r="E23" s="180">
        <f t="shared" si="5"/>
        <v>3146</v>
      </c>
      <c r="F23" s="180">
        <f t="shared" si="5"/>
        <v>3244</v>
      </c>
      <c r="G23" s="103">
        <f t="shared" si="5"/>
        <v>3274.25</v>
      </c>
      <c r="H23" s="103">
        <f t="shared" si="5"/>
        <v>3531.5</v>
      </c>
      <c r="I23" s="103">
        <f t="shared" si="5"/>
        <v>1763.5</v>
      </c>
      <c r="J23" s="103">
        <f t="shared" si="5"/>
        <v>3532.5</v>
      </c>
      <c r="K23" s="103">
        <f t="shared" si="5"/>
        <v>4018.75</v>
      </c>
      <c r="L23" s="102"/>
      <c r="M23" s="101" t="e">
        <f>M7+M11+M14+M17+M18+M19+M20</f>
        <v>#REF!</v>
      </c>
      <c r="N23" s="101" t="e">
        <f>N7+N11+N14+N17+N18+N19+N20</f>
        <v>#REF!</v>
      </c>
      <c r="O23" s="101" t="e">
        <f>O7+O11+O14+O17+O18+O19+O20</f>
        <v>#REF!</v>
      </c>
    </row>
    <row r="24" spans="1:15" ht="14.25" customHeight="1">
      <c r="A24" s="179" t="s">
        <v>360</v>
      </c>
      <c r="B24" s="99" t="s">
        <v>361</v>
      </c>
      <c r="C24" s="180"/>
      <c r="D24" s="180">
        <f>ROUND('[1]2'!D46*1000,0)</f>
        <v>0</v>
      </c>
      <c r="E24" s="180">
        <v>4112</v>
      </c>
      <c r="F24" s="180">
        <f>ROUND('[1]2'!G46*1000,0)</f>
        <v>4112</v>
      </c>
      <c r="G24" s="180">
        <f>ROUND('[1]2'!H46*1000,0)</f>
        <v>4112</v>
      </c>
      <c r="H24" s="180">
        <v>4112</v>
      </c>
      <c r="I24" s="180">
        <v>2630</v>
      </c>
      <c r="J24" s="180">
        <v>4112</v>
      </c>
      <c r="K24" s="180">
        <v>4112</v>
      </c>
      <c r="L24" s="102"/>
      <c r="M24" s="106" t="e">
        <f>'4 '!#REF!*1000</f>
        <v>#REF!</v>
      </c>
      <c r="N24" s="112">
        <f>'4 '!AL23*1000</f>
        <v>2383.7999999999997</v>
      </c>
      <c r="O24" s="111">
        <f>'4 '!AQ23*1000</f>
        <v>2387.4</v>
      </c>
    </row>
    <row r="25" spans="1:15" ht="12.75">
      <c r="A25" s="179" t="s">
        <v>362</v>
      </c>
      <c r="B25" s="104" t="s">
        <v>363</v>
      </c>
      <c r="C25" s="96"/>
      <c r="D25" s="96" t="e">
        <f aca="true" t="shared" si="6" ref="D25:K25">SUM(D23/D24)</f>
        <v>#DIV/0!</v>
      </c>
      <c r="E25" s="96">
        <f t="shared" si="6"/>
        <v>0.7650778210116731</v>
      </c>
      <c r="F25" s="96">
        <f t="shared" si="6"/>
        <v>0.7889105058365758</v>
      </c>
      <c r="G25" s="96">
        <f t="shared" si="6"/>
        <v>0.7962670233463035</v>
      </c>
      <c r="H25" s="96">
        <f t="shared" si="6"/>
        <v>0.8588278210116731</v>
      </c>
      <c r="I25" s="96">
        <f t="shared" si="6"/>
        <v>0.6705323193916349</v>
      </c>
      <c r="J25" s="96">
        <f t="shared" si="6"/>
        <v>0.8590710116731517</v>
      </c>
      <c r="K25" s="96">
        <f t="shared" si="6"/>
        <v>0.9773224708171206</v>
      </c>
      <c r="L25" s="108"/>
      <c r="M25" s="94" t="e">
        <f>M23/M24</f>
        <v>#REF!</v>
      </c>
      <c r="N25" s="94" t="e">
        <f>N23/N24</f>
        <v>#REF!</v>
      </c>
      <c r="O25" s="98" t="e">
        <f>O23/O24</f>
        <v>#REF!</v>
      </c>
    </row>
    <row r="26" spans="1:15" ht="12.75">
      <c r="A26" s="179" t="s">
        <v>364</v>
      </c>
      <c r="B26" s="104" t="s">
        <v>365</v>
      </c>
      <c r="C26" s="180"/>
      <c r="D26" s="103">
        <v>4</v>
      </c>
      <c r="E26" s="107">
        <f aca="true" t="shared" si="7" ref="E26:K26">E27-E23</f>
        <v>0</v>
      </c>
      <c r="F26" s="107">
        <f t="shared" si="7"/>
        <v>0</v>
      </c>
      <c r="G26" s="107">
        <f t="shared" si="7"/>
        <v>0</v>
      </c>
      <c r="H26" s="107">
        <f t="shared" si="7"/>
        <v>0</v>
      </c>
      <c r="I26" s="107">
        <f t="shared" si="7"/>
        <v>0</v>
      </c>
      <c r="J26" s="107">
        <f t="shared" si="7"/>
        <v>0</v>
      </c>
      <c r="K26" s="107">
        <f t="shared" si="7"/>
        <v>0</v>
      </c>
      <c r="L26" s="102"/>
      <c r="M26" s="106">
        <v>0</v>
      </c>
      <c r="N26" s="106">
        <v>0</v>
      </c>
      <c r="O26" s="105">
        <v>0</v>
      </c>
    </row>
    <row r="27" spans="1:15" ht="12.75">
      <c r="A27" s="179" t="s">
        <v>366</v>
      </c>
      <c r="B27" s="104" t="s">
        <v>367</v>
      </c>
      <c r="C27" s="180"/>
      <c r="D27" s="103">
        <f>SUM(D23+D26)</f>
        <v>939</v>
      </c>
      <c r="E27" s="103">
        <f aca="true" t="shared" si="8" ref="E27:K27">E23</f>
        <v>3146</v>
      </c>
      <c r="F27" s="103">
        <f t="shared" si="8"/>
        <v>3244</v>
      </c>
      <c r="G27" s="103">
        <f t="shared" si="8"/>
        <v>3274.25</v>
      </c>
      <c r="H27" s="103">
        <f t="shared" si="8"/>
        <v>3531.5</v>
      </c>
      <c r="I27" s="103">
        <f t="shared" si="8"/>
        <v>1763.5</v>
      </c>
      <c r="J27" s="103">
        <f t="shared" si="8"/>
        <v>3532.5</v>
      </c>
      <c r="K27" s="103">
        <f t="shared" si="8"/>
        <v>4018.75</v>
      </c>
      <c r="L27" s="102"/>
      <c r="M27" s="101" t="e">
        <f>M23+M26</f>
        <v>#REF!</v>
      </c>
      <c r="N27" s="101" t="e">
        <f>N23+N26</f>
        <v>#REF!</v>
      </c>
      <c r="O27" s="100" t="e">
        <f>O23+O26</f>
        <v>#REF!</v>
      </c>
    </row>
    <row r="28" spans="1:15" ht="45" customHeight="1">
      <c r="A28" s="179" t="s">
        <v>197</v>
      </c>
      <c r="B28" s="99" t="s">
        <v>368</v>
      </c>
      <c r="C28" s="96"/>
      <c r="D28" s="96" t="e">
        <f aca="true" t="shared" si="9" ref="D28:K28">SUM(D27/D24)</f>
        <v>#DIV/0!</v>
      </c>
      <c r="E28" s="96">
        <f t="shared" si="9"/>
        <v>0.7650778210116731</v>
      </c>
      <c r="F28" s="96">
        <f t="shared" si="9"/>
        <v>0.7889105058365758</v>
      </c>
      <c r="G28" s="96">
        <f t="shared" si="9"/>
        <v>0.7962670233463035</v>
      </c>
      <c r="H28" s="96">
        <f t="shared" si="9"/>
        <v>0.8588278210116731</v>
      </c>
      <c r="I28" s="96">
        <f t="shared" si="9"/>
        <v>0.6705323193916349</v>
      </c>
      <c r="J28" s="96">
        <f t="shared" si="9"/>
        <v>0.8590710116731517</v>
      </c>
      <c r="K28" s="96">
        <f t="shared" si="9"/>
        <v>0.9773224708171206</v>
      </c>
      <c r="L28" s="95"/>
      <c r="M28" s="94" t="e">
        <f>M23/M24</f>
        <v>#REF!</v>
      </c>
      <c r="N28" s="94" t="e">
        <f>N23/N24</f>
        <v>#REF!</v>
      </c>
      <c r="O28" s="98" t="e">
        <f>O23/O24</f>
        <v>#REF!</v>
      </c>
    </row>
    <row r="29" spans="1:15" ht="12.75">
      <c r="A29" s="179" t="s">
        <v>369</v>
      </c>
      <c r="B29" s="97" t="s">
        <v>370</v>
      </c>
      <c r="C29" s="96"/>
      <c r="D29" s="96" t="e">
        <f aca="true" t="shared" si="10" ref="D29:K29">ROUND((D27-D11)/D24,3)</f>
        <v>#DIV/0!</v>
      </c>
      <c r="E29" s="96">
        <f t="shared" si="10"/>
        <v>0.573</v>
      </c>
      <c r="F29" s="96">
        <f t="shared" si="10"/>
        <v>0.589</v>
      </c>
      <c r="G29" s="96">
        <f t="shared" si="10"/>
        <v>0.596</v>
      </c>
      <c r="H29" s="96">
        <f t="shared" si="10"/>
        <v>0.611</v>
      </c>
      <c r="I29" s="96">
        <f t="shared" si="10"/>
        <v>0.482</v>
      </c>
      <c r="J29" s="96">
        <f t="shared" si="10"/>
        <v>0.611</v>
      </c>
      <c r="K29" s="96">
        <f t="shared" si="10"/>
        <v>0.685</v>
      </c>
      <c r="L29" s="95"/>
      <c r="M29" s="473" t="e">
        <f>(M23-M11)/M24</f>
        <v>#REF!</v>
      </c>
      <c r="N29" s="94"/>
      <c r="O29" s="93" t="e">
        <f>(O23-O11)/O24</f>
        <v>#REF!</v>
      </c>
    </row>
    <row r="30" spans="1:15" ht="13.5" thickBot="1">
      <c r="A30" s="92" t="s">
        <v>371</v>
      </c>
      <c r="B30" s="91" t="s">
        <v>372</v>
      </c>
      <c r="C30" s="90"/>
      <c r="D30" s="90" t="e">
        <f aca="true" t="shared" si="11" ref="D30:K30">ROUND(D11/D24,3)</f>
        <v>#DIV/0!</v>
      </c>
      <c r="E30" s="90">
        <f t="shared" si="11"/>
        <v>0.192</v>
      </c>
      <c r="F30" s="90">
        <f t="shared" si="11"/>
        <v>0.2</v>
      </c>
      <c r="G30" s="90">
        <f t="shared" si="11"/>
        <v>0.2</v>
      </c>
      <c r="H30" s="90">
        <f t="shared" si="11"/>
        <v>0.248</v>
      </c>
      <c r="I30" s="90">
        <f t="shared" si="11"/>
        <v>0.188</v>
      </c>
      <c r="J30" s="90">
        <f t="shared" si="11"/>
        <v>0.248</v>
      </c>
      <c r="K30" s="90">
        <f t="shared" si="11"/>
        <v>0.292</v>
      </c>
      <c r="L30" s="89"/>
      <c r="M30" s="474" t="e">
        <f>M11/M24</f>
        <v>#REF!</v>
      </c>
      <c r="N30" s="88"/>
      <c r="O30" s="87" t="e">
        <f>O11/O24</f>
        <v>#REF!</v>
      </c>
    </row>
    <row r="31" spans="1:12" ht="12.75">
      <c r="A31" s="462"/>
      <c r="B31" s="463"/>
      <c r="C31" s="464"/>
      <c r="D31" s="464"/>
      <c r="E31" s="464"/>
      <c r="F31" s="464"/>
      <c r="G31" s="464"/>
      <c r="L31" s="465"/>
    </row>
    <row r="33" spans="1:12" s="216" customFormat="1" ht="15.75">
      <c r="A33" s="982"/>
      <c r="B33" s="982"/>
      <c r="C33" s="982"/>
      <c r="D33" s="982"/>
      <c r="E33" s="982"/>
      <c r="F33" s="982"/>
      <c r="G33" s="982"/>
      <c r="H33" s="982"/>
      <c r="I33" s="982"/>
      <c r="J33" s="982"/>
      <c r="K33" s="982"/>
      <c r="L33" s="982"/>
    </row>
    <row r="34" spans="2:7" ht="15.75">
      <c r="B34" s="475" t="s">
        <v>500</v>
      </c>
      <c r="D34" s="428"/>
      <c r="E34" s="466"/>
      <c r="G34" s="466"/>
    </row>
    <row r="35" spans="1:13" ht="15.75" customHeight="1">
      <c r="A35" s="467"/>
      <c r="B35" s="475" t="s">
        <v>499</v>
      </c>
      <c r="C35" s="467"/>
      <c r="D35" s="467"/>
      <c r="E35" s="467"/>
      <c r="F35" s="467"/>
      <c r="G35" s="467"/>
      <c r="H35" s="467"/>
      <c r="I35" s="467"/>
      <c r="J35" s="467"/>
      <c r="K35" s="467"/>
      <c r="L35" s="981" t="s">
        <v>515</v>
      </c>
      <c r="M35" s="981"/>
    </row>
  </sheetData>
  <sheetProtection/>
  <mergeCells count="8">
    <mergeCell ref="L35:M35"/>
    <mergeCell ref="L4:L5"/>
    <mergeCell ref="M4:M5"/>
    <mergeCell ref="A33:L33"/>
    <mergeCell ref="A1:D1"/>
    <mergeCell ref="A4:A5"/>
    <mergeCell ref="B4:B5"/>
    <mergeCell ref="A2:L2"/>
  </mergeCells>
  <printOptions/>
  <pageMargins left="0.7480314960629921" right="0.6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 Ольга Степановна</dc:creator>
  <cp:keywords/>
  <dc:description/>
  <cp:lastModifiedBy>user-0</cp:lastModifiedBy>
  <cp:lastPrinted>2015-12-10T21:50:36Z</cp:lastPrinted>
  <dcterms:created xsi:type="dcterms:W3CDTF">2006-08-22T23:02:27Z</dcterms:created>
  <dcterms:modified xsi:type="dcterms:W3CDTF">2016-03-31T04:48:56Z</dcterms:modified>
  <cp:category/>
  <cp:version/>
  <cp:contentType/>
  <cp:contentStatus/>
</cp:coreProperties>
</file>